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3B79214F-3969-49D4-BD6E-373FB968ABC3}"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<sst xmlns="http://schemas.openxmlformats.org/spreadsheetml/2006/main" count="759" uniqueCount="466">
  <si>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</si>
  <si>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</si>
  <si>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</si>
  <si>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</si>
  <si>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</si>
  <si>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</si>
  <si>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</si>
  <si>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</si>
  <si>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</si>
  <si>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</si>
  <si>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</si>
  <si>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</si>
  <si>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</si>
  <si>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</si>
  <si>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</si>
  <si>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</si>
  <si>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</si>
  <si>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</si>
  <si>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</si>
  <si>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</si>
  <si>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</si>
  <si>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</si>
  <si>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</si>
  <si>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</si>
  <si>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</si>
  <si>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</si>
  <si>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</si>
  <si>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</si>
  <si>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</si>
  <si>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</si>
  <si>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</si>
  <si>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</si>
  <si>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</si>
  <si>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</si>
  <si>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</si>
  <si>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</si>
  <si>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</si>
  <si>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</si>
  <si>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</si>
  <si>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</si>
  <si>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</si>
  <si>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</si>
  <si>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</si>
  <si>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</si>
  <si>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</si>
  <si>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</si>
  <si>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</si>
  <si>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</si>
  <si>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</si>
  <si>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</si>
  <si>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</si>
  <si>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</si>
  <si>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</si>
  <si>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</si>
  <si>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</si>
  <si>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</si>
  <si>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</si>
  <si>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</si>
  <si>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</si>
  <si>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</si>
  <si>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</si>
  <si>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</si>
  <si>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</si>
  <si>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</si>
  <si>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</si>
  <si>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</si>
  <si>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</si>
  <si>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</si>
  <si>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</si>
  <si>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</si>
  <si>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</si>
  <si>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</si>
  <si>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</si>
  <si>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</si>
  <si>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</si>
  <si>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</si>
  <si>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</si>
  <si>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</si>
  <si>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</si>
  <si>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</si>
  <si>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</si>
  <si>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</si>
  <si>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</si>
  <si>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</si>
  <si>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</si>
  <si>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</si>
  <si>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</si>
  <si>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</si>
  <si>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</si>
  <si>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</si>
  <si>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</si>
  <si>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</si>
  <si>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</si>
  <si>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</si>
  <si>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</si>
  <si>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</si>
  <si>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</si>
  <si>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</si>
  <si>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</si>
  <si>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</si>
  <si>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</si>
  <si>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</si>
  <si>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</si>
  <si>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</si>
  <si>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</si>
  <si>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</si>
  <si>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</si>
  <si>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</si>
  <si>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</si>
  <si>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</si>
  <si>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</si>
  <si>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</si>
  <si>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</si>
  <si>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</si>
  <si>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</si>
  <si>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</si>
  <si>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</si>
  <si>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</si>
  <si>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</si>
  <si>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</si>
  <si>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</si>
  <si>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</si>
  <si>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</si>
  <si>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</si>
  <si>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</si>
  <si>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</si>
  <si>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</si>
  <si>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</si>
  <si>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</si>
  <si>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</si>
  <si>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</si>
  <si>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</si>
  <si>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</si>
  <si>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</si>
  <si>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</si>
  <si>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</si>
  <si>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</si>
  <si>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</si>
  <si>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</si>
  <si>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</si>
  <si>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</si>
  <si>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</si>
  <si>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</si>
  <si>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</si>
  <si>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</si>
  <si>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</si>
  <si>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</si>
  <si>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</si>
  <si>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</si>
  <si>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</si>
  <si>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</si>
  <si>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</si>
  <si>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</si>
  <si>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</si>
  <si>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</si>
  <si>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</si>
  <si>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</si>
  <si>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</si>
  <si>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</si>
  <si>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</si>
  <si>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</si>
  <si>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</si>
  <si>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</si>
  <si>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</si>
  <si>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</si>
  <si>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</si>
  <si>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</si>
  <si>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</si>
  <si>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</si>
  <si>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</si>
  <si>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</si>
  <si>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</si>
  <si>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</si>
  <si>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</si>
  <si>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</si>
  <si>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</si>
  <si>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</si>
  <si>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</si>
  <si>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</si>
  <si>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</si>
  <si>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</si>
  <si>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</si>
  <si>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</si>
  <si>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</si>
  <si>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</si>
  <si>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</si>
  <si>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</si>
  <si>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</si>
  <si>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</si>
  <si>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</si>
  <si>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</si>
  <si>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</si>
  <si>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</si>
  <si>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</si>
  <si>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</si>
  <si>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</si>
  <si>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</si>
  <si>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</si>
  <si>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</si>
  <si>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</si>
  <si>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</si>
  <si>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</si>
  <si>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</si>
  <si>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</si>
  <si>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</si>
  <si>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</si>
  <si>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</si>
  <si>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</si>
  <si>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</si>
  <si>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</si>
  <si>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</si>
  <si>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</si>
  <si>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</si>
  <si>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</si>
  <si>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</si>
  <si>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</si>
  <si>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</si>
  <si>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</si>
  <si>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</si>
  <si>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</si>
  <si>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</si>
  <si>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</si>
  <si>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</si>
  <si>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</si>
  <si>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</si>
  <si>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</si>
  <si>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</si>
  <si>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</si>
  <si>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</si>
  <si>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</si>
  <si>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</si>
  <si>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</si>
  <si>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</si>
  <si>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</si>
  <si>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</si>
  <si>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</si>
  <si>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</si>
  <si>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</si>
  <si>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</si>
  <si>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</si>
  <si>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</si>
  <si>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</si>
  <si>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</si>
  <si>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</si>
  <si>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</si>
  <si>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</si>
  <si>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</si>
  <si>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</si>
  <si>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</si>
  <si>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</si>
  <si>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</si>
  <si>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</si>
  <si>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</si>
  <si>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</si>
  <si>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</si>
  <si>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</si>
  <si>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</si>
  <si>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</si>
  <si>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</si>
  <si>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</si>
  <si>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</si>
  <si>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</si>
  <si>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</si>
  <si>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</si>
  <si>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</si>
  <si>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</si>
  <si>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</si>
  <si>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</si>
  <si>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</si>
  <si>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</si>
  <si>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</si>
  <si>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</si>
  <si>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</si>
  <si>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</si>
  <si>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</si>
  <si>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</si>
  <si>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</si>
  <si>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</si>
  <si>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</si>
  <si>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</si>
  <si>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</si>
  <si>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</si>
  <si>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</si>
  <si>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</si>
  <si>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</si>
  <si>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</si>
  <si>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</si>
  <si>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</si>
  <si>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</si>
  <si>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</si>
  <si>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</si>
  <si>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</si>
  <si>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</si>
  <si>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</si>
  <si>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</si>
  <si>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</si>
  <si>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</si>
  <si>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</si>
  <si>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</si>
  <si>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</si>
  <si>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</si>
  <si>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</si>
  <si>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</si>
  <si>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</si>
  <si>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</si>
  <si>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</si>
  <si>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</si>
  <si>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</si>
  <si>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</si>
  <si>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</si>
  <si>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</si>
  <si>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</si>
  <si>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</si>
  <si>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</si>
  <si>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</si>
  <si>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</si>
  <si>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</si>
  <si>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</si>
  <si>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</si>
  <si>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</si>
  <si>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</si>
  <si>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</si>
  <si>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</si>
  <si>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</si>
  <si>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</si>
  <si>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</si>
  <si>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</si>
  <si>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</si>
  <si>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</si>
  <si>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</si>
  <si>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</si>
  <si>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</si>
  <si>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</si>
  <si>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</si>
  <si>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</si>
  <si>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</si>
  <si>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</si>
  <si>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</si>
  <si>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</si>
  <si>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</si>
  <si>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</si>
  <si>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</si>
  <si>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</si>
  <si>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</si>
  <si>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</si>
  <si>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</si>
  <si>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</si>
  <si>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</si>
  <si>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</si>
  <si>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</si>
  <si>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</si>
  <si>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</si>
  <si>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</si>
  <si>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</si>
  <si>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</si>
  <si>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</si>
  <si>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</si>
  <si>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</si>
  <si>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</si>
  <si>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</si>
  <si>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</si>
  <si>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</si>
  <si>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</si>
  <si>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</si>
  <si>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</si>
  <si>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</si>
  <si>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</si>
  <si>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</si>
  <si>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</si>
  <si>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</si>
  <si>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</si>
  <si>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</si>
  <si>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</si>
  <si>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</si>
  <si>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</si>
  <si>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</si>
  <si>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</si>
  <si>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</si>
  <si>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</si>
  <si>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</si>
  <si>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</si>
  <si>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</si>
  <si>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</si>
  <si>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</si>
  <si>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</si>
  <si>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</si>
  <si>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</si>
  <si>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</si>
  <si>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</si>
  <si>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</si>
  <si>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</si>
  <si>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</si>
  <si>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</si>
  <si>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</si>
  <si>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</si>
  <si>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</si>
  <si>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</si>
  <si>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</si>
  <si>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</si>
  <si>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</si>
  <si>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</si>
  <si>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</si>
  <si>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</si>
  <si>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</si>
  <si>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</si>
  <si>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</si>
  <si>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</si>
  <si>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</si>
  <si>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</si>
  <si>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</si>
  <si>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</si>
  <si>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</si>
  <si>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</si>
  <si>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</si>
  <si>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</si>
  <si>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</si>
  <si>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</si>
  <si>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</si>
  <si>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</si>
  <si>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</si>
  <si>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</si>
  <si>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</si>
  <si>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</si>
  <si>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</si>
  <si>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</si>
  <si>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</si>
  <si>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</si>
  <si>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</si>
  <si>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</si>
  <si>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</si>
  <si>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</si>
  <si>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</si>
  <si>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</si>
  <si>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</si>
  <si>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</si>
  <si>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</si>
  <si>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</si>
  <si>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</si>
  <si>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</si>
  <si>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</si>
  <si>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</si>
  <si>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</si>
  <si>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</si>
  <si>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</si>
  <si>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</si>
  <si>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</si>
  <si>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</si>
  <si>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</si>
  <si>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</si>
  <si>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</si>
  <si>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</si>
  <si>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</si>
  <si>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</si>
  <si>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</si>
  <si>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</si>
  <si>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</si>
  <si>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</si>
  <si>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</si>
  <si>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</si>
  <si>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</si>
  <si>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</si>
  <si>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</si>
  <si>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</si>
  <si>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</si>
  <si>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</si>
  <si>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tarjoavat: Ii, Pudasjärvi, Utajärvi, Vaala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</si>
</sst>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3" fontId="6" fillId="4" borderId="69" xfId="0" applyNumberFormat="1" applyFont="1" applyFill="1" applyBorder="1" applyAlignment="1" applyProtection="1">
      <alignment horizontal="center" vertical="center"/>
      <protection locked="0"/>
    </xf>
    <xf numFmtId="0" fontId="10" fillId="0" borderId="106" xfId="0" applyFont="1" applyBorder="1" applyAlignment="1">
      <alignment horizontal="left" vertical="center"/>
    </xf>
    <xf numFmtId="0" fontId="10" fillId="0" borderId="69" xfId="0" applyFont="1" applyBorder="1" applyAlignment="1">
      <alignment horizontal="left" vertic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3" fontId="0" fillId="0" borderId="0" xfId="0" applyNumberFormat="1" applyAlignment="1">
      <alignment horizontal="center" vertical="center"/>
    </xf>
    <xf numFmtId="3" fontId="10" fillId="4" borderId="69"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4" fontId="6" fillId="0" borderId="69" xfId="0" applyNumberFormat="1" applyFont="1" applyBorder="1" applyAlignment="1" applyProtection="1">
      <alignment horizontal="center" vertical="center"/>
      <protection hidden="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4" fontId="6" fillId="4" borderId="69" xfId="0" applyNumberFormat="1" applyFont="1" applyFill="1" applyBorder="1" applyAlignment="1" applyProtection="1">
      <alignment horizontal="center" vertical="center"/>
      <protection locked="0"/>
    </xf>
    <xf numFmtId="3" fontId="6" fillId="0" borderId="69" xfId="0" applyNumberFormat="1" applyFont="1" applyBorder="1" applyAlignment="1" applyProtection="1">
      <alignment horizontal="center" vertical="center"/>
      <protection hidden="1"/>
    </xf>
    <xf numFmtId="0" fontId="3" fillId="4" borderId="74" xfId="0" applyFont="1" applyFill="1" applyBorder="1" applyAlignment="1" applyProtection="1">
      <alignment horizontal="left" vertical="center"/>
      <protection locked="0"/>
    </xf>
    <xf numFmtId="0" fontId="3" fillId="4" borderId="69" xfId="0" applyFont="1" applyFill="1" applyBorder="1" applyAlignment="1" applyProtection="1">
      <alignment horizontal="left" vertical="center"/>
      <protection locked="0"/>
    </xf>
    <xf numFmtId="0" fontId="6" fillId="0" borderId="127" xfId="0" applyFont="1" applyBorder="1" applyAlignment="1">
      <alignment horizontal="left" vertical="center"/>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164" fontId="6" fillId="0" borderId="69" xfId="0" applyNumberFormat="1" applyFont="1" applyBorder="1" applyAlignment="1" applyProtection="1">
      <alignment horizontal="center" vertical="center"/>
      <protection hidden="1"/>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8"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164" fontId="6" fillId="4" borderId="96"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164" fontId="6" fillId="4" borderId="72" xfId="0" applyNumberFormat="1"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0" fontId="6" fillId="0" borderId="130"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3" fontId="11" fillId="4" borderId="69" xfId="0" applyNumberFormat="1" applyFont="1" applyFill="1" applyBorder="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0" fontId="6" fillId="0" borderId="106" xfId="0" applyFont="1" applyBorder="1" applyAlignment="1">
      <alignment horizontal="left" vertical="center"/>
    </xf>
    <xf numFmtId="0" fontId="6" fillId="0" borderId="103" xfId="0" applyFont="1" applyBorder="1" applyAlignment="1">
      <alignment horizontal="left" vertical="center"/>
    </xf>
    <xf numFmtId="49" fontId="11" fillId="4" borderId="0" xfId="0" applyNumberFormat="1" applyFont="1" applyFill="1" applyAlignment="1" applyProtection="1">
      <alignment horizontal="left" vertical="center"/>
      <protection locked="0"/>
    </xf>
    <xf numFmtId="0" fontId="36" fillId="25" borderId="83" xfId="0" applyFont="1" applyFill="1" applyBorder="1" applyAlignment="1" applyProtection="1">
      <alignment horizontal="center"/>
      <protection hidden="1"/>
    </xf>
    <xf numFmtId="0" fontId="10" fillId="0" borderId="97" xfId="0" applyFont="1" applyBorder="1" applyAlignment="1">
      <alignment horizontal="left" vertical="center"/>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0" fontId="10" fillId="0" borderId="0" xfId="0" applyFont="1" applyAlignment="1">
      <alignment horizontal="right" vertical="center" indent="1"/>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99" xfId="0" applyFont="1" applyFill="1" applyBorder="1" applyAlignment="1" applyProtection="1">
      <alignment horizontal="left" vertical="center"/>
      <protection locked="0"/>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0" fontId="6" fillId="0" borderId="104" xfId="0" applyFont="1" applyBorder="1" applyAlignment="1">
      <alignment horizontal="left" vertical="center"/>
    </xf>
    <xf numFmtId="0" fontId="5" fillId="0" borderId="0" xfId="0" applyFont="1" applyAlignment="1">
      <alignment horizontal="left" vertical="top" wrapText="1"/>
    </xf>
    <xf numFmtId="0" fontId="11" fillId="0" borderId="98" xfId="0" applyFont="1" applyBorder="1" applyAlignment="1">
      <alignment horizontal="left" vertical="center"/>
    </xf>
    <xf numFmtId="0" fontId="11" fillId="0" borderId="104" xfId="0" applyFont="1" applyBorder="1" applyAlignment="1">
      <alignment horizontal="left" vertical="center"/>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10" fillId="0" borderId="75" xfId="0" applyFont="1" applyBorder="1" applyAlignment="1">
      <alignment horizontal="left"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0" xfId="0" applyFont="1" applyBorder="1" applyAlignment="1">
      <alignment horizontal="left" vertical="center"/>
    </xf>
    <xf numFmtId="0" fontId="11" fillId="0" borderId="105" xfId="0" applyFont="1" applyBorder="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6" fillId="0" borderId="113"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76" xfId="0" applyNumberFormat="1" applyFont="1" applyBorder="1" applyAlignment="1">
      <alignment horizontal="center" vertical="center"/>
    </xf>
    <xf numFmtId="3" fontId="11" fillId="6" borderId="0" xfId="0" applyNumberFormat="1" applyFont="1" applyFill="1" applyAlignment="1" applyProtection="1">
      <alignment horizontal="center" vertical="center"/>
      <protection locked="0"/>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1" fontId="38" fillId="25" borderId="84" xfId="0" applyNumberFormat="1" applyFont="1" applyFill="1" applyBorder="1" applyAlignment="1">
      <alignment horizontal="center"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49" fontId="11" fillId="4" borderId="100"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0" fillId="0" borderId="0" xfId="0" applyAlignment="1">
      <alignment horizontal="center"/>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5" xfId="0" applyFont="1" applyBorder="1" applyAlignment="1">
      <alignment horizontal="left" vertical="center"/>
    </xf>
    <xf numFmtId="0" fontId="11" fillId="0" borderId="41" xfId="0" applyFont="1" applyBorder="1" applyAlignment="1">
      <alignment horizontal="left" vertical="center"/>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5" fillId="27" borderId="48" xfId="0" applyFont="1" applyFill="1" applyBorder="1" applyAlignment="1">
      <alignment horizontal="left" vertic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6" fillId="0" borderId="0" xfId="0" applyFont="1" applyAlignment="1" applyProtection="1">
      <alignment horizontal="center"/>
      <protection hidden="1"/>
    </xf>
    <xf numFmtId="0" fontId="6" fillId="0" borderId="0" xfId="0" applyFont="1" applyAlignment="1">
      <alignment horizontal="center"/>
    </xf>
    <xf numFmtId="17" fontId="1" fillId="4" borderId="8" xfId="0"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59734</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636815</xdr:colOff>
      <xdr:row>1</xdr:row>
      <xdr:rowOff>9368</xdr:rowOff>
    </xdr:from>
    <xdr:to>
      <xdr:col>12</xdr:col>
      <xdr:colOff>360441</xdr:colOff>
      <xdr:row>5</xdr:row>
      <xdr:rowOff>92530</xdr:rowOff>
    </xdr:to>
    <xdr:pic>
      <xdr:nvPicPr>
        <xdr:cNvPr id="153" name="Kuva 152">
          <a:extLst>
            <a:ext uri="{FF2B5EF4-FFF2-40B4-BE49-F238E27FC236}">
              <a16:creationId xmlns:a16="http://schemas.microsoft.com/office/drawing/2014/main" id="{9F003C33-DC43-9F8A-0B3F-25205B5111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80415" y="167211"/>
          <a:ext cx="1214969" cy="1100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C5" sqref="C5:E5"/>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927"/>
      <c r="L1" s="927"/>
      <c r="M1" s="927"/>
    </row>
    <row r="2" spans="2:24" ht="40.950000000000003" customHeight="1">
      <c r="C2" s="260"/>
      <c r="D2" s="34"/>
      <c r="J2" s="928" t="s">
        <v>465</v>
      </c>
      <c r="K2" s="929"/>
      <c r="L2" s="929"/>
      <c r="M2" s="929"/>
    </row>
    <row r="3" spans="2:24" ht="12.75" customHeight="1">
      <c r="C3" s="260"/>
      <c r="D3" s="34"/>
      <c r="J3" s="437"/>
      <c r="K3" s="453"/>
      <c r="L3" s="453"/>
      <c r="M3" s="453"/>
    </row>
    <row r="4" spans="2:24" ht="13.5" customHeight="1">
      <c r="B4" s="775" t="s">
        <v>103</v>
      </c>
      <c r="C4" s="286" t="s">
        <v>6</v>
      </c>
      <c r="D4" s="252"/>
      <c r="E4" s="253"/>
      <c r="H4" s="73" t="s">
        <v>193</v>
      </c>
      <c r="J4" s="943"/>
      <c r="K4" s="943"/>
      <c r="L4" s="943"/>
      <c r="M4" s="943"/>
      <c r="R4" s="254"/>
    </row>
    <row r="5" spans="2:24" ht="13.75" customHeight="1">
      <c r="B5" s="775"/>
      <c r="C5" s="883" t="s">
        <v>0</v>
      </c>
      <c r="D5" s="883"/>
      <c r="E5" s="883"/>
      <c r="F5" s="291"/>
      <c r="G5" s="291"/>
      <c r="H5" s="420">
        <v>0</v>
      </c>
      <c r="J5" s="880"/>
      <c r="K5" s="880"/>
      <c r="L5" s="880"/>
      <c r="M5" s="880"/>
      <c r="O5" s="271"/>
      <c r="P5" s="271"/>
    </row>
    <row r="6" spans="2:24" ht="14.15">
      <c r="C6" s="835" t="s">
        <v>1</v>
      </c>
      <c r="D6" s="835"/>
      <c r="E6" s="254"/>
      <c r="F6" s="255"/>
      <c r="G6" s="255"/>
      <c r="H6" s="256" t="s">
        <v>185</v>
      </c>
      <c r="I6" s="256"/>
      <c r="J6" s="257" t="s">
        <v>0</v>
      </c>
      <c r="K6" s="212"/>
      <c r="L6" s="256"/>
      <c r="M6" s="11" t="s">
        <v>0</v>
      </c>
    </row>
    <row r="7" spans="2:24" ht="13.4" customHeight="1">
      <c r="C7" s="884">
        <v>0</v>
      </c>
      <c r="D7" s="884"/>
      <c r="E7" s="884"/>
      <c r="F7" s="24"/>
      <c r="G7" s="24"/>
      <c r="H7" s="884">
        <v>0</v>
      </c>
      <c r="I7" s="884"/>
      <c r="J7" s="884"/>
      <c r="K7" s="884"/>
      <c r="L7" s="884"/>
      <c r="M7" s="884"/>
      <c r="O7" s="271"/>
    </row>
    <row r="8" spans="2:24" ht="12.75" customHeight="1">
      <c r="C8" s="16"/>
      <c r="D8" s="267"/>
      <c r="E8" s="267"/>
      <c r="F8" s="267"/>
      <c r="G8" s="267"/>
      <c r="H8" s="267"/>
      <c r="I8" s="267"/>
      <c r="J8" s="267"/>
      <c r="K8" s="267"/>
      <c r="L8" s="268"/>
      <c r="M8" s="268"/>
    </row>
    <row r="9" spans="2:24" ht="23.25" customHeight="1">
      <c r="B9" s="271"/>
      <c r="C9" s="916" t="s">
        <v>223</v>
      </c>
      <c r="D9" s="917"/>
      <c r="E9" s="918"/>
      <c r="F9" s="948" t="s">
        <v>13</v>
      </c>
      <c r="G9" s="949"/>
      <c r="H9" s="950" t="s">
        <v>186</v>
      </c>
      <c r="I9" s="951"/>
      <c r="J9" s="951"/>
      <c r="K9" s="951"/>
      <c r="L9" s="952"/>
      <c r="M9" s="612" t="s">
        <v>13</v>
      </c>
      <c r="O9" s="499" t="s">
        <v>412</v>
      </c>
      <c r="P9" s="713"/>
      <c r="Q9" s="713"/>
      <c r="R9" s="713"/>
      <c r="S9" s="713"/>
      <c r="T9" s="713"/>
      <c r="U9" s="713"/>
      <c r="V9" s="713"/>
      <c r="W9" s="713"/>
      <c r="X9" s="714"/>
    </row>
    <row r="10" spans="2:24" ht="13.5" customHeight="1">
      <c r="C10" s="889" t="s">
        <v>401</v>
      </c>
      <c r="D10" s="756"/>
      <c r="E10" s="525" t="s">
        <v>39</v>
      </c>
      <c r="F10" s="777">
        <f>F11+F12+F13</f>
        <v>0</v>
      </c>
      <c r="G10" s="777"/>
      <c r="H10" s="889" t="s">
        <v>240</v>
      </c>
      <c r="I10" s="755"/>
      <c r="J10" s="755"/>
      <c r="K10" s="885" t="s">
        <v>14</v>
      </c>
      <c r="L10" s="886"/>
      <c r="M10" s="538">
        <f>SUM(M12:M14)</f>
        <v>0</v>
      </c>
      <c r="O10" s="715">
        <v>0</v>
      </c>
      <c r="P10" s="400"/>
      <c r="Q10" s="400"/>
      <c r="R10" s="400"/>
      <c r="S10" s="400"/>
      <c r="T10" s="688" t="s">
        <v>398</v>
      </c>
      <c r="U10" s="400"/>
      <c r="V10" s="400"/>
      <c r="W10" s="400"/>
      <c r="X10" s="689"/>
    </row>
    <row r="11" spans="2:24" ht="13.5" customHeight="1">
      <c r="C11" s="881" t="s">
        <v>432</v>
      </c>
      <c r="D11" s="882"/>
      <c r="E11" s="496">
        <v>0</v>
      </c>
      <c r="F11" s="833">
        <v>0</v>
      </c>
      <c r="G11" s="833"/>
      <c r="H11" s="899" t="s">
        <v>191</v>
      </c>
      <c r="I11" s="900"/>
      <c r="J11" s="627" t="s">
        <v>21</v>
      </c>
      <c r="K11" s="887" t="s">
        <v>24</v>
      </c>
      <c r="L11" s="888"/>
      <c r="M11" s="539" t="s">
        <v>22</v>
      </c>
      <c r="O11" s="715">
        <v>0</v>
      </c>
      <c r="P11" s="690">
        <v>0</v>
      </c>
      <c r="Q11" s="400"/>
      <c r="R11" s="400"/>
      <c r="S11" s="693"/>
      <c r="T11" s="693"/>
      <c r="U11" s="693"/>
      <c r="V11" s="695"/>
      <c r="W11" s="400"/>
      <c r="X11" s="689"/>
    </row>
    <row r="12" spans="2:24" ht="13.5" customHeight="1">
      <c r="C12" s="892" t="s">
        <v>433</v>
      </c>
      <c r="D12" s="893"/>
      <c r="E12" s="496">
        <v>0</v>
      </c>
      <c r="F12" s="833">
        <v>0</v>
      </c>
      <c r="G12" s="833"/>
      <c r="H12" s="896" t="s">
        <v>108</v>
      </c>
      <c r="I12" s="896"/>
      <c r="J12" s="497">
        <v>0</v>
      </c>
      <c r="K12" s="535">
        <v>0</v>
      </c>
      <c r="L12" s="536">
        <v>0</v>
      </c>
      <c r="M12" s="537">
        <v>0</v>
      </c>
      <c r="O12" s="671"/>
      <c r="P12" s="690" t="s">
        <v>154</v>
      </c>
      <c r="Q12" s="400"/>
      <c r="R12" s="400"/>
      <c r="S12" s="693">
        <v>0</v>
      </c>
      <c r="T12" s="693">
        <v>0</v>
      </c>
      <c r="U12" s="693">
        <v>0</v>
      </c>
      <c r="V12" s="695"/>
      <c r="W12" s="400"/>
      <c r="X12" s="689"/>
    </row>
    <row r="13" spans="2:24" ht="13.5" customHeight="1">
      <c r="C13" s="894" t="s">
        <v>434</v>
      </c>
      <c r="D13" s="895"/>
      <c r="E13" s="496">
        <v>0</v>
      </c>
      <c r="F13" s="833">
        <v>0</v>
      </c>
      <c r="G13" s="833"/>
      <c r="H13" s="897" t="s">
        <v>107</v>
      </c>
      <c r="I13" s="898"/>
      <c r="J13" s="496">
        <v>0</v>
      </c>
      <c r="K13" s="529">
        <v>0</v>
      </c>
      <c r="L13" s="530">
        <v>0</v>
      </c>
      <c r="M13" s="531">
        <v>0</v>
      </c>
      <c r="O13" s="671"/>
      <c r="P13" s="691"/>
      <c r="Q13" s="400"/>
      <c r="R13" s="691"/>
      <c r="S13" s="693"/>
      <c r="T13" s="693"/>
      <c r="U13" s="693"/>
      <c r="V13" s="693"/>
      <c r="W13" s="691"/>
      <c r="X13" s="502"/>
    </row>
    <row r="14" spans="2:24" ht="13.5" customHeight="1">
      <c r="C14" s="890" t="s">
        <v>236</v>
      </c>
      <c r="D14" s="891"/>
      <c r="E14" s="525" t="s">
        <v>39</v>
      </c>
      <c r="F14" s="777">
        <f>SUM(F15:F20)</f>
        <v>0</v>
      </c>
      <c r="G14" s="777"/>
      <c r="H14" s="896"/>
      <c r="I14" s="896"/>
      <c r="J14" s="496">
        <v>0</v>
      </c>
      <c r="K14" s="529">
        <v>0</v>
      </c>
      <c r="L14" s="530">
        <v>0</v>
      </c>
      <c r="M14" s="531">
        <v>0</v>
      </c>
      <c r="O14" s="501"/>
      <c r="P14" s="691"/>
      <c r="Q14" s="691"/>
      <c r="R14" s="692"/>
      <c r="S14" s="693"/>
      <c r="T14" s="693"/>
      <c r="U14" s="693"/>
      <c r="V14" s="693"/>
      <c r="W14" s="691"/>
      <c r="X14" s="502"/>
    </row>
    <row r="15" spans="2:24" ht="13.5" customHeight="1">
      <c r="C15" s="860"/>
      <c r="D15" s="861"/>
      <c r="E15" s="496">
        <v>0</v>
      </c>
      <c r="F15" s="833">
        <v>0</v>
      </c>
      <c r="G15" s="833"/>
      <c r="H15" s="889" t="s">
        <v>241</v>
      </c>
      <c r="I15" s="756"/>
      <c r="J15" s="496">
        <v>0</v>
      </c>
      <c r="K15" s="901">
        <v>0</v>
      </c>
      <c r="L15" s="901"/>
      <c r="M15" s="531">
        <v>0</v>
      </c>
      <c r="O15" s="501"/>
      <c r="P15" s="691"/>
      <c r="Q15" s="691"/>
      <c r="R15" s="692"/>
      <c r="S15" s="693"/>
      <c r="T15" s="693"/>
      <c r="U15" s="693"/>
      <c r="V15" s="693"/>
      <c r="W15" s="693"/>
      <c r="X15" s="663"/>
    </row>
    <row r="16" spans="2:24" ht="13.5" customHeight="1">
      <c r="C16" s="897"/>
      <c r="D16" s="955"/>
      <c r="E16" s="496">
        <v>0</v>
      </c>
      <c r="F16" s="833">
        <v>0</v>
      </c>
      <c r="G16" s="833"/>
      <c r="H16" s="889" t="s">
        <v>242</v>
      </c>
      <c r="I16" s="756"/>
      <c r="J16" s="496">
        <v>0</v>
      </c>
      <c r="K16" s="901">
        <v>0</v>
      </c>
      <c r="L16" s="901"/>
      <c r="M16" s="531">
        <v>0</v>
      </c>
      <c r="O16" s="501"/>
      <c r="P16" s="691"/>
      <c r="Q16" s="691"/>
      <c r="R16" s="692"/>
      <c r="S16" s="693"/>
      <c r="T16" s="693"/>
      <c r="U16" s="693"/>
      <c r="V16" s="693"/>
      <c r="W16" s="693"/>
      <c r="X16" s="663"/>
    </row>
    <row r="17" spans="1:24" ht="13.5" customHeight="1">
      <c r="C17" s="960"/>
      <c r="D17" s="961"/>
      <c r="E17" s="496">
        <v>0</v>
      </c>
      <c r="F17" s="833">
        <v>0</v>
      </c>
      <c r="G17" s="833"/>
      <c r="H17" s="765" t="s">
        <v>243</v>
      </c>
      <c r="I17" s="765"/>
      <c r="J17" s="765"/>
      <c r="K17" s="765"/>
      <c r="L17" s="765"/>
      <c r="M17" s="532">
        <f>SUM(M18:M20)</f>
        <v>0</v>
      </c>
      <c r="O17" s="501"/>
      <c r="P17" s="691"/>
      <c r="Q17" s="691"/>
      <c r="R17" s="692"/>
      <c r="S17" s="693"/>
      <c r="T17" s="693"/>
      <c r="U17" s="693"/>
      <c r="V17" s="693"/>
      <c r="W17" s="693"/>
      <c r="X17" s="663"/>
    </row>
    <row r="18" spans="1:24" ht="13.5" customHeight="1">
      <c r="C18" s="881" t="s">
        <v>69</v>
      </c>
      <c r="D18" s="882"/>
      <c r="E18" s="526">
        <v>0</v>
      </c>
      <c r="F18" s="833">
        <v>0</v>
      </c>
      <c r="G18" s="833"/>
      <c r="H18" s="896" t="s">
        <v>190</v>
      </c>
      <c r="I18" s="896"/>
      <c r="J18" s="896"/>
      <c r="K18" s="896"/>
      <c r="L18" s="896"/>
      <c r="M18" s="533">
        <f>IF('Lainat ja avustukset'!E52&lt;0,0,'Lainat ja avustukset'!$E$52)</f>
        <v>0</v>
      </c>
      <c r="O18" s="501"/>
      <c r="P18" s="691"/>
      <c r="Q18" s="691"/>
      <c r="R18" s="692"/>
      <c r="S18" s="693"/>
      <c r="T18" s="693">
        <v>0</v>
      </c>
      <c r="U18" s="693"/>
      <c r="V18" s="693"/>
      <c r="W18" s="693"/>
      <c r="X18" s="663"/>
    </row>
    <row r="19" spans="1:24" ht="13.5" customHeight="1">
      <c r="C19" s="892" t="s">
        <v>196</v>
      </c>
      <c r="D19" s="893"/>
      <c r="E19" s="526"/>
      <c r="F19" s="833">
        <v>0</v>
      </c>
      <c r="G19" s="833"/>
      <c r="H19" s="962" t="s">
        <v>194</v>
      </c>
      <c r="I19" s="875"/>
      <c r="J19" s="875"/>
      <c r="K19" s="875"/>
      <c r="L19" s="876"/>
      <c r="M19" s="531">
        <v>0</v>
      </c>
      <c r="O19" s="501"/>
      <c r="P19" s="691"/>
      <c r="Q19" s="691"/>
      <c r="R19" s="692"/>
      <c r="S19" s="693"/>
      <c r="T19" s="693"/>
      <c r="U19" s="693"/>
      <c r="V19" s="693"/>
      <c r="W19" s="693"/>
      <c r="X19" s="663"/>
    </row>
    <row r="20" spans="1:24" ht="13.5" customHeight="1">
      <c r="C20" s="958" t="s">
        <v>26</v>
      </c>
      <c r="D20" s="959"/>
      <c r="E20" s="527">
        <v>0</v>
      </c>
      <c r="F20" s="963">
        <v>0</v>
      </c>
      <c r="G20" s="963"/>
      <c r="H20" s="843"/>
      <c r="I20" s="843"/>
      <c r="J20" s="843"/>
      <c r="K20" s="843"/>
      <c r="L20" s="843"/>
      <c r="M20" s="531">
        <v>0</v>
      </c>
      <c r="O20" s="501"/>
      <c r="P20" s="691"/>
      <c r="Q20" s="691"/>
      <c r="R20" s="692"/>
      <c r="S20" s="693"/>
      <c r="T20" s="693"/>
      <c r="U20" s="693"/>
      <c r="V20" s="693"/>
      <c r="W20" s="693"/>
      <c r="X20" s="663"/>
    </row>
    <row r="21" spans="1:24" ht="13.5" customHeight="1">
      <c r="C21" s="765" t="s">
        <v>237</v>
      </c>
      <c r="D21" s="765"/>
      <c r="E21" s="765"/>
      <c r="F21" s="777">
        <f>F22+F23</f>
        <v>0</v>
      </c>
      <c r="G21" s="777"/>
      <c r="H21" s="848" t="s">
        <v>244</v>
      </c>
      <c r="I21" s="848"/>
      <c r="J21" s="848"/>
      <c r="K21" s="848"/>
      <c r="L21" s="849"/>
      <c r="M21" s="469">
        <f>IF((F13+F14+F21-F20-M15-F18)*0.19355&lt;0,0,(F13+F14+F21-F20-M15-F18)*0.19355)</f>
        <v>0</v>
      </c>
      <c r="O21" s="501"/>
      <c r="P21" s="691"/>
      <c r="Q21" s="691"/>
      <c r="R21" s="692"/>
      <c r="S21" s="693"/>
      <c r="T21" s="693"/>
      <c r="U21" s="693"/>
      <c r="V21" s="693"/>
      <c r="W21" s="693"/>
      <c r="X21" s="663"/>
    </row>
    <row r="22" spans="1:24" ht="13.5" customHeight="1">
      <c r="C22" s="860"/>
      <c r="D22" s="861"/>
      <c r="E22" s="862"/>
      <c r="F22" s="941">
        <v>0</v>
      </c>
      <c r="G22" s="942"/>
      <c r="H22" s="534" t="s">
        <v>245</v>
      </c>
      <c r="I22" s="534"/>
      <c r="J22" s="534"/>
      <c r="K22" s="847"/>
      <c r="L22" s="847"/>
      <c r="M22" s="469">
        <f>SUM(M23:M26)</f>
        <v>0</v>
      </c>
      <c r="O22" s="501"/>
      <c r="P22" s="691"/>
      <c r="Q22" s="691"/>
      <c r="R22" s="692"/>
      <c r="S22" s="693"/>
      <c r="T22" s="693"/>
      <c r="U22" s="693"/>
      <c r="V22" s="693"/>
      <c r="W22" s="693"/>
      <c r="X22" s="663"/>
    </row>
    <row r="23" spans="1:24" ht="13.5" customHeight="1">
      <c r="C23" s="960"/>
      <c r="D23" s="961"/>
      <c r="E23" s="974"/>
      <c r="F23" s="941">
        <v>0</v>
      </c>
      <c r="G23" s="942"/>
      <c r="H23" s="968" t="s">
        <v>23</v>
      </c>
      <c r="I23" s="968"/>
      <c r="J23" s="968"/>
      <c r="K23" s="968"/>
      <c r="L23" s="969"/>
      <c r="M23" s="531">
        <v>0</v>
      </c>
      <c r="O23" s="501"/>
      <c r="P23" s="691"/>
      <c r="Q23" s="691"/>
      <c r="R23" s="692"/>
      <c r="S23" s="693"/>
      <c r="T23" s="693"/>
      <c r="U23" s="693"/>
      <c r="V23" s="693"/>
      <c r="W23" s="693"/>
      <c r="X23" s="663"/>
    </row>
    <row r="24" spans="1:24" ht="13.5" customHeight="1">
      <c r="C24" s="765" t="s">
        <v>238</v>
      </c>
      <c r="D24" s="765"/>
      <c r="E24" s="765"/>
      <c r="F24" s="947">
        <v>0</v>
      </c>
      <c r="G24" s="947"/>
      <c r="H24" s="875" t="s">
        <v>222</v>
      </c>
      <c r="I24" s="875"/>
      <c r="J24" s="875"/>
      <c r="K24" s="875"/>
      <c r="L24" s="876"/>
      <c r="M24" s="531">
        <v>0</v>
      </c>
      <c r="O24" s="501"/>
      <c r="P24" s="691"/>
      <c r="Q24" s="691"/>
      <c r="R24" s="692"/>
      <c r="S24" s="693"/>
      <c r="T24" s="693"/>
      <c r="U24" s="693"/>
      <c r="V24" s="693"/>
      <c r="W24" s="693"/>
      <c r="X24" s="663"/>
    </row>
    <row r="25" spans="1:24" ht="13.5" customHeight="1">
      <c r="A25" s="753"/>
      <c r="B25" s="753"/>
      <c r="C25" s="765" t="s">
        <v>239</v>
      </c>
      <c r="D25" s="765"/>
      <c r="E25" s="765"/>
      <c r="F25" s="774">
        <v>0</v>
      </c>
      <c r="G25" s="774"/>
      <c r="H25" s="875" t="s">
        <v>0</v>
      </c>
      <c r="I25" s="875"/>
      <c r="J25" s="875"/>
      <c r="K25" s="875"/>
      <c r="L25" s="876"/>
      <c r="M25" s="531">
        <v>0</v>
      </c>
      <c r="O25" s="501"/>
      <c r="P25" s="691"/>
      <c r="Q25" s="691"/>
      <c r="R25" s="692"/>
      <c r="S25" s="693"/>
      <c r="T25" s="693"/>
      <c r="U25" s="693"/>
      <c r="V25" s="693"/>
      <c r="W25" s="693"/>
      <c r="X25" s="663"/>
    </row>
    <row r="26" spans="1:24" ht="13.5" customHeight="1">
      <c r="A26" s="753"/>
      <c r="B26" s="753"/>
      <c r="C26" s="765" t="s">
        <v>246</v>
      </c>
      <c r="D26" s="765"/>
      <c r="E26" s="765"/>
      <c r="F26" s="774">
        <v>0</v>
      </c>
      <c r="G26" s="774"/>
      <c r="H26" s="934"/>
      <c r="I26" s="935"/>
      <c r="J26" s="935"/>
      <c r="K26" s="935"/>
      <c r="L26" s="936"/>
      <c r="M26" s="531">
        <v>0</v>
      </c>
      <c r="O26" s="501"/>
      <c r="P26" s="691"/>
      <c r="Q26" s="691"/>
      <c r="R26" s="692"/>
      <c r="S26" s="693"/>
      <c r="T26" s="693"/>
      <c r="U26" s="693"/>
      <c r="V26" s="693"/>
      <c r="W26" s="693"/>
      <c r="X26" s="663"/>
    </row>
    <row r="27" spans="1:24" ht="17.25" customHeight="1">
      <c r="A27" s="753"/>
      <c r="B27" s="753"/>
      <c r="C27" s="261"/>
      <c r="D27" s="850" t="s">
        <v>14</v>
      </c>
      <c r="E27" s="850"/>
      <c r="F27" s="964">
        <f>F10+F14+F21+F25+F26+F24</f>
        <v>0</v>
      </c>
      <c r="G27" s="965"/>
      <c r="H27" s="870"/>
      <c r="I27" s="870"/>
      <c r="J27" s="870"/>
      <c r="K27" s="850" t="s">
        <v>14</v>
      </c>
      <c r="L27" s="850"/>
      <c r="M27" s="528">
        <f>M10+M15+M17+M21+M22+M16</f>
        <v>0</v>
      </c>
      <c r="O27" s="501"/>
      <c r="P27" s="691"/>
      <c r="Q27" s="691"/>
      <c r="R27" s="692"/>
      <c r="S27" s="693"/>
      <c r="T27" s="693"/>
      <c r="U27" s="693"/>
      <c r="V27" s="693"/>
      <c r="W27" s="693"/>
      <c r="X27" s="663"/>
    </row>
    <row r="28" spans="1:24" ht="3.75" customHeight="1">
      <c r="A28" s="753"/>
      <c r="B28" s="753"/>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753"/>
      <c r="B29" s="753"/>
      <c r="C29" s="853" t="s">
        <v>192</v>
      </c>
      <c r="D29" s="853"/>
      <c r="E29" s="853"/>
      <c r="F29" s="956">
        <f>ROUND(F27-M27,0)</f>
        <v>0</v>
      </c>
      <c r="G29" s="957"/>
      <c r="H29" s="853" t="s">
        <v>183</v>
      </c>
      <c r="I29" s="853"/>
      <c r="J29" s="853"/>
      <c r="K29" s="853"/>
      <c r="L29" s="853"/>
      <c r="M29" s="528">
        <f>M17+M21</f>
        <v>0</v>
      </c>
      <c r="N29" s="278"/>
      <c r="O29" s="501"/>
      <c r="P29" s="691"/>
      <c r="Q29" s="691"/>
      <c r="R29" s="692"/>
      <c r="S29" s="693"/>
      <c r="T29" s="693"/>
      <c r="U29" s="693"/>
      <c r="V29" s="693"/>
      <c r="W29" s="693"/>
      <c r="X29" s="663"/>
    </row>
    <row r="30" spans="1:24" ht="13.5" customHeight="1">
      <c r="A30" s="753"/>
      <c r="B30" s="753"/>
      <c r="C30" s="439"/>
      <c r="D30" s="904" t="str">
        <f>IF(F29&lt;&gt; 0,"Tarkista: Solut F27 Rahoitustarve ja M27 Rahoitussuunnitelma oltava yhtäsuuret!","")</f>
        <v/>
      </c>
      <c r="E30" s="904"/>
      <c r="F30" s="904"/>
      <c r="G30" s="904"/>
      <c r="H30" s="904"/>
      <c r="I30" s="904"/>
      <c r="J30" s="904"/>
      <c r="K30" s="904"/>
      <c r="L30" s="904"/>
      <c r="M30" s="904"/>
      <c r="N30" s="278"/>
      <c r="O30" s="501"/>
      <c r="P30" s="691"/>
      <c r="Q30" s="691"/>
      <c r="R30" s="692"/>
      <c r="S30" s="693"/>
      <c r="T30" s="693"/>
      <c r="U30" s="693"/>
      <c r="V30" s="693"/>
      <c r="W30" s="693"/>
      <c r="X30" s="663"/>
    </row>
    <row r="31" spans="1:24" ht="13.5" customHeight="1">
      <c r="C31" s="606" t="s">
        <v>0</v>
      </c>
      <c r="D31" s="871" t="str">
        <f>IF(J33=12,"TOIMINTAKUSTANNUKSET TILIKAUDELLA (alv 0 %)","TOIMINTAKUSTANNUKSET TILIKAUDELLA (alv 0 %). HUOMIOI KUSTANNUKSISSA TILIKAUDEN PITUUS!")</f>
        <v>TOIMINTAKUSTANNUKSET TILIKAUDELLA (alv 0 %)</v>
      </c>
      <c r="E31" s="871"/>
      <c r="F31" s="871"/>
      <c r="G31" s="871"/>
      <c r="H31" s="872"/>
      <c r="I31" s="778" t="s">
        <v>157</v>
      </c>
      <c r="J31" s="779"/>
      <c r="K31" s="838" t="s">
        <v>158</v>
      </c>
      <c r="L31" s="839"/>
      <c r="M31" s="732" t="s">
        <v>160</v>
      </c>
      <c r="N31" s="279"/>
      <c r="O31" s="501"/>
      <c r="P31" s="691"/>
      <c r="Q31" s="691"/>
      <c r="R31" s="692"/>
      <c r="S31" s="693"/>
      <c r="T31" s="693"/>
      <c r="U31" s="693"/>
      <c r="V31" s="693"/>
      <c r="W31" s="693"/>
      <c r="X31" s="663"/>
    </row>
    <row r="32" spans="1:24" ht="12" customHeight="1">
      <c r="B32" s="297"/>
      <c r="C32" s="607" t="s">
        <v>0</v>
      </c>
      <c r="D32" s="873"/>
      <c r="E32" s="873"/>
      <c r="F32" s="873"/>
      <c r="G32" s="873"/>
      <c r="H32" s="874"/>
      <c r="I32" s="605" t="s">
        <v>102</v>
      </c>
      <c r="J32" s="540">
        <v>2025</v>
      </c>
      <c r="K32" s="966">
        <f>J32+1</f>
        <v>2026</v>
      </c>
      <c r="L32" s="967"/>
      <c r="M32" s="540">
        <f>K32+1</f>
        <v>2027</v>
      </c>
      <c r="O32" s="501"/>
      <c r="P32" s="691"/>
      <c r="Q32" s="691"/>
      <c r="R32" s="692"/>
      <c r="S32" s="693"/>
      <c r="T32" s="693"/>
      <c r="U32" s="693"/>
      <c r="V32" s="693"/>
      <c r="W32" s="693"/>
      <c r="X32" s="663"/>
    </row>
    <row r="33" spans="2:27" ht="13.5" customHeight="1">
      <c r="B33" s="259"/>
      <c r="C33" s="808" t="s">
        <v>393</v>
      </c>
      <c r="D33" s="809"/>
      <c r="E33" s="809"/>
      <c r="F33" s="302"/>
      <c r="G33" s="302"/>
      <c r="H33" s="298"/>
      <c r="I33" s="622"/>
      <c r="J33" s="544">
        <v>12</v>
      </c>
      <c r="K33" s="867">
        <v>12</v>
      </c>
      <c r="L33" s="868"/>
      <c r="M33" s="554">
        <v>12</v>
      </c>
      <c r="O33" s="501"/>
      <c r="P33" s="691"/>
      <c r="Q33" s="691"/>
      <c r="R33" s="692"/>
      <c r="S33" s="693"/>
      <c r="T33" s="693"/>
      <c r="U33" s="693"/>
      <c r="V33" s="693"/>
      <c r="W33" s="693"/>
      <c r="X33" s="663"/>
    </row>
    <row r="34" spans="2:27" s="2" customFormat="1" ht="12.75" customHeight="1">
      <c r="B34" s="92"/>
      <c r="C34" s="561" t="s">
        <v>163</v>
      </c>
      <c r="D34" s="939" t="s">
        <v>415</v>
      </c>
      <c r="E34" s="939"/>
      <c r="F34" s="939"/>
      <c r="G34" s="939"/>
      <c r="H34" s="940"/>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56">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57">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51">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52">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51">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52">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8">
        <f>IF($M16=0,0,-K33*PMT($J16/12,$K16*12,$M16)+K33*10)</f>
        <v>0</v>
      </c>
      <c r="L37" s="769">
        <f>IF($M16=0,0,-L33*PMT($J16/12,$K16*12,$M16)+L33*10)</f>
        <v>0</v>
      </c>
      <c r="M37" s="538">
        <f>IF($M16=0,0,-M33*PMT($J16/12,$K16*12,$M16)+M33*10)</f>
        <v>0</v>
      </c>
      <c r="O37" s="902" t="s">
        <v>195</v>
      </c>
      <c r="P37" s="903"/>
      <c r="Q37" s="691"/>
      <c r="R37" s="692"/>
      <c r="S37" s="693"/>
      <c r="T37" s="693" t="s">
        <v>0</v>
      </c>
      <c r="U37" s="693" t="s">
        <v>0</v>
      </c>
      <c r="V37" s="693"/>
      <c r="W37" s="693"/>
      <c r="X37" s="663"/>
    </row>
    <row r="38" spans="2:27" s="2" customFormat="1" ht="12.75" customHeight="1">
      <c r="B38" s="258" t="s">
        <v>72</v>
      </c>
      <c r="C38" s="486" t="s">
        <v>165</v>
      </c>
      <c r="D38" s="755" t="s">
        <v>417</v>
      </c>
      <c r="E38" s="755"/>
      <c r="F38" s="755"/>
      <c r="G38" s="755"/>
      <c r="H38" s="756"/>
      <c r="I38" s="541">
        <f>J38/J$33</f>
        <v>0</v>
      </c>
      <c r="J38" s="547">
        <f>J39*J41</f>
        <v>0</v>
      </c>
      <c r="K38" s="768">
        <f>K39*K41</f>
        <v>0</v>
      </c>
      <c r="L38" s="769"/>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66">
        <f>J39+J39*O39</f>
        <v>0</v>
      </c>
      <c r="L39" s="767">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877">
        <f>J40</f>
        <v>0</v>
      </c>
      <c r="L40" s="878"/>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854">
        <v>12.5</v>
      </c>
      <c r="L41" s="855"/>
      <c r="M41" s="558">
        <f>K41</f>
        <v>12.5</v>
      </c>
      <c r="O41" s="511"/>
      <c r="P41" s="696"/>
      <c r="Q41" s="691"/>
      <c r="R41" s="692"/>
      <c r="S41" s="693"/>
      <c r="T41" s="693"/>
      <c r="U41" s="693"/>
      <c r="V41" s="693"/>
      <c r="W41" s="693"/>
      <c r="X41" s="663"/>
    </row>
    <row r="42" spans="2:27" s="2" customFormat="1" ht="12.75" customHeight="1">
      <c r="B42" s="258" t="s">
        <v>72</v>
      </c>
      <c r="C42" s="486" t="s">
        <v>166</v>
      </c>
      <c r="D42" s="755" t="s">
        <v>418</v>
      </c>
      <c r="E42" s="755"/>
      <c r="F42" s="755"/>
      <c r="G42" s="755"/>
      <c r="H42" s="756"/>
      <c r="I42" s="541">
        <f>J42/J$33</f>
        <v>0</v>
      </c>
      <c r="J42" s="547">
        <f>J43*J45</f>
        <v>0</v>
      </c>
      <c r="K42" s="768">
        <f t="shared" ref="K42:L42" si="1">K43*K45+K44*K45*$Z45</f>
        <v>0</v>
      </c>
      <c r="L42" s="769">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66">
        <f>J43+J43*O43</f>
        <v>0</v>
      </c>
      <c r="L43" s="767">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877">
        <f>J44</f>
        <v>0</v>
      </c>
      <c r="L44" s="878"/>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854">
        <v>12.5</v>
      </c>
      <c r="L45" s="855"/>
      <c r="M45" s="558">
        <f>K45</f>
        <v>12.5</v>
      </c>
      <c r="O45" s="501"/>
      <c r="P45" s="691"/>
      <c r="Q45" s="691"/>
      <c r="R45" s="692"/>
      <c r="S45" s="693"/>
      <c r="T45" s="693"/>
      <c r="U45" s="693"/>
      <c r="V45" s="693"/>
      <c r="W45" s="693"/>
      <c r="X45" s="663"/>
      <c r="Z45" s="80"/>
    </row>
    <row r="46" spans="2:27" s="2" customFormat="1" ht="12.75" customHeight="1">
      <c r="B46" s="258" t="s">
        <v>72</v>
      </c>
      <c r="C46" s="486" t="s">
        <v>167</v>
      </c>
      <c r="D46" s="756" t="s">
        <v>224</v>
      </c>
      <c r="E46" s="765"/>
      <c r="F46" s="914">
        <v>0.4</v>
      </c>
      <c r="G46" s="914"/>
      <c r="H46" s="575" t="s">
        <v>68</v>
      </c>
      <c r="I46" s="541">
        <f>J46/J$33</f>
        <v>0</v>
      </c>
      <c r="J46" s="547">
        <f>$F46*(J42+J44*J45)</f>
        <v>0</v>
      </c>
      <c r="K46" s="780">
        <f>$F46*(K42+K44*K33)</f>
        <v>0</v>
      </c>
      <c r="L46" s="781"/>
      <c r="M46" s="538">
        <f>$F46*(M42+M44*M33)</f>
        <v>0</v>
      </c>
      <c r="O46" s="902" t="s">
        <v>195</v>
      </c>
      <c r="P46" s="903"/>
      <c r="Q46" s="691"/>
      <c r="R46" s="692"/>
      <c r="S46" s="693"/>
      <c r="T46" s="693"/>
      <c r="U46" s="693"/>
      <c r="V46" s="693"/>
      <c r="W46" s="693"/>
      <c r="X46" s="663"/>
    </row>
    <row r="47" spans="2:27" s="2" customFormat="1" ht="12.75" customHeight="1">
      <c r="B47" s="258" t="s">
        <v>73</v>
      </c>
      <c r="C47" s="484" t="s">
        <v>168</v>
      </c>
      <c r="D47" s="845" t="s">
        <v>420</v>
      </c>
      <c r="E47" s="845"/>
      <c r="F47" s="845"/>
      <c r="G47" s="845"/>
      <c r="H47" s="846"/>
      <c r="I47" s="541">
        <f>J47/J$33</f>
        <v>0</v>
      </c>
      <c r="J47" s="547">
        <f>J48*J49+J50+J51</f>
        <v>0</v>
      </c>
      <c r="K47" s="768">
        <f t="shared" ref="K47:L47" si="3">K48*K49+K50+K51</f>
        <v>0</v>
      </c>
      <c r="L47" s="769"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770">
        <f>J48+J48*O48</f>
        <v>0</v>
      </c>
      <c r="L48" s="771">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937">
        <f>J49</f>
        <v>0.188</v>
      </c>
      <c r="L49" s="938"/>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66">
        <f>(J50+J50*O50)*12/J$33</f>
        <v>0</v>
      </c>
      <c r="L50" s="767"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787">
        <f t="shared" ref="K51:L51" si="4">K33*((1.7%*K48+1.16%*(K38+K40*12))+0.008*$M10)/12</f>
        <v>0</v>
      </c>
      <c r="L51" s="788">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55" t="s">
        <v>419</v>
      </c>
      <c r="E52" s="755"/>
      <c r="F52" s="755"/>
      <c r="G52" s="755"/>
      <c r="H52" s="756"/>
      <c r="I52" s="532">
        <f>J52/J$33</f>
        <v>0</v>
      </c>
      <c r="J52" s="553">
        <f>J53+J54</f>
        <v>0</v>
      </c>
      <c r="K52" s="858">
        <f>K53+K54</f>
        <v>0</v>
      </c>
      <c r="L52" s="859"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789">
        <f>(J53+J53*O53)*12/J$33</f>
        <v>0</v>
      </c>
      <c r="L53" s="790"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66">
        <f>(J54+J54*O54)*12/J$33</f>
        <v>0</v>
      </c>
      <c r="L54" s="767"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55" t="s">
        <v>422</v>
      </c>
      <c r="E55" s="755"/>
      <c r="F55" s="755"/>
      <c r="G55" s="755"/>
      <c r="H55" s="756"/>
      <c r="I55" s="541">
        <f t="shared" ref="I55" si="6">J55/J$33</f>
        <v>0</v>
      </c>
      <c r="J55" s="547">
        <f>J58+J57+J56</f>
        <v>0</v>
      </c>
      <c r="K55" s="768">
        <f>SUM(K56:K58)</f>
        <v>0</v>
      </c>
      <c r="L55" s="769"/>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66">
        <f>(J56+J56*O56)*12/J$33</f>
        <v>0</v>
      </c>
      <c r="L56" s="767"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66">
        <f>(J57+J57*O57)*12/J$33</f>
        <v>0</v>
      </c>
      <c r="L57" s="767"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66">
        <f>(J58+J58*O58)*12/J$33</f>
        <v>0</v>
      </c>
      <c r="L58" s="767"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55" t="s">
        <v>423</v>
      </c>
      <c r="E59" s="755"/>
      <c r="F59" s="755"/>
      <c r="G59" s="755"/>
      <c r="H59" s="756"/>
      <c r="I59" s="541">
        <f>J59/J$33</f>
        <v>0</v>
      </c>
      <c r="J59" s="547">
        <f>J60+J63+J64+J65+J66+J67+J68+J33*J69*0.003/12+J70</f>
        <v>0</v>
      </c>
      <c r="K59" s="768">
        <f>K60+K63+K64+K65+K66+K67+K68+K33*K69*0.003/12+K70</f>
        <v>0</v>
      </c>
      <c r="L59" s="769"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51">
        <f t="shared" ref="K60:L60" si="7">K62*K61</f>
        <v>0</v>
      </c>
      <c r="L60" s="852">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66">
        <f>I61+I61*O61</f>
        <v>0</v>
      </c>
      <c r="L61" s="767">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66">
        <f>K33</f>
        <v>12</v>
      </c>
      <c r="L62" s="767">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66">
        <f t="shared" ref="K63:K68" si="11">(J63+J63*O63)*12/J$33</f>
        <v>0</v>
      </c>
      <c r="L63" s="767"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66">
        <f t="shared" si="11"/>
        <v>0</v>
      </c>
      <c r="L64" s="767"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66">
        <f t="shared" si="11"/>
        <v>0</v>
      </c>
      <c r="L65" s="767"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66">
        <f t="shared" si="11"/>
        <v>0</v>
      </c>
      <c r="L66" s="767"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66">
        <f t="shared" si="11"/>
        <v>0</v>
      </c>
      <c r="L67" s="767"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66">
        <f t="shared" si="11"/>
        <v>0</v>
      </c>
      <c r="L68" s="767"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66">
        <f t="shared" ref="K69" si="14">J69+J69*O69</f>
        <v>0</v>
      </c>
      <c r="L69" s="767">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66">
        <f>(J70+J70*O70)*12/J$33</f>
        <v>0</v>
      </c>
      <c r="L70" s="767" t="e">
        <f>K70*12/K$11</f>
        <v>#VALUE!</v>
      </c>
      <c r="M70" s="557">
        <f t="shared" si="13"/>
        <v>0</v>
      </c>
      <c r="O70" s="496">
        <v>0.03</v>
      </c>
      <c r="P70" s="496">
        <f>O70</f>
        <v>0.03</v>
      </c>
      <c r="Q70" s="509"/>
      <c r="R70" s="679"/>
      <c r="S70" s="666"/>
      <c r="T70" s="666"/>
      <c r="U70" s="666"/>
      <c r="V70" s="666"/>
      <c r="W70" s="666"/>
      <c r="X70" s="667"/>
    </row>
    <row r="71" spans="1:24" ht="12.75" customHeight="1">
      <c r="B71" s="754" t="s">
        <v>103</v>
      </c>
      <c r="C71" s="609" t="s">
        <v>0</v>
      </c>
      <c r="D71" s="906" t="str">
        <f>D31</f>
        <v>TOIMINTAKUSTANNUKSET TILIKAUDELLA (alv 0 %)</v>
      </c>
      <c r="E71" s="906"/>
      <c r="F71" s="906"/>
      <c r="G71" s="906"/>
      <c r="H71" s="907"/>
      <c r="I71" s="910" t="s">
        <v>157</v>
      </c>
      <c r="J71" s="844"/>
      <c r="K71" s="911" t="s">
        <v>158</v>
      </c>
      <c r="L71" s="912"/>
      <c r="M71" s="602" t="s">
        <v>160</v>
      </c>
      <c r="N71" s="279"/>
      <c r="O71" s="499" t="s">
        <v>412</v>
      </c>
      <c r="P71" s="500"/>
      <c r="Q71" s="672"/>
      <c r="R71" s="680"/>
      <c r="S71" s="668"/>
      <c r="T71" s="668"/>
      <c r="U71" s="668"/>
      <c r="V71" s="668"/>
      <c r="W71" s="668"/>
      <c r="X71" s="669"/>
    </row>
    <row r="72" spans="1:24" ht="12.75" customHeight="1">
      <c r="B72" s="754"/>
      <c r="C72" s="610" t="s">
        <v>0</v>
      </c>
      <c r="D72" s="908"/>
      <c r="E72" s="908"/>
      <c r="F72" s="908"/>
      <c r="G72" s="908"/>
      <c r="H72" s="909"/>
      <c r="I72" s="608" t="s">
        <v>102</v>
      </c>
      <c r="J72" s="603">
        <f>J32</f>
        <v>2025</v>
      </c>
      <c r="K72" s="863">
        <f>K32</f>
        <v>2026</v>
      </c>
      <c r="L72" s="864"/>
      <c r="M72" s="603">
        <f>M32</f>
        <v>2027</v>
      </c>
      <c r="O72" s="501"/>
      <c r="P72" s="691"/>
      <c r="Q72" s="691"/>
      <c r="R72" s="692"/>
      <c r="S72" s="693"/>
      <c r="T72" s="693"/>
      <c r="U72" s="693"/>
      <c r="V72" s="693"/>
      <c r="W72" s="693"/>
      <c r="X72" s="663"/>
    </row>
    <row r="73" spans="1:24" ht="12.75" customHeight="1">
      <c r="B73" s="259"/>
      <c r="C73" s="808" t="s">
        <v>393</v>
      </c>
      <c r="D73" s="809"/>
      <c r="E73" s="809"/>
      <c r="F73" s="597"/>
      <c r="G73" s="597"/>
      <c r="H73" s="598"/>
      <c r="I73" s="578"/>
      <c r="J73" s="498">
        <f>J33</f>
        <v>12</v>
      </c>
      <c r="K73" s="913">
        <f>K33</f>
        <v>12</v>
      </c>
      <c r="L73" s="913"/>
      <c r="M73" s="498">
        <f>M33</f>
        <v>12</v>
      </c>
      <c r="O73" s="501"/>
      <c r="P73" s="691"/>
      <c r="Q73" s="691"/>
      <c r="R73" s="692"/>
      <c r="S73" s="693"/>
      <c r="T73" s="693"/>
      <c r="U73" s="693"/>
      <c r="V73" s="693"/>
      <c r="W73" s="693"/>
      <c r="X73" s="663"/>
    </row>
    <row r="74" spans="1:24" s="2" customFormat="1" ht="12.75" customHeight="1">
      <c r="A74"/>
      <c r="B74" s="258" t="s">
        <v>75</v>
      </c>
      <c r="C74" s="486" t="s">
        <v>172</v>
      </c>
      <c r="D74" s="755" t="s">
        <v>409</v>
      </c>
      <c r="E74" s="755"/>
      <c r="F74" s="755"/>
      <c r="G74" s="756"/>
      <c r="H74" s="577">
        <v>0.3</v>
      </c>
      <c r="I74" s="469">
        <f t="shared" ref="I74:I86" si="16">J74/J$33</f>
        <v>0</v>
      </c>
      <c r="J74" s="469">
        <f>IF($M$15=0,0,J33*'Lainat ja avustukset'!$G$59/12)</f>
        <v>0</v>
      </c>
      <c r="K74" s="777">
        <f>IF($M15=0,0,IF($K15&gt;1,'Lainat ja avustukset'!$G59,0))</f>
        <v>0</v>
      </c>
      <c r="L74" s="777"/>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55" t="s">
        <v>424</v>
      </c>
      <c r="E75" s="755"/>
      <c r="F75" s="755"/>
      <c r="G75" s="755"/>
      <c r="H75" s="755"/>
      <c r="I75" s="532">
        <f t="shared" si="16"/>
        <v>0</v>
      </c>
      <c r="J75" s="469">
        <f>J76*J77*J78+J79+J80+J82+J81</f>
        <v>0</v>
      </c>
      <c r="K75" s="777">
        <f t="shared" ref="K75:L75" si="17">K76*K77*K78+K79+K80+K82+K81</f>
        <v>0</v>
      </c>
      <c r="L75" s="777"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63">
        <f>(J76+J76*O76)*12/J$33</f>
        <v>0</v>
      </c>
      <c r="L76" s="763"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791">
        <f>J77</f>
        <v>0</v>
      </c>
      <c r="L77" s="791"/>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791">
        <f t="shared" ref="K78" si="18">J78+J78*O78</f>
        <v>0</v>
      </c>
      <c r="L78" s="791">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63">
        <f>(J79+J79*O79)*12/J$33</f>
        <v>0</v>
      </c>
      <c r="L79" s="763"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63">
        <f>(J80+J80*O80)*12/J$33</f>
        <v>0</v>
      </c>
      <c r="L80" s="763"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63">
        <f>(J81+J81*O81)*12/J$33</f>
        <v>0</v>
      </c>
      <c r="L81" s="763"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63">
        <f>(J82+J82*O82)*12/J$33</f>
        <v>0</v>
      </c>
      <c r="L82" s="763"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845" t="s">
        <v>425</v>
      </c>
      <c r="E83" s="845"/>
      <c r="F83" s="845"/>
      <c r="G83" s="845"/>
      <c r="H83" s="845"/>
      <c r="I83" s="532">
        <f>J83/J$33</f>
        <v>0</v>
      </c>
      <c r="J83" s="580">
        <f>SUM(J84:J86)</f>
        <v>0</v>
      </c>
      <c r="K83" s="905">
        <f t="shared" ref="K83:L83" si="20">SUM(K84:K86)</f>
        <v>0</v>
      </c>
      <c r="L83" s="905" t="e">
        <f t="shared" si="20"/>
        <v>#VALUE!</v>
      </c>
      <c r="M83" s="580">
        <f>SUM(M84:M86)</f>
        <v>0</v>
      </c>
      <c r="O83" s="504"/>
      <c r="P83" s="29"/>
      <c r="Q83" s="691"/>
      <c r="R83" s="692"/>
      <c r="S83" s="693"/>
      <c r="T83" s="693"/>
      <c r="U83" s="693"/>
      <c r="V83" s="693"/>
      <c r="W83" s="693"/>
      <c r="X83" s="663"/>
    </row>
    <row r="84" spans="1:24" s="22" customFormat="1" ht="12" customHeight="1">
      <c r="A84" s="2"/>
      <c r="B84" s="92"/>
      <c r="C84" s="561"/>
      <c r="D84" s="879" t="s">
        <v>411</v>
      </c>
      <c r="E84" s="879"/>
      <c r="F84" s="879"/>
      <c r="G84" s="879"/>
      <c r="H84" s="879"/>
      <c r="I84" s="579">
        <f>J84/J$33</f>
        <v>0</v>
      </c>
      <c r="J84" s="474">
        <v>0</v>
      </c>
      <c r="K84" s="763">
        <f>(J84+J84*O84)*12/J$33</f>
        <v>0</v>
      </c>
      <c r="L84" s="763"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63">
        <f>(J85+J85*O85)*12/J$33</f>
        <v>0</v>
      </c>
      <c r="L85" s="763"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63">
        <f>(J86+J86*O86)*12/J$33</f>
        <v>0</v>
      </c>
      <c r="L86" s="763"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55" t="s">
        <v>426</v>
      </c>
      <c r="E87" s="755"/>
      <c r="F87" s="755"/>
      <c r="G87" s="755"/>
      <c r="H87" s="755"/>
      <c r="I87" s="532">
        <f>J87/J$33</f>
        <v>0</v>
      </c>
      <c r="J87" s="469">
        <f>J91+J90+J89+J88</f>
        <v>0</v>
      </c>
      <c r="K87" s="777">
        <f>SUM(K88:K91)</f>
        <v>0</v>
      </c>
      <c r="L87" s="777"/>
      <c r="M87" s="469">
        <f>M91+M90+M89+M88</f>
        <v>0</v>
      </c>
      <c r="O87" s="504"/>
      <c r="P87" s="29"/>
      <c r="Q87" s="691"/>
      <c r="R87" s="692"/>
      <c r="S87" s="693"/>
      <c r="T87" s="693"/>
      <c r="U87" s="693"/>
      <c r="V87" s="693"/>
      <c r="W87" s="693"/>
      <c r="X87" s="663"/>
    </row>
    <row r="88" spans="1:24" s="2" customFormat="1" ht="12" customHeight="1">
      <c r="A88" s="22"/>
      <c r="B88" s="25"/>
      <c r="C88" s="572"/>
      <c r="D88" s="915" t="s">
        <v>359</v>
      </c>
      <c r="E88" s="915"/>
      <c r="F88" s="915"/>
      <c r="G88" s="915"/>
      <c r="H88" s="915"/>
      <c r="I88" s="579">
        <f>J88/12</f>
        <v>0</v>
      </c>
      <c r="J88" s="474">
        <v>0</v>
      </c>
      <c r="K88" s="763">
        <f>(J88+J88*O88)*12/J$33</f>
        <v>0</v>
      </c>
      <c r="L88" s="763"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63">
        <f>(J89+J89*O89)*12/J$33</f>
        <v>0</v>
      </c>
      <c r="L89" s="763"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63">
        <f>(J90+J90*O90)*12/J$33</f>
        <v>0</v>
      </c>
      <c r="L90" s="763"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841" t="s">
        <v>408</v>
      </c>
      <c r="E91" s="841"/>
      <c r="F91" s="841"/>
      <c r="G91" s="841"/>
      <c r="H91" s="842"/>
      <c r="I91" s="579">
        <f>J91/12</f>
        <v>0</v>
      </c>
      <c r="J91" s="474">
        <v>0</v>
      </c>
      <c r="K91" s="763">
        <f>(J91+J91*O91)*12/J$33</f>
        <v>0</v>
      </c>
      <c r="L91" s="763"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74">
        <f>(J92+J92*O92)*12/J$33</f>
        <v>0</v>
      </c>
      <c r="L92" s="774"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77">
        <f t="shared" ref="K93:L93" si="24">K94*K95+K97*K96</f>
        <v>0</v>
      </c>
      <c r="L93" s="777" t="e">
        <f t="shared" si="24"/>
        <v>#VALUE!</v>
      </c>
      <c r="M93" s="469">
        <f>M94*M95+M97*M96</f>
        <v>0</v>
      </c>
      <c r="O93" s="505"/>
      <c r="P93" s="693"/>
      <c r="Q93" s="691"/>
      <c r="R93" s="692"/>
      <c r="S93" s="693"/>
      <c r="T93" s="693"/>
      <c r="U93" s="693"/>
      <c r="V93" s="693"/>
      <c r="W93" s="693"/>
      <c r="X93" s="663"/>
    </row>
    <row r="94" spans="1:24" s="2" customFormat="1" ht="12" customHeight="1">
      <c r="B94" s="25"/>
      <c r="C94" s="561"/>
      <c r="D94" s="879" t="s">
        <v>218</v>
      </c>
      <c r="E94" s="879"/>
      <c r="F94" s="879"/>
      <c r="G94" s="879"/>
      <c r="H94" s="879"/>
      <c r="I94" s="582"/>
      <c r="J94" s="474">
        <v>0</v>
      </c>
      <c r="K94" s="763">
        <f>J94*12/J$33</f>
        <v>0</v>
      </c>
      <c r="L94" s="763"/>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840">
        <f>J95</f>
        <v>0.56999999999999995</v>
      </c>
      <c r="L95" s="840"/>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63">
        <f>(J96*12/J$33)</f>
        <v>0</v>
      </c>
      <c r="L96" s="763" t="e">
        <f>K96*12/K$10</f>
        <v>#VALUE!</v>
      </c>
      <c r="M96" s="474">
        <f>K96</f>
        <v>0</v>
      </c>
      <c r="O96" s="506"/>
      <c r="P96" s="698"/>
      <c r="Q96" s="691"/>
      <c r="R96" s="692"/>
      <c r="S96" s="693"/>
      <c r="T96" s="693"/>
      <c r="U96" s="693"/>
      <c r="V96" s="693"/>
      <c r="W96" s="693"/>
      <c r="X96" s="663"/>
    </row>
    <row r="97" spans="1:26" s="2" customFormat="1" ht="12" customHeight="1">
      <c r="B97" s="25"/>
      <c r="C97" s="576"/>
      <c r="D97" s="841" t="s">
        <v>221</v>
      </c>
      <c r="E97" s="841"/>
      <c r="F97" s="841"/>
      <c r="G97" s="841"/>
      <c r="H97" s="842"/>
      <c r="I97" s="579">
        <v>0</v>
      </c>
      <c r="J97" s="471">
        <v>51</v>
      </c>
      <c r="K97" s="791">
        <f>J97</f>
        <v>51</v>
      </c>
      <c r="L97" s="791"/>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77">
        <f>K99+K100</f>
        <v>0</v>
      </c>
      <c r="L98" s="777"/>
      <c r="M98" s="469">
        <f>SUM(M99:M100)</f>
        <v>0</v>
      </c>
      <c r="O98" s="501"/>
      <c r="P98" s="691"/>
      <c r="Q98" s="691"/>
      <c r="R98" s="692"/>
      <c r="S98" s="693"/>
      <c r="T98" s="693"/>
      <c r="U98" s="693"/>
      <c r="V98" s="693"/>
      <c r="W98" s="693"/>
      <c r="X98" s="663"/>
      <c r="Z98" s="2" t="s">
        <v>0</v>
      </c>
    </row>
    <row r="99" spans="1:26" ht="12" customHeight="1">
      <c r="A99" s="2"/>
      <c r="B99" s="92" t="s">
        <v>0</v>
      </c>
      <c r="C99" s="561"/>
      <c r="D99" s="879" t="s">
        <v>440</v>
      </c>
      <c r="E99" s="879"/>
      <c r="F99" s="879"/>
      <c r="G99" s="879"/>
      <c r="H99" s="879"/>
      <c r="I99" s="579">
        <f t="shared" si="23"/>
        <v>0</v>
      </c>
      <c r="J99" s="474">
        <v>0</v>
      </c>
      <c r="K99" s="763">
        <f>(J99+J99*O99)*12/J$33</f>
        <v>0</v>
      </c>
      <c r="L99" s="763"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63">
        <f>(J100+J100*O100)*12/J$33</f>
        <v>0</v>
      </c>
      <c r="L100" s="763"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764" t="s">
        <v>428</v>
      </c>
      <c r="E101" s="764"/>
      <c r="F101" s="764"/>
      <c r="G101" s="764"/>
      <c r="H101" s="764"/>
      <c r="I101" s="532">
        <f t="shared" si="23"/>
        <v>0</v>
      </c>
      <c r="J101" s="469">
        <f>SUM(J102:J103)</f>
        <v>0</v>
      </c>
      <c r="K101" s="777">
        <f>SUM(K102:K103)</f>
        <v>0</v>
      </c>
      <c r="L101" s="777"/>
      <c r="M101" s="469">
        <f>SUM(M102:M103)</f>
        <v>0</v>
      </c>
      <c r="O101" s="501"/>
      <c r="P101" s="691"/>
      <c r="Q101" s="691"/>
      <c r="R101" s="692"/>
      <c r="S101" s="693"/>
      <c r="T101" s="693"/>
      <c r="U101" s="693"/>
      <c r="V101" s="693"/>
      <c r="W101" s="693"/>
      <c r="X101" s="663"/>
    </row>
    <row r="102" spans="1:26" s="22" customFormat="1" ht="12" customHeight="1">
      <c r="A102" s="2"/>
      <c r="B102" s="92"/>
      <c r="C102" s="572"/>
      <c r="D102" s="915" t="s">
        <v>444</v>
      </c>
      <c r="E102" s="915"/>
      <c r="F102" s="915"/>
      <c r="G102" s="915"/>
      <c r="H102" s="915"/>
      <c r="I102" s="579">
        <f t="shared" si="23"/>
        <v>0</v>
      </c>
      <c r="J102" s="474">
        <v>0</v>
      </c>
      <c r="K102" s="763">
        <f>(J102+J102*O102)*12/J$33</f>
        <v>0</v>
      </c>
      <c r="L102" s="763"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63">
        <f>(J103+J103*O103)*12/J$33</f>
        <v>0</v>
      </c>
      <c r="L103" s="763"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74">
        <f>(J104+J104*O104)*12/J$33</f>
        <v>0</v>
      </c>
      <c r="L104" s="774"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77">
        <f>SUM(K106:K108)</f>
        <v>0</v>
      </c>
      <c r="L105" s="777"/>
      <c r="M105" s="469">
        <f>SUM(M106:M108)</f>
        <v>0</v>
      </c>
      <c r="O105" s="501" t="s">
        <v>0</v>
      </c>
      <c r="P105" s="691" t="s">
        <v>0</v>
      </c>
      <c r="Q105" s="691"/>
      <c r="R105" s="692"/>
      <c r="S105" s="693"/>
      <c r="T105" s="693"/>
      <c r="U105" s="693"/>
      <c r="V105" s="693"/>
      <c r="W105" s="693"/>
      <c r="X105" s="663"/>
    </row>
    <row r="106" spans="1:26" ht="12" customHeight="1">
      <c r="A106" s="2"/>
      <c r="B106" s="92"/>
      <c r="C106" s="561"/>
      <c r="D106" s="879" t="s">
        <v>439</v>
      </c>
      <c r="E106" s="879"/>
      <c r="F106" s="879"/>
      <c r="G106" s="879"/>
      <c r="H106" s="879"/>
      <c r="I106" s="579">
        <f t="shared" si="25"/>
        <v>0</v>
      </c>
      <c r="J106" s="474">
        <v>0</v>
      </c>
      <c r="K106" s="763">
        <f t="shared" ref="K106:K107" si="26">(J106+J106*O106)*12/J$33</f>
        <v>0</v>
      </c>
      <c r="L106" s="763"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63">
        <f t="shared" si="26"/>
        <v>0</v>
      </c>
      <c r="L107" s="763"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841" t="s">
        <v>438</v>
      </c>
      <c r="E108" s="841"/>
      <c r="F108" s="841"/>
      <c r="G108" s="841"/>
      <c r="H108" s="842"/>
      <c r="I108" s="579">
        <f t="shared" si="25"/>
        <v>0</v>
      </c>
      <c r="J108" s="474">
        <v>0</v>
      </c>
      <c r="K108" s="763">
        <f>(J108+J108*O108)*12/J$33</f>
        <v>0</v>
      </c>
      <c r="L108" s="763"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55" t="s">
        <v>402</v>
      </c>
      <c r="E109" s="755"/>
      <c r="F109" s="755"/>
      <c r="G109" s="755"/>
      <c r="H109" s="755"/>
      <c r="I109" s="582">
        <f t="shared" si="25"/>
        <v>0</v>
      </c>
      <c r="J109" s="581">
        <v>0</v>
      </c>
      <c r="K109" s="774">
        <f>(J109+J109*O109)*12/J$33</f>
        <v>0</v>
      </c>
      <c r="L109" s="774"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55" t="s">
        <v>247</v>
      </c>
      <c r="E110" s="755"/>
      <c r="F110" s="755"/>
      <c r="G110" s="755"/>
      <c r="H110" s="755"/>
      <c r="I110" s="532">
        <f t="shared" si="25"/>
        <v>0</v>
      </c>
      <c r="J110" s="581">
        <v>0</v>
      </c>
      <c r="K110" s="774">
        <f>(J110+J110*O110)*12/J$33</f>
        <v>0</v>
      </c>
      <c r="L110" s="774"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74">
        <f>(J111+J111*O111)*12/J$33</f>
        <v>0</v>
      </c>
      <c r="L111" s="774"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74">
        <f>(J112+J112*O112)*12/J$33</f>
        <v>0</v>
      </c>
      <c r="L112" s="774"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55" t="s">
        <v>413</v>
      </c>
      <c r="E113" s="755"/>
      <c r="F113" s="755"/>
      <c r="G113" s="755"/>
      <c r="H113" s="756"/>
      <c r="I113" s="678"/>
      <c r="J113" s="531">
        <v>0</v>
      </c>
      <c r="K113" s="926">
        <v>0</v>
      </c>
      <c r="L113" s="926"/>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930" t="str">
        <f>IF(J33=12,"MYYNTIENNUSTE (hinnat sis. arvonlisäveron)","HUOMIOI MYYNTIENNUSTEESSA TILIKAUDEN PITUUS! (hinnat sis. arvonlisäveron)")</f>
        <v>MYYNTIENNUSTE (hinnat sis. arvonlisäveron)</v>
      </c>
      <c r="D116" s="931"/>
      <c r="E116" s="931"/>
      <c r="F116" s="931"/>
      <c r="G116" s="931"/>
      <c r="H116" s="931"/>
      <c r="I116" s="844" t="s">
        <v>157</v>
      </c>
      <c r="J116" s="844"/>
      <c r="K116" s="911" t="s">
        <v>158</v>
      </c>
      <c r="L116" s="912"/>
      <c r="M116" s="602" t="s">
        <v>160</v>
      </c>
      <c r="O116" s="683">
        <v>0</v>
      </c>
      <c r="P116" s="691"/>
      <c r="Q116" s="699"/>
      <c r="R116" s="700"/>
      <c r="S116" s="701"/>
      <c r="T116" s="701"/>
      <c r="U116" s="702"/>
      <c r="V116" s="701"/>
      <c r="W116" s="701"/>
      <c r="X116" s="670"/>
    </row>
    <row r="117" spans="1:24" ht="15" customHeight="1">
      <c r="C117" s="932"/>
      <c r="D117" s="933"/>
      <c r="E117" s="933"/>
      <c r="F117" s="933"/>
      <c r="G117" s="933"/>
      <c r="H117" s="933"/>
      <c r="I117" s="604" t="s">
        <v>102</v>
      </c>
      <c r="J117" s="603">
        <f>J32</f>
        <v>2025</v>
      </c>
      <c r="K117" s="863">
        <f>J117+1</f>
        <v>2026</v>
      </c>
      <c r="L117" s="864"/>
      <c r="M117" s="603">
        <f>K117+1</f>
        <v>2027</v>
      </c>
      <c r="O117" s="671"/>
      <c r="P117" s="400"/>
      <c r="Q117" s="703"/>
      <c r="R117" s="700"/>
      <c r="S117" s="701"/>
      <c r="T117" s="701"/>
      <c r="U117" s="701"/>
      <c r="V117" s="701"/>
      <c r="W117" s="701"/>
      <c r="X117" s="670"/>
    </row>
    <row r="118" spans="1:24" s="32" customFormat="1" ht="14.25" customHeight="1">
      <c r="B118" s="717"/>
      <c r="C118" s="808" t="s">
        <v>393</v>
      </c>
      <c r="D118" s="809"/>
      <c r="E118" s="809"/>
      <c r="F118" s="597"/>
      <c r="G118" s="597"/>
      <c r="H118" s="718"/>
      <c r="I118" s="637"/>
      <c r="J118" s="498">
        <f>J73</f>
        <v>12</v>
      </c>
      <c r="K118" s="913">
        <f>K73</f>
        <v>12</v>
      </c>
      <c r="L118" s="913"/>
      <c r="M118" s="643">
        <f>M73</f>
        <v>12</v>
      </c>
      <c r="O118" s="923"/>
      <c r="P118" s="924"/>
      <c r="Q118" s="691"/>
      <c r="R118" s="692"/>
      <c r="S118" s="692"/>
      <c r="T118" s="693"/>
      <c r="U118" s="688" t="s">
        <v>398</v>
      </c>
      <c r="V118" s="693"/>
      <c r="W118" s="693"/>
      <c r="X118" s="663"/>
    </row>
    <row r="119" spans="1:24" s="32" customFormat="1" ht="14.25" customHeight="1">
      <c r="B119" s="717"/>
      <c r="C119" s="719"/>
      <c r="D119" s="599"/>
      <c r="E119" s="599"/>
      <c r="F119" s="953" t="s">
        <v>378</v>
      </c>
      <c r="G119" s="954"/>
      <c r="H119" s="720"/>
      <c r="I119" s="638"/>
      <c r="J119" s="480"/>
      <c r="K119" s="925"/>
      <c r="L119" s="925"/>
      <c r="M119" s="485"/>
      <c r="O119" s="919" t="s">
        <v>195</v>
      </c>
      <c r="P119" s="920"/>
      <c r="Q119" s="692"/>
      <c r="R119" s="692"/>
      <c r="S119" s="692"/>
      <c r="T119" s="693"/>
      <c r="U119" s="693"/>
      <c r="V119" s="693"/>
      <c r="W119" s="693"/>
      <c r="X119" s="663"/>
    </row>
    <row r="120" spans="1:24" s="32" customFormat="1" ht="12" customHeight="1">
      <c r="C120" s="761" t="s">
        <v>445</v>
      </c>
      <c r="D120" s="762"/>
      <c r="E120" s="762"/>
      <c r="F120" s="812">
        <v>0.24</v>
      </c>
      <c r="G120" s="811"/>
      <c r="H120" s="721" t="s">
        <v>8</v>
      </c>
      <c r="I120" s="468">
        <f>J120/J$33</f>
        <v>0</v>
      </c>
      <c r="J120" s="469">
        <f>J122*J123</f>
        <v>0</v>
      </c>
      <c r="K120" s="777">
        <f>K122*K123</f>
        <v>0</v>
      </c>
      <c r="L120" s="777"/>
      <c r="M120" s="469">
        <f>M122*M123</f>
        <v>0</v>
      </c>
      <c r="O120" s="480">
        <f>K$32</f>
        <v>2026</v>
      </c>
      <c r="P120" s="480">
        <f>M$32</f>
        <v>2027</v>
      </c>
      <c r="Q120" s="691"/>
      <c r="R120" s="692"/>
      <c r="S120" s="692"/>
      <c r="T120" s="693"/>
      <c r="U120" s="693"/>
      <c r="V120" s="693"/>
      <c r="W120" s="693"/>
      <c r="X120" s="663"/>
    </row>
    <row r="121" spans="1:24" s="32" customFormat="1" ht="12" customHeight="1">
      <c r="C121" s="816" t="s">
        <v>100</v>
      </c>
      <c r="D121" s="813"/>
      <c r="E121" s="813"/>
      <c r="F121" s="813"/>
      <c r="G121" s="814"/>
      <c r="H121" s="815"/>
      <c r="I121" s="470"/>
      <c r="J121" s="471">
        <v>0</v>
      </c>
      <c r="K121" s="791">
        <f>J121+J121*O121</f>
        <v>0</v>
      </c>
      <c r="L121" s="791">
        <f>K121 +K121*O121</f>
        <v>0</v>
      </c>
      <c r="M121" s="471">
        <f>K121+K121*P121</f>
        <v>0</v>
      </c>
      <c r="O121" s="497">
        <v>0.03</v>
      </c>
      <c r="P121" s="497">
        <f>O121</f>
        <v>0.03</v>
      </c>
      <c r="Q121" s="691"/>
      <c r="R121" s="692"/>
      <c r="S121" s="692"/>
      <c r="T121" s="693"/>
      <c r="U121" s="693"/>
      <c r="V121" s="693"/>
      <c r="W121" s="693"/>
      <c r="X121" s="663"/>
    </row>
    <row r="122" spans="1:24" s="32" customFormat="1" ht="12" customHeight="1">
      <c r="C122" s="783" t="s">
        <v>97</v>
      </c>
      <c r="D122" s="784"/>
      <c r="E122" s="784"/>
      <c r="F122" s="784"/>
      <c r="G122" s="785"/>
      <c r="H122" s="786"/>
      <c r="I122" s="579">
        <v>0</v>
      </c>
      <c r="J122" s="472">
        <f>J121/(1+$F120)</f>
        <v>0</v>
      </c>
      <c r="K122" s="782">
        <f>K121/(1+F120)</f>
        <v>0</v>
      </c>
      <c r="L122" s="782"/>
      <c r="M122" s="473">
        <f>M121/(1+F120)</f>
        <v>0</v>
      </c>
      <c r="O122" s="501"/>
      <c r="P122" s="691"/>
      <c r="Q122" s="691"/>
      <c r="R122" s="692"/>
      <c r="S122" s="692"/>
      <c r="T122" s="693"/>
      <c r="U122" s="693"/>
      <c r="V122" s="693"/>
      <c r="W122" s="693"/>
      <c r="X122" s="663"/>
    </row>
    <row r="123" spans="1:24" s="32" customFormat="1" ht="12" customHeight="1">
      <c r="B123" s="258" t="s">
        <v>399</v>
      </c>
      <c r="C123" s="757" t="s">
        <v>98</v>
      </c>
      <c r="D123" s="758"/>
      <c r="E123" s="758"/>
      <c r="F123" s="758"/>
      <c r="G123" s="759"/>
      <c r="H123" s="760"/>
      <c r="I123" s="468">
        <f>J123/J$33</f>
        <v>0</v>
      </c>
      <c r="J123" s="474">
        <v>0</v>
      </c>
      <c r="K123" s="763">
        <f>(J123+J123*O123)*12/J$33</f>
        <v>0</v>
      </c>
      <c r="L123" s="763"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761">
        <v>0</v>
      </c>
      <c r="D125" s="762"/>
      <c r="E125" s="762"/>
      <c r="F125" s="812">
        <v>0.24</v>
      </c>
      <c r="G125" s="811"/>
      <c r="H125" s="721" t="s">
        <v>8</v>
      </c>
      <c r="I125" s="468">
        <f>J125/J$33</f>
        <v>0</v>
      </c>
      <c r="J125" s="469">
        <f>J127*J128</f>
        <v>0</v>
      </c>
      <c r="K125" s="777">
        <f>K127*K128</f>
        <v>0</v>
      </c>
      <c r="L125" s="777"/>
      <c r="M125" s="469">
        <f>M127*M128</f>
        <v>0</v>
      </c>
      <c r="O125" s="501"/>
      <c r="P125" s="691"/>
      <c r="Q125" s="691"/>
      <c r="R125" s="692"/>
      <c r="S125" s="692"/>
      <c r="T125" s="693"/>
      <c r="U125" s="693"/>
      <c r="V125" s="693"/>
      <c r="W125" s="693"/>
      <c r="X125" s="663"/>
    </row>
    <row r="126" spans="1:24" s="32" customFormat="1" ht="12" customHeight="1">
      <c r="C126" s="816" t="s">
        <v>100</v>
      </c>
      <c r="D126" s="813"/>
      <c r="E126" s="813"/>
      <c r="F126" s="813"/>
      <c r="G126" s="814"/>
      <c r="H126" s="815"/>
      <c r="I126" s="470"/>
      <c r="J126" s="471">
        <v>0</v>
      </c>
      <c r="K126" s="791">
        <f>J126+J126*O126</f>
        <v>0</v>
      </c>
      <c r="L126" s="791">
        <f>K126 +K126*O126</f>
        <v>0</v>
      </c>
      <c r="M126" s="471">
        <f>K126+K126*P126</f>
        <v>0</v>
      </c>
      <c r="O126" s="496">
        <v>0.03</v>
      </c>
      <c r="P126" s="496">
        <f>O126</f>
        <v>0.03</v>
      </c>
      <c r="Q126" s="691"/>
      <c r="R126" s="692"/>
      <c r="S126" s="692"/>
      <c r="T126" s="693"/>
      <c r="U126" s="693"/>
      <c r="V126" s="693"/>
      <c r="W126" s="693"/>
      <c r="X126" s="663"/>
    </row>
    <row r="127" spans="1:24" s="32" customFormat="1" ht="12" customHeight="1">
      <c r="C127" s="783" t="s">
        <v>97</v>
      </c>
      <c r="D127" s="784"/>
      <c r="E127" s="784"/>
      <c r="F127" s="784"/>
      <c r="G127" s="785"/>
      <c r="H127" s="786"/>
      <c r="I127" s="579">
        <v>0</v>
      </c>
      <c r="J127" s="472">
        <f>J126/(1+$F125)</f>
        <v>0</v>
      </c>
      <c r="K127" s="782">
        <f>K126/(1+F125)</f>
        <v>0</v>
      </c>
      <c r="L127" s="782"/>
      <c r="M127" s="473">
        <f>M126/(1+F125)</f>
        <v>0</v>
      </c>
      <c r="O127" s="501"/>
      <c r="P127" s="691"/>
      <c r="Q127" s="691"/>
      <c r="R127" s="692"/>
      <c r="S127" s="692"/>
      <c r="T127" s="693"/>
      <c r="U127" s="693"/>
      <c r="V127" s="693"/>
      <c r="W127" s="693"/>
      <c r="X127" s="663"/>
    </row>
    <row r="128" spans="1:24" s="32" customFormat="1" ht="12" customHeight="1">
      <c r="C128" s="757" t="s">
        <v>394</v>
      </c>
      <c r="D128" s="758"/>
      <c r="E128" s="758"/>
      <c r="F128" s="758"/>
      <c r="G128" s="759"/>
      <c r="H128" s="760"/>
      <c r="I128" s="468">
        <f>J128/J$33</f>
        <v>0</v>
      </c>
      <c r="J128" s="474">
        <v>0</v>
      </c>
      <c r="K128" s="763">
        <f>(J128+J128*O128)*12/J$33</f>
        <v>0</v>
      </c>
      <c r="L128" s="763"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761">
        <v>0</v>
      </c>
      <c r="D130" s="762"/>
      <c r="E130" s="762"/>
      <c r="F130" s="812">
        <v>0.24</v>
      </c>
      <c r="G130" s="811"/>
      <c r="H130" s="721" t="s">
        <v>8</v>
      </c>
      <c r="I130" s="468">
        <f>J130/J$33</f>
        <v>0</v>
      </c>
      <c r="J130" s="469">
        <f>J132*J133</f>
        <v>0</v>
      </c>
      <c r="K130" s="777">
        <f>K132*K133</f>
        <v>0</v>
      </c>
      <c r="L130" s="777"/>
      <c r="M130" s="469">
        <f>M132*M133</f>
        <v>0</v>
      </c>
      <c r="O130" s="501"/>
      <c r="P130" s="691"/>
      <c r="Q130" s="691"/>
      <c r="R130" s="692"/>
      <c r="S130" s="692"/>
      <c r="T130" s="693"/>
      <c r="U130" s="693"/>
      <c r="V130" s="693"/>
      <c r="W130" s="693"/>
      <c r="X130" s="663"/>
    </row>
    <row r="131" spans="3:24" s="32" customFormat="1" ht="12" customHeight="1">
      <c r="C131" s="816" t="s">
        <v>100</v>
      </c>
      <c r="D131" s="813"/>
      <c r="E131" s="813"/>
      <c r="F131" s="813"/>
      <c r="G131" s="814"/>
      <c r="H131" s="815"/>
      <c r="I131" s="470"/>
      <c r="J131" s="471">
        <v>0</v>
      </c>
      <c r="K131" s="791">
        <f>J131+J131*O131</f>
        <v>0</v>
      </c>
      <c r="L131" s="791">
        <f>K131 +K131*O131</f>
        <v>0</v>
      </c>
      <c r="M131" s="471">
        <f>K131+K131*P131</f>
        <v>0</v>
      </c>
      <c r="O131" s="496">
        <v>0.03</v>
      </c>
      <c r="P131" s="496">
        <f>O131</f>
        <v>0.03</v>
      </c>
      <c r="Q131" s="691"/>
      <c r="R131" s="692"/>
      <c r="S131" s="692"/>
      <c r="T131" s="693"/>
      <c r="U131" s="693"/>
      <c r="V131" s="693"/>
      <c r="W131" s="693"/>
      <c r="X131" s="663"/>
    </row>
    <row r="132" spans="3:24" s="32" customFormat="1" ht="12" customHeight="1">
      <c r="C132" s="783" t="s">
        <v>97</v>
      </c>
      <c r="D132" s="784"/>
      <c r="E132" s="784"/>
      <c r="F132" s="784"/>
      <c r="G132" s="785"/>
      <c r="H132" s="786"/>
      <c r="I132" s="579">
        <v>0</v>
      </c>
      <c r="J132" s="472">
        <f>J131/(1+$F130)</f>
        <v>0</v>
      </c>
      <c r="K132" s="782">
        <f>K131/(1+F130)</f>
        <v>0</v>
      </c>
      <c r="L132" s="782"/>
      <c r="M132" s="473">
        <f>M131/(1+F130)</f>
        <v>0</v>
      </c>
      <c r="O132" s="501"/>
      <c r="P132" s="691"/>
      <c r="Q132" s="691"/>
      <c r="R132" s="692"/>
      <c r="S132" s="692"/>
      <c r="T132" s="693"/>
      <c r="U132" s="693"/>
      <c r="V132" s="693"/>
      <c r="W132" s="693"/>
      <c r="X132" s="663"/>
    </row>
    <row r="133" spans="3:24" s="32" customFormat="1" ht="12" customHeight="1">
      <c r="C133" s="757" t="s">
        <v>395</v>
      </c>
      <c r="D133" s="758"/>
      <c r="E133" s="758"/>
      <c r="F133" s="758"/>
      <c r="G133" s="759"/>
      <c r="H133" s="760"/>
      <c r="I133" s="468">
        <f>J133/J$33</f>
        <v>0</v>
      </c>
      <c r="J133" s="474">
        <v>0</v>
      </c>
      <c r="K133" s="763">
        <f>(J133+J133*O133)*12/J$33</f>
        <v>0</v>
      </c>
      <c r="L133" s="763"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761">
        <v>0</v>
      </c>
      <c r="D135" s="762"/>
      <c r="E135" s="762"/>
      <c r="F135" s="812">
        <v>0.24</v>
      </c>
      <c r="G135" s="811"/>
      <c r="H135" s="721" t="s">
        <v>8</v>
      </c>
      <c r="I135" s="468">
        <f>J135/J$33</f>
        <v>0</v>
      </c>
      <c r="J135" s="469">
        <f>J137*J138</f>
        <v>0</v>
      </c>
      <c r="K135" s="777">
        <f>K137*K138</f>
        <v>0</v>
      </c>
      <c r="L135" s="777"/>
      <c r="M135" s="469">
        <f>M137*M138</f>
        <v>0</v>
      </c>
      <c r="O135" s="508"/>
      <c r="P135" s="704"/>
      <c r="Q135" s="691"/>
      <c r="R135" s="692"/>
      <c r="S135" s="692"/>
      <c r="T135" s="693"/>
      <c r="U135" s="693"/>
      <c r="V135" s="693"/>
      <c r="W135" s="693"/>
      <c r="X135" s="663"/>
    </row>
    <row r="136" spans="3:24" s="32" customFormat="1" ht="12" customHeight="1">
      <c r="C136" s="816" t="s">
        <v>100</v>
      </c>
      <c r="D136" s="813"/>
      <c r="E136" s="813"/>
      <c r="F136" s="813"/>
      <c r="G136" s="814"/>
      <c r="H136" s="815"/>
      <c r="I136" s="470"/>
      <c r="J136" s="471">
        <v>0</v>
      </c>
      <c r="K136" s="791">
        <f>J136+J136*O136</f>
        <v>0</v>
      </c>
      <c r="L136" s="791">
        <f>K136 +K136*O136</f>
        <v>0</v>
      </c>
      <c r="M136" s="471">
        <f>K136+K136*P136</f>
        <v>0</v>
      </c>
      <c r="O136" s="496">
        <v>0.03</v>
      </c>
      <c r="P136" s="496">
        <f>O136</f>
        <v>0.03</v>
      </c>
      <c r="Q136" s="691"/>
      <c r="R136" s="692"/>
      <c r="S136" s="692"/>
      <c r="T136" s="693"/>
      <c r="U136" s="693"/>
      <c r="V136" s="693"/>
      <c r="W136" s="693"/>
      <c r="X136" s="663"/>
    </row>
    <row r="137" spans="3:24" s="32" customFormat="1" ht="12" customHeight="1">
      <c r="C137" s="783" t="s">
        <v>97</v>
      </c>
      <c r="D137" s="784"/>
      <c r="E137" s="784"/>
      <c r="F137" s="784"/>
      <c r="G137" s="785"/>
      <c r="H137" s="786"/>
      <c r="I137" s="579">
        <v>0</v>
      </c>
      <c r="J137" s="472">
        <f>J136/(1+$F135)</f>
        <v>0</v>
      </c>
      <c r="K137" s="782">
        <f>K136/(1+F135)</f>
        <v>0</v>
      </c>
      <c r="L137" s="782"/>
      <c r="M137" s="473">
        <f>M136/(1+F135)</f>
        <v>0</v>
      </c>
      <c r="O137" s="501"/>
      <c r="P137" s="691"/>
      <c r="Q137" s="691"/>
      <c r="R137" s="692"/>
      <c r="S137" s="692"/>
      <c r="T137" s="693"/>
      <c r="U137" s="693"/>
      <c r="V137" s="693"/>
      <c r="W137" s="693"/>
      <c r="X137" s="663"/>
    </row>
    <row r="138" spans="3:24" s="32" customFormat="1" ht="12" customHeight="1">
      <c r="C138" s="757" t="s">
        <v>395</v>
      </c>
      <c r="D138" s="758"/>
      <c r="E138" s="758"/>
      <c r="F138" s="758"/>
      <c r="G138" s="759"/>
      <c r="H138" s="760"/>
      <c r="I138" s="468">
        <f>J138/J$33</f>
        <v>0</v>
      </c>
      <c r="J138" s="474">
        <v>0</v>
      </c>
      <c r="K138" s="763">
        <f>(J138+J138*O138)*12/J$33</f>
        <v>0</v>
      </c>
      <c r="L138" s="763"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761">
        <v>0</v>
      </c>
      <c r="D140" s="762"/>
      <c r="E140" s="762"/>
      <c r="F140" s="812">
        <v>0.24</v>
      </c>
      <c r="G140" s="811"/>
      <c r="H140" s="721" t="s">
        <v>8</v>
      </c>
      <c r="I140" s="468">
        <f>J140/J$33</f>
        <v>0</v>
      </c>
      <c r="J140" s="469">
        <f>J142*J143</f>
        <v>0</v>
      </c>
      <c r="K140" s="777">
        <f>K142*K143</f>
        <v>0</v>
      </c>
      <c r="L140" s="777"/>
      <c r="M140" s="469">
        <f>M142*M143</f>
        <v>0</v>
      </c>
      <c r="O140" s="501"/>
      <c r="P140" s="691"/>
      <c r="Q140" s="691"/>
      <c r="R140" s="692"/>
      <c r="S140" s="692"/>
      <c r="T140" s="693"/>
      <c r="U140" s="693"/>
      <c r="V140" s="693"/>
      <c r="W140" s="693"/>
      <c r="X140" s="663"/>
    </row>
    <row r="141" spans="3:24" s="32" customFormat="1" ht="12" customHeight="1">
      <c r="C141" s="816" t="s">
        <v>100</v>
      </c>
      <c r="D141" s="813"/>
      <c r="E141" s="813"/>
      <c r="F141" s="813"/>
      <c r="G141" s="814"/>
      <c r="H141" s="815"/>
      <c r="I141" s="470"/>
      <c r="J141" s="471">
        <v>0</v>
      </c>
      <c r="K141" s="791">
        <f>J141+J141*O141</f>
        <v>0</v>
      </c>
      <c r="L141" s="791">
        <f>K141 +K141*O141</f>
        <v>0</v>
      </c>
      <c r="M141" s="471">
        <f>K141+K141*P141</f>
        <v>0</v>
      </c>
      <c r="O141" s="496">
        <v>0.03</v>
      </c>
      <c r="P141" s="496">
        <f>O141</f>
        <v>0.03</v>
      </c>
      <c r="Q141" s="691"/>
      <c r="R141" s="692"/>
      <c r="S141" s="692"/>
      <c r="T141" s="693"/>
      <c r="U141" s="693"/>
      <c r="V141" s="693"/>
      <c r="W141" s="693"/>
      <c r="X141" s="663"/>
    </row>
    <row r="142" spans="3:24" s="32" customFormat="1" ht="12" customHeight="1">
      <c r="C142" s="783" t="s">
        <v>97</v>
      </c>
      <c r="D142" s="784"/>
      <c r="E142" s="784"/>
      <c r="F142" s="784"/>
      <c r="G142" s="785"/>
      <c r="H142" s="786"/>
      <c r="I142" s="579">
        <v>0</v>
      </c>
      <c r="J142" s="472">
        <f>J141/(1+$F140)</f>
        <v>0</v>
      </c>
      <c r="K142" s="782">
        <f>K141/(1+F140)</f>
        <v>0</v>
      </c>
      <c r="L142" s="782"/>
      <c r="M142" s="473">
        <f>M141/(1+F140)</f>
        <v>0</v>
      </c>
      <c r="O142" s="501"/>
      <c r="P142" s="691"/>
      <c r="Q142" s="691"/>
      <c r="R142" s="692"/>
      <c r="S142" s="692"/>
      <c r="T142" s="693"/>
      <c r="U142" s="693"/>
      <c r="V142" s="693"/>
      <c r="W142" s="693"/>
      <c r="X142" s="663"/>
    </row>
    <row r="143" spans="3:24" s="32" customFormat="1" ht="12" customHeight="1">
      <c r="C143" s="757" t="s">
        <v>394</v>
      </c>
      <c r="D143" s="758"/>
      <c r="E143" s="758"/>
      <c r="F143" s="758"/>
      <c r="G143" s="759"/>
      <c r="H143" s="760"/>
      <c r="I143" s="468">
        <f>J143/J$33</f>
        <v>0</v>
      </c>
      <c r="J143" s="474">
        <v>0</v>
      </c>
      <c r="K143" s="763">
        <f>(J143+J143*O143)*12/J$33</f>
        <v>0</v>
      </c>
      <c r="L143" s="763"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971">
        <v>0</v>
      </c>
      <c r="D145" s="972"/>
      <c r="E145" s="973"/>
      <c r="F145" s="810">
        <v>0.24</v>
      </c>
      <c r="G145" s="811"/>
      <c r="H145" s="721" t="s">
        <v>8</v>
      </c>
      <c r="I145" s="468">
        <f>J145/J$33</f>
        <v>0</v>
      </c>
      <c r="J145" s="469">
        <f>J147*J148</f>
        <v>0</v>
      </c>
      <c r="K145" s="777">
        <f>K147*K148</f>
        <v>0</v>
      </c>
      <c r="L145" s="777"/>
      <c r="M145" s="469">
        <f>M147*M148</f>
        <v>0</v>
      </c>
      <c r="O145" s="501"/>
      <c r="P145" s="691"/>
      <c r="Q145" s="691"/>
      <c r="R145" s="692"/>
      <c r="S145" s="692"/>
      <c r="T145" s="693"/>
      <c r="U145" s="693"/>
      <c r="V145" s="693"/>
      <c r="W145" s="693"/>
      <c r="X145" s="663"/>
    </row>
    <row r="146" spans="2:24" s="32" customFormat="1" ht="12" customHeight="1">
      <c r="C146" s="816" t="s">
        <v>100</v>
      </c>
      <c r="D146" s="813"/>
      <c r="E146" s="813"/>
      <c r="F146" s="813"/>
      <c r="G146" s="814"/>
      <c r="H146" s="815"/>
      <c r="I146" s="470"/>
      <c r="J146" s="471">
        <v>0</v>
      </c>
      <c r="K146" s="791">
        <f>J146+J146*O146</f>
        <v>0</v>
      </c>
      <c r="L146" s="791">
        <f>K146 +K146*O146</f>
        <v>0</v>
      </c>
      <c r="M146" s="471">
        <f>K146+K146*P146</f>
        <v>0</v>
      </c>
      <c r="O146" s="496">
        <v>0.03</v>
      </c>
      <c r="P146" s="496">
        <f>O146</f>
        <v>0.03</v>
      </c>
      <c r="Q146" s="691"/>
      <c r="R146" s="692"/>
      <c r="S146" s="692"/>
      <c r="T146" s="693"/>
      <c r="U146" s="693"/>
      <c r="V146" s="693"/>
      <c r="W146" s="693"/>
      <c r="X146" s="663"/>
    </row>
    <row r="147" spans="2:24" s="32" customFormat="1" ht="12" customHeight="1">
      <c r="C147" s="783" t="s">
        <v>97</v>
      </c>
      <c r="D147" s="784"/>
      <c r="E147" s="784"/>
      <c r="F147" s="784"/>
      <c r="G147" s="785"/>
      <c r="H147" s="786"/>
      <c r="I147" s="579">
        <v>0</v>
      </c>
      <c r="J147" s="472">
        <f>J146/(1+$F145)</f>
        <v>0</v>
      </c>
      <c r="K147" s="782">
        <f>K146/(1+F145)</f>
        <v>0</v>
      </c>
      <c r="L147" s="782"/>
      <c r="M147" s="473">
        <f>M146/(1+F145)</f>
        <v>0</v>
      </c>
      <c r="O147" s="501"/>
      <c r="P147" s="691"/>
      <c r="Q147" s="691"/>
      <c r="R147" s="692"/>
      <c r="S147" s="692"/>
      <c r="T147" s="693"/>
      <c r="U147" s="693"/>
      <c r="V147" s="693"/>
      <c r="W147" s="693"/>
      <c r="X147" s="663"/>
    </row>
    <row r="148" spans="2:24" s="32" customFormat="1" ht="12" customHeight="1">
      <c r="C148" s="757" t="s">
        <v>394</v>
      </c>
      <c r="D148" s="758"/>
      <c r="E148" s="758"/>
      <c r="F148" s="758"/>
      <c r="G148" s="759"/>
      <c r="H148" s="760"/>
      <c r="I148" s="468">
        <f>J148/J$33</f>
        <v>0</v>
      </c>
      <c r="J148" s="474">
        <v>0</v>
      </c>
      <c r="K148" s="763">
        <f>(J148+J148*O148)*12/J$33</f>
        <v>0</v>
      </c>
      <c r="L148" s="763"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944" t="str">
        <f>IF(J33=12,"MYYNTIENNUSTE (hinnat sis. arvonlisäveron)","HUOMIOI MYYNTIENNUSTEESSA TILIKAUDEN PITUUS! (hinnat sis. arvonlisäveron)")</f>
        <v>MYYNTIENNUSTE (hinnat sis. arvonlisäveron)</v>
      </c>
      <c r="D150" s="944"/>
      <c r="E150" s="944"/>
      <c r="F150" s="944"/>
      <c r="G150" s="944"/>
      <c r="H150" s="944"/>
      <c r="I150" s="844" t="s">
        <v>157</v>
      </c>
      <c r="J150" s="844"/>
      <c r="K150" s="844" t="s">
        <v>158</v>
      </c>
      <c r="L150" s="844"/>
      <c r="M150" s="602" t="s">
        <v>160</v>
      </c>
      <c r="O150" s="501">
        <v>0</v>
      </c>
      <c r="P150" s="691"/>
      <c r="Q150" s="691"/>
      <c r="R150" s="691"/>
      <c r="S150" s="692"/>
      <c r="T150" s="693"/>
      <c r="U150" s="695"/>
      <c r="V150" s="693"/>
      <c r="W150" s="693"/>
      <c r="X150" s="663"/>
    </row>
    <row r="151" spans="2:24" ht="15" customHeight="1">
      <c r="C151" s="945"/>
      <c r="D151" s="945"/>
      <c r="E151" s="945"/>
      <c r="F151" s="945"/>
      <c r="G151" s="945"/>
      <c r="H151" s="945"/>
      <c r="I151" s="604" t="s">
        <v>102</v>
      </c>
      <c r="J151" s="603">
        <f>J117</f>
        <v>2025</v>
      </c>
      <c r="K151" s="946">
        <f>K117</f>
        <v>2026</v>
      </c>
      <c r="L151" s="946"/>
      <c r="M151" s="603">
        <f>M117</f>
        <v>2027</v>
      </c>
      <c r="O151" s="501"/>
      <c r="P151" s="691"/>
      <c r="Q151" s="691"/>
      <c r="R151" s="691"/>
      <c r="S151" s="692"/>
      <c r="T151" s="693"/>
      <c r="U151" s="693"/>
      <c r="V151" s="693"/>
      <c r="W151" s="693"/>
      <c r="X151" s="663"/>
    </row>
    <row r="152" spans="2:24" ht="12.75" customHeight="1">
      <c r="B152" s="259"/>
      <c r="C152" s="821" t="s">
        <v>393</v>
      </c>
      <c r="D152" s="822"/>
      <c r="E152" s="644"/>
      <c r="F152" s="644"/>
      <c r="G152" s="644"/>
      <c r="H152" s="645"/>
      <c r="I152" s="482"/>
      <c r="J152" s="646">
        <f>J118</f>
        <v>12</v>
      </c>
      <c r="K152" s="921">
        <f>K118</f>
        <v>12</v>
      </c>
      <c r="L152" s="922"/>
      <c r="M152" s="647">
        <f>M118</f>
        <v>12</v>
      </c>
      <c r="O152" s="504"/>
      <c r="P152" s="29"/>
      <c r="Q152" s="691"/>
      <c r="R152" s="691"/>
      <c r="S152" s="692"/>
      <c r="T152" s="693"/>
      <c r="U152" s="693"/>
      <c r="V152" s="693"/>
      <c r="W152" s="693"/>
      <c r="X152" s="663"/>
    </row>
    <row r="153" spans="2:24" s="32" customFormat="1" ht="12" customHeight="1">
      <c r="B153" s="717"/>
      <c r="C153" s="722"/>
      <c r="D153" s="302"/>
      <c r="E153" s="302"/>
      <c r="F153" s="817" t="s">
        <v>378</v>
      </c>
      <c r="G153" s="818"/>
      <c r="H153" s="723"/>
      <c r="I153" s="483"/>
      <c r="J153" s="478"/>
      <c r="K153" s="819"/>
      <c r="L153" s="820"/>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865"/>
      <c r="L154" s="866"/>
      <c r="M154" s="480"/>
      <c r="O154" s="611"/>
      <c r="P154" s="261"/>
      <c r="Q154" s="691"/>
      <c r="R154" s="691"/>
      <c r="S154" s="692"/>
      <c r="T154" s="693"/>
      <c r="U154" s="693"/>
      <c r="V154" s="693"/>
      <c r="W154" s="693"/>
      <c r="X154" s="663"/>
    </row>
    <row r="155" spans="2:24" s="32" customFormat="1" ht="12" customHeight="1">
      <c r="C155" s="793" t="s">
        <v>446</v>
      </c>
      <c r="D155" s="794"/>
      <c r="E155" s="794"/>
      <c r="F155" s="724">
        <v>0.24</v>
      </c>
      <c r="G155" s="724">
        <v>0.24</v>
      </c>
      <c r="H155" s="477" t="s">
        <v>8</v>
      </c>
      <c r="I155" s="468">
        <f>J155/J$33</f>
        <v>0</v>
      </c>
      <c r="J155" s="469">
        <f>J156/(1+$F155)*J157</f>
        <v>0</v>
      </c>
      <c r="K155" s="777">
        <f>K156/(1+F155)*K157</f>
        <v>0</v>
      </c>
      <c r="L155" s="777"/>
      <c r="M155" s="469">
        <f>M157*M156/(1+F155)</f>
        <v>0</v>
      </c>
      <c r="O155" s="919" t="s">
        <v>195</v>
      </c>
      <c r="P155" s="920"/>
      <c r="Q155" s="692"/>
      <c r="R155" s="691"/>
      <c r="S155" s="692"/>
      <c r="T155" s="693"/>
      <c r="U155" s="688" t="s">
        <v>398</v>
      </c>
      <c r="V155" s="693"/>
      <c r="W155" s="693"/>
      <c r="X155" s="663"/>
    </row>
    <row r="156" spans="2:24" s="32" customFormat="1" ht="12.75" customHeight="1">
      <c r="C156" s="813" t="s">
        <v>254</v>
      </c>
      <c r="D156" s="813"/>
      <c r="E156" s="813"/>
      <c r="F156" s="813"/>
      <c r="G156" s="814"/>
      <c r="H156" s="815"/>
      <c r="I156" s="579">
        <v>0</v>
      </c>
      <c r="J156" s="471">
        <v>0</v>
      </c>
      <c r="K156" s="791">
        <f>J156+J156*O156</f>
        <v>0</v>
      </c>
      <c r="L156" s="791">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96" t="s">
        <v>4</v>
      </c>
      <c r="D157" s="796"/>
      <c r="E157" s="796"/>
      <c r="F157" s="796"/>
      <c r="G157" s="797"/>
      <c r="H157" s="798"/>
      <c r="I157" s="468">
        <f>J157/J$33</f>
        <v>0</v>
      </c>
      <c r="J157" s="474">
        <v>0</v>
      </c>
      <c r="K157" s="763">
        <f>(J157+J157*O157)*12/J$33</f>
        <v>0</v>
      </c>
      <c r="L157" s="763"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96" t="s">
        <v>256</v>
      </c>
      <c r="D158" s="796"/>
      <c r="E158" s="796"/>
      <c r="F158" s="796"/>
      <c r="G158" s="797"/>
      <c r="H158" s="798"/>
      <c r="I158" s="579">
        <v>0</v>
      </c>
      <c r="J158" s="471">
        <v>0</v>
      </c>
      <c r="K158" s="791">
        <f>J158+J158*O158</f>
        <v>0</v>
      </c>
      <c r="L158" s="791">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96" t="s">
        <v>257</v>
      </c>
      <c r="D159" s="796"/>
      <c r="E159" s="796"/>
      <c r="F159" s="796"/>
      <c r="G159" s="797"/>
      <c r="H159" s="798"/>
      <c r="I159" s="579">
        <v>0</v>
      </c>
      <c r="J159" s="472">
        <f>J158/(1+$F155)</f>
        <v>0</v>
      </c>
      <c r="K159" s="782">
        <f>K158/(1+F155)</f>
        <v>0</v>
      </c>
      <c r="L159" s="782"/>
      <c r="M159" s="472">
        <f>M158/(1+F155)</f>
        <v>0</v>
      </c>
      <c r="N159" s="725"/>
      <c r="O159" s="512"/>
      <c r="P159" s="706"/>
      <c r="Q159" s="706"/>
      <c r="R159" s="706"/>
      <c r="S159" s="692"/>
      <c r="T159" s="693"/>
      <c r="U159" s="693"/>
      <c r="V159" s="693"/>
      <c r="W159" s="693"/>
      <c r="X159" s="663"/>
    </row>
    <row r="160" spans="2:24" s="32" customFormat="1" ht="12.75" customHeight="1">
      <c r="C160" s="796" t="s">
        <v>63</v>
      </c>
      <c r="D160" s="796"/>
      <c r="E160" s="796"/>
      <c r="F160" s="796"/>
      <c r="G160" s="797"/>
      <c r="H160" s="798"/>
      <c r="I160" s="579">
        <v>0</v>
      </c>
      <c r="J160" s="475">
        <f>IF(J156=0,0,(J156-J158)/J156)</f>
        <v>0</v>
      </c>
      <c r="K160" s="799">
        <f>IF(K156=0,0,(K156-K158)/K156)</f>
        <v>0</v>
      </c>
      <c r="L160" s="799">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869" t="s">
        <v>66</v>
      </c>
      <c r="D161" s="805"/>
      <c r="E161" s="805"/>
      <c r="F161" s="805"/>
      <c r="G161" s="806"/>
      <c r="H161" s="807"/>
      <c r="I161" s="579">
        <v>0</v>
      </c>
      <c r="J161" s="476">
        <f>J155*J160</f>
        <v>0</v>
      </c>
      <c r="K161" s="792">
        <f>K155*K160</f>
        <v>0</v>
      </c>
      <c r="L161" s="792"/>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794">
        <v>0</v>
      </c>
      <c r="D163" s="794"/>
      <c r="E163" s="794"/>
      <c r="F163" s="724">
        <v>0.24</v>
      </c>
      <c r="G163" s="724">
        <f>F163</f>
        <v>0.24</v>
      </c>
      <c r="H163" s="477" t="s">
        <v>8</v>
      </c>
      <c r="I163" s="468">
        <f>J163/J$33</f>
        <v>0</v>
      </c>
      <c r="J163" s="469">
        <f>J164/(1+$F163)*J165</f>
        <v>0</v>
      </c>
      <c r="K163" s="777">
        <f>K164/(1+F163)*K165</f>
        <v>0</v>
      </c>
      <c r="L163" s="777"/>
      <c r="M163" s="469">
        <f>M165*M164/(1+F163)</f>
        <v>0</v>
      </c>
      <c r="N163" s="726"/>
      <c r="O163" s="516"/>
      <c r="P163" s="709"/>
      <c r="Q163" s="710"/>
      <c r="R163" s="706"/>
      <c r="S163" s="692"/>
      <c r="T163" s="693"/>
      <c r="U163" s="693"/>
      <c r="V163" s="693"/>
      <c r="W163" s="693"/>
      <c r="X163" s="663"/>
    </row>
    <row r="164" spans="3:37" s="32" customFormat="1" ht="12.75" customHeight="1">
      <c r="C164" s="800" t="s">
        <v>254</v>
      </c>
      <c r="D164" s="801"/>
      <c r="E164" s="801"/>
      <c r="F164" s="801"/>
      <c r="G164" s="802"/>
      <c r="H164" s="803"/>
      <c r="I164" s="579"/>
      <c r="J164" s="471">
        <v>0</v>
      </c>
      <c r="K164" s="791">
        <f>J164+J164*O164</f>
        <v>0</v>
      </c>
      <c r="L164" s="791"/>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795" t="s">
        <v>4</v>
      </c>
      <c r="D165" s="796"/>
      <c r="E165" s="796"/>
      <c r="F165" s="796"/>
      <c r="G165" s="797"/>
      <c r="H165" s="798"/>
      <c r="I165" s="468">
        <f>J165/J$33</f>
        <v>0</v>
      </c>
      <c r="J165" s="474">
        <v>0</v>
      </c>
      <c r="K165" s="763">
        <f>(J165+J165*O165)*12/J$33</f>
        <v>0</v>
      </c>
      <c r="L165" s="763"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795" t="s">
        <v>256</v>
      </c>
      <c r="D166" s="796"/>
      <c r="E166" s="796"/>
      <c r="F166" s="796"/>
      <c r="G166" s="797"/>
      <c r="H166" s="798"/>
      <c r="I166" s="579"/>
      <c r="J166" s="471">
        <v>0</v>
      </c>
      <c r="K166" s="791">
        <f>J166+J166*O166</f>
        <v>0</v>
      </c>
      <c r="L166" s="791">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795" t="s">
        <v>257</v>
      </c>
      <c r="D167" s="796"/>
      <c r="E167" s="796"/>
      <c r="F167" s="796"/>
      <c r="G167" s="797"/>
      <c r="H167" s="798"/>
      <c r="I167" s="579"/>
      <c r="J167" s="472">
        <f>J166/(1+$F163)</f>
        <v>0</v>
      </c>
      <c r="K167" s="782">
        <f>K166/(1+F163)</f>
        <v>0</v>
      </c>
      <c r="L167" s="782"/>
      <c r="M167" s="472">
        <f>M166/(1+F163)</f>
        <v>0</v>
      </c>
      <c r="N167" s="727"/>
      <c r="O167" s="516"/>
      <c r="P167" s="709"/>
      <c r="Q167" s="710"/>
      <c r="R167" s="706"/>
      <c r="S167" s="692"/>
      <c r="T167" s="693"/>
      <c r="U167" s="693"/>
      <c r="V167" s="693"/>
      <c r="W167" s="693"/>
      <c r="X167" s="663"/>
    </row>
    <row r="168" spans="3:37" s="32" customFormat="1" ht="12.75" customHeight="1">
      <c r="C168" s="795" t="s">
        <v>63</v>
      </c>
      <c r="D168" s="796"/>
      <c r="E168" s="796"/>
      <c r="F168" s="796"/>
      <c r="G168" s="797"/>
      <c r="H168" s="798"/>
      <c r="I168" s="579"/>
      <c r="J168" s="475">
        <f>IF(J164=0,0,(J164-J166)/J164)</f>
        <v>0</v>
      </c>
      <c r="K168" s="799">
        <f>IF(K164=0,0,(K164-K166)/K164)</f>
        <v>0</v>
      </c>
      <c r="L168" s="799">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804" t="s">
        <v>66</v>
      </c>
      <c r="D169" s="805"/>
      <c r="E169" s="805"/>
      <c r="F169" s="805"/>
      <c r="G169" s="806"/>
      <c r="H169" s="807"/>
      <c r="I169" s="579"/>
      <c r="J169" s="476">
        <f>J163*J168</f>
        <v>0</v>
      </c>
      <c r="K169" s="792">
        <f>K163*K168</f>
        <v>0</v>
      </c>
      <c r="L169" s="792"/>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794">
        <v>0</v>
      </c>
      <c r="D171" s="794"/>
      <c r="E171" s="794"/>
      <c r="F171" s="724">
        <v>0.24</v>
      </c>
      <c r="G171" s="724">
        <f>F171</f>
        <v>0.24</v>
      </c>
      <c r="H171" s="477" t="s">
        <v>8</v>
      </c>
      <c r="I171" s="468">
        <f>J171/J$33</f>
        <v>0</v>
      </c>
      <c r="J171" s="469">
        <f>J172/(1+$F171)*J173</f>
        <v>0</v>
      </c>
      <c r="K171" s="777">
        <f>K172/(1+F171)*K173</f>
        <v>0</v>
      </c>
      <c r="L171" s="777"/>
      <c r="M171" s="469">
        <f>M173*M172/(1+F171)</f>
        <v>0</v>
      </c>
      <c r="O171" s="519"/>
      <c r="P171" s="692"/>
      <c r="Q171" s="691"/>
      <c r="R171" s="691"/>
      <c r="S171" s="692"/>
      <c r="T171" s="693"/>
      <c r="U171" s="693"/>
      <c r="V171" s="693"/>
      <c r="W171" s="693"/>
      <c r="X171" s="663"/>
    </row>
    <row r="172" spans="3:37" s="32" customFormat="1" ht="12.75" customHeight="1">
      <c r="C172" s="800" t="s">
        <v>254</v>
      </c>
      <c r="D172" s="801"/>
      <c r="E172" s="801"/>
      <c r="F172" s="801"/>
      <c r="G172" s="802"/>
      <c r="H172" s="803"/>
      <c r="I172" s="579">
        <v>0</v>
      </c>
      <c r="J172" s="471">
        <v>0</v>
      </c>
      <c r="K172" s="791">
        <f>J172+J172*O172</f>
        <v>0</v>
      </c>
      <c r="L172" s="791">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795" t="s">
        <v>4</v>
      </c>
      <c r="D173" s="796"/>
      <c r="E173" s="796"/>
      <c r="F173" s="796"/>
      <c r="G173" s="797"/>
      <c r="H173" s="798"/>
      <c r="I173" s="468">
        <f>J173/J$33</f>
        <v>0</v>
      </c>
      <c r="J173" s="474">
        <v>0</v>
      </c>
      <c r="K173" s="763">
        <f>(J173+J173*O173)*12/J$33</f>
        <v>0</v>
      </c>
      <c r="L173" s="763" t="e">
        <f>K173*12/K$11</f>
        <v>#VALUE!</v>
      </c>
      <c r="M173" s="474">
        <f>K173+K173*P173</f>
        <v>0</v>
      </c>
      <c r="O173" s="496">
        <v>0</v>
      </c>
      <c r="P173" s="496">
        <f>O173</f>
        <v>0</v>
      </c>
      <c r="Q173" s="691"/>
      <c r="R173" s="691"/>
      <c r="S173" s="692"/>
      <c r="T173" s="693"/>
      <c r="U173" s="693"/>
      <c r="V173" s="693"/>
      <c r="W173" s="693"/>
      <c r="X173" s="663"/>
    </row>
    <row r="174" spans="3:37" s="32" customFormat="1" ht="12.75" customHeight="1">
      <c r="C174" s="795" t="s">
        <v>255</v>
      </c>
      <c r="D174" s="796"/>
      <c r="E174" s="796"/>
      <c r="F174" s="796"/>
      <c r="G174" s="797"/>
      <c r="H174" s="798"/>
      <c r="I174" s="579">
        <v>0</v>
      </c>
      <c r="J174" s="471">
        <v>0</v>
      </c>
      <c r="K174" s="791">
        <f>J174+J174*O174</f>
        <v>0</v>
      </c>
      <c r="L174" s="791">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795" t="s">
        <v>257</v>
      </c>
      <c r="D175" s="796"/>
      <c r="E175" s="796"/>
      <c r="F175" s="796"/>
      <c r="G175" s="797"/>
      <c r="H175" s="798"/>
      <c r="I175" s="579">
        <v>0</v>
      </c>
      <c r="J175" s="472">
        <f>J174/(1+$F171)</f>
        <v>0</v>
      </c>
      <c r="K175" s="782">
        <f>K174/(1+F171)</f>
        <v>0</v>
      </c>
      <c r="L175" s="782"/>
      <c r="M175" s="472">
        <f>M174/(1+F171)</f>
        <v>0</v>
      </c>
      <c r="O175" s="501"/>
      <c r="P175" s="691"/>
      <c r="Q175" s="691"/>
      <c r="R175" s="691"/>
      <c r="S175" s="692"/>
      <c r="T175" s="693"/>
      <c r="U175" s="693"/>
      <c r="V175" s="693"/>
      <c r="W175" s="693"/>
      <c r="X175" s="663"/>
    </row>
    <row r="176" spans="3:37" s="32" customFormat="1" ht="12.75" customHeight="1">
      <c r="C176" s="795" t="s">
        <v>63</v>
      </c>
      <c r="D176" s="796"/>
      <c r="E176" s="796"/>
      <c r="F176" s="796"/>
      <c r="G176" s="797"/>
      <c r="H176" s="798"/>
      <c r="I176" s="579">
        <v>0</v>
      </c>
      <c r="J176" s="475">
        <f>IF(J172=0,0,(J172-J174)/J172)</f>
        <v>0</v>
      </c>
      <c r="K176" s="799">
        <f>IF(K172=0,0,(K172-K174)/K172)</f>
        <v>0</v>
      </c>
      <c r="L176" s="799">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804" t="s">
        <v>66</v>
      </c>
      <c r="D177" s="805"/>
      <c r="E177" s="805"/>
      <c r="F177" s="805"/>
      <c r="G177" s="806"/>
      <c r="H177" s="807"/>
      <c r="I177" s="579">
        <v>0</v>
      </c>
      <c r="J177" s="476">
        <f>J171*J176</f>
        <v>0</v>
      </c>
      <c r="K177" s="792">
        <f>K171*K176</f>
        <v>0</v>
      </c>
      <c r="L177" s="792"/>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794">
        <v>0</v>
      </c>
      <c r="D179" s="794"/>
      <c r="E179" s="794"/>
      <c r="F179" s="724">
        <v>0.24</v>
      </c>
      <c r="G179" s="724">
        <f>F179</f>
        <v>0.24</v>
      </c>
      <c r="H179" s="477" t="s">
        <v>8</v>
      </c>
      <c r="I179" s="455">
        <f>J179/J$33</f>
        <v>0</v>
      </c>
      <c r="J179" s="469">
        <f>J180/(1+$F179)*J181</f>
        <v>0</v>
      </c>
      <c r="K179" s="777">
        <f>K180/(1+F179)*K181</f>
        <v>0</v>
      </c>
      <c r="L179" s="777"/>
      <c r="M179" s="469">
        <f>M181*M180/(1+F179)</f>
        <v>0</v>
      </c>
      <c r="O179" s="501"/>
      <c r="P179" s="691"/>
      <c r="Q179" s="691" t="s">
        <v>0</v>
      </c>
      <c r="R179" s="691"/>
      <c r="S179" s="692"/>
      <c r="T179" s="693"/>
      <c r="U179" s="693"/>
      <c r="V179" s="693"/>
      <c r="W179" s="693"/>
      <c r="X179" s="663"/>
    </row>
    <row r="180" spans="3:37" s="32" customFormat="1" ht="12.75" customHeight="1">
      <c r="C180" s="800" t="s">
        <v>254</v>
      </c>
      <c r="D180" s="801"/>
      <c r="E180" s="801"/>
      <c r="F180" s="801"/>
      <c r="G180" s="802"/>
      <c r="H180" s="803"/>
      <c r="I180" s="468">
        <v>0</v>
      </c>
      <c r="J180" s="471">
        <v>0</v>
      </c>
      <c r="K180" s="791">
        <f>J180+J180*O180</f>
        <v>0</v>
      </c>
      <c r="L180" s="791">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795" t="s">
        <v>4</v>
      </c>
      <c r="D181" s="796"/>
      <c r="E181" s="796"/>
      <c r="F181" s="796"/>
      <c r="G181" s="797"/>
      <c r="H181" s="798"/>
      <c r="I181" s="470">
        <f>J181/J$33</f>
        <v>0</v>
      </c>
      <c r="J181" s="474">
        <v>0</v>
      </c>
      <c r="K181" s="763">
        <f>(J181+J181*O181)*12/J$33</f>
        <v>0</v>
      </c>
      <c r="L181" s="763" t="e">
        <f>K181*12/K$11</f>
        <v>#VALUE!</v>
      </c>
      <c r="M181" s="474">
        <f>K181+K181*P181</f>
        <v>0</v>
      </c>
      <c r="O181" s="496">
        <v>0</v>
      </c>
      <c r="P181" s="496">
        <f>O181</f>
        <v>0</v>
      </c>
      <c r="Q181" s="691"/>
      <c r="R181" s="691"/>
      <c r="S181" s="692"/>
      <c r="T181" s="693"/>
      <c r="U181" s="693"/>
      <c r="V181" s="693"/>
      <c r="W181" s="693"/>
      <c r="X181" s="663"/>
    </row>
    <row r="182" spans="3:37" s="32" customFormat="1" ht="12.75" customHeight="1">
      <c r="C182" s="795" t="s">
        <v>255</v>
      </c>
      <c r="D182" s="796"/>
      <c r="E182" s="796"/>
      <c r="F182" s="796"/>
      <c r="G182" s="797"/>
      <c r="H182" s="798"/>
      <c r="I182" s="468">
        <v>0</v>
      </c>
      <c r="J182" s="471">
        <v>0</v>
      </c>
      <c r="K182" s="791">
        <f>J182+J182*O182</f>
        <v>0</v>
      </c>
      <c r="L182" s="791">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795" t="s">
        <v>257</v>
      </c>
      <c r="D183" s="796"/>
      <c r="E183" s="796"/>
      <c r="F183" s="796"/>
      <c r="G183" s="797"/>
      <c r="H183" s="798"/>
      <c r="I183" s="579">
        <v>0</v>
      </c>
      <c r="J183" s="472">
        <f>J182/(1+$F179)</f>
        <v>0</v>
      </c>
      <c r="K183" s="823">
        <f>K182/(1+F179)</f>
        <v>0</v>
      </c>
      <c r="L183" s="824"/>
      <c r="M183" s="472">
        <f>M182/(1+F179)</f>
        <v>0</v>
      </c>
      <c r="N183" s="725"/>
      <c r="O183" s="512"/>
      <c r="P183" s="706"/>
      <c r="Q183" s="706"/>
      <c r="R183" s="706"/>
      <c r="S183" s="692"/>
      <c r="T183" s="693"/>
      <c r="U183" s="693"/>
      <c r="V183" s="693"/>
      <c r="W183" s="693"/>
      <c r="X183" s="663"/>
    </row>
    <row r="184" spans="3:37" s="32" customFormat="1" ht="12.75" customHeight="1">
      <c r="C184" s="795" t="s">
        <v>63</v>
      </c>
      <c r="D184" s="796"/>
      <c r="E184" s="796"/>
      <c r="F184" s="796"/>
      <c r="G184" s="797"/>
      <c r="H184" s="798"/>
      <c r="I184" s="579">
        <v>0</v>
      </c>
      <c r="J184" s="475">
        <f>IF(J180=0,0,(J180-J182)/J180)</f>
        <v>0</v>
      </c>
      <c r="K184" s="799">
        <f>IF(K180=0,0,(K180-K182)/K180)</f>
        <v>0</v>
      </c>
      <c r="L184" s="799">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804" t="s">
        <v>66</v>
      </c>
      <c r="D185" s="805"/>
      <c r="E185" s="805"/>
      <c r="F185" s="805"/>
      <c r="G185" s="806"/>
      <c r="H185" s="807"/>
      <c r="I185" s="579">
        <v>0</v>
      </c>
      <c r="J185" s="476">
        <f>J179*J184</f>
        <v>0</v>
      </c>
      <c r="K185" s="792">
        <f>K179*K184</f>
        <v>0</v>
      </c>
      <c r="L185" s="792"/>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794">
        <v>0</v>
      </c>
      <c r="D187" s="794"/>
      <c r="E187" s="794"/>
      <c r="F187" s="724">
        <v>0.24</v>
      </c>
      <c r="G187" s="724">
        <f>F187</f>
        <v>0.24</v>
      </c>
      <c r="H187" s="477" t="s">
        <v>8</v>
      </c>
      <c r="I187" s="468">
        <f>J187/J$33</f>
        <v>0</v>
      </c>
      <c r="J187" s="469">
        <f>J188/(1+$F187)*J189</f>
        <v>0</v>
      </c>
      <c r="K187" s="777">
        <f>K188/(1+F187)*K189</f>
        <v>0</v>
      </c>
      <c r="L187" s="777"/>
      <c r="M187" s="469">
        <f>M189*M188/(1+F187)</f>
        <v>0</v>
      </c>
      <c r="N187" s="726"/>
      <c r="O187" s="516"/>
      <c r="P187" s="709"/>
      <c r="Q187" s="710"/>
      <c r="R187" s="706"/>
      <c r="S187" s="692"/>
      <c r="T187" s="693"/>
      <c r="U187" s="693"/>
      <c r="V187" s="693"/>
      <c r="W187" s="693"/>
      <c r="X187" s="663"/>
    </row>
    <row r="188" spans="3:37" s="32" customFormat="1" ht="12.75" customHeight="1">
      <c r="C188" s="800" t="s">
        <v>254</v>
      </c>
      <c r="D188" s="801"/>
      <c r="E188" s="801"/>
      <c r="F188" s="801"/>
      <c r="G188" s="802"/>
      <c r="H188" s="803"/>
      <c r="I188" s="579">
        <v>0</v>
      </c>
      <c r="J188" s="471">
        <v>0</v>
      </c>
      <c r="K188" s="791">
        <f>J188+J188*O188</f>
        <v>0</v>
      </c>
      <c r="L188" s="791">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795" t="s">
        <v>4</v>
      </c>
      <c r="D189" s="796"/>
      <c r="E189" s="796"/>
      <c r="F189" s="796"/>
      <c r="G189" s="797"/>
      <c r="H189" s="798"/>
      <c r="I189" s="468">
        <f>J189/J$33</f>
        <v>0</v>
      </c>
      <c r="J189" s="474">
        <v>0</v>
      </c>
      <c r="K189" s="763">
        <f>(J189+J189*O189)*12/J$33</f>
        <v>0</v>
      </c>
      <c r="L189" s="763"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795" t="s">
        <v>255</v>
      </c>
      <c r="D190" s="796"/>
      <c r="E190" s="796"/>
      <c r="F190" s="796"/>
      <c r="G190" s="797"/>
      <c r="H190" s="798"/>
      <c r="I190" s="579">
        <v>0</v>
      </c>
      <c r="J190" s="471">
        <v>0</v>
      </c>
      <c r="K190" s="791">
        <f>J190+J190*O190</f>
        <v>0</v>
      </c>
      <c r="L190" s="791">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795" t="s">
        <v>257</v>
      </c>
      <c r="D191" s="796"/>
      <c r="E191" s="796"/>
      <c r="F191" s="796"/>
      <c r="G191" s="797"/>
      <c r="H191" s="798"/>
      <c r="I191" s="579">
        <v>0</v>
      </c>
      <c r="J191" s="472">
        <f>J190/(1+$F187)</f>
        <v>0</v>
      </c>
      <c r="K191" s="782">
        <f>K190/(1+F187)</f>
        <v>0</v>
      </c>
      <c r="L191" s="782"/>
      <c r="M191" s="472">
        <f>M190/(1+F187)</f>
        <v>0</v>
      </c>
      <c r="N191" s="727"/>
      <c r="O191" s="516"/>
      <c r="P191" s="709"/>
      <c r="Q191" s="710"/>
      <c r="R191" s="706"/>
      <c r="S191" s="692"/>
      <c r="T191" s="693"/>
      <c r="U191" s="693"/>
      <c r="V191" s="693"/>
      <c r="W191" s="693"/>
      <c r="X191" s="663"/>
    </row>
    <row r="192" spans="3:37" s="32" customFormat="1" ht="12.75" customHeight="1">
      <c r="C192" s="795" t="s">
        <v>63</v>
      </c>
      <c r="D192" s="796"/>
      <c r="E192" s="796"/>
      <c r="F192" s="796"/>
      <c r="G192" s="797"/>
      <c r="H192" s="798"/>
      <c r="I192" s="579">
        <v>0</v>
      </c>
      <c r="J192" s="475">
        <f>IF(J188=0,0,(J188-J190)/J188)</f>
        <v>0</v>
      </c>
      <c r="K192" s="799">
        <f>IF(K188=0,0,(K188-K190)/K188)</f>
        <v>0</v>
      </c>
      <c r="L192" s="799">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804" t="s">
        <v>66</v>
      </c>
      <c r="D193" s="805"/>
      <c r="E193" s="805"/>
      <c r="F193" s="805"/>
      <c r="G193" s="806"/>
      <c r="H193" s="807"/>
      <c r="I193" s="579">
        <v>0</v>
      </c>
      <c r="J193" s="476">
        <f>J187*J192</f>
        <v>0</v>
      </c>
      <c r="K193" s="792">
        <f>K187*K192</f>
        <v>0</v>
      </c>
      <c r="L193" s="792"/>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794" t="s">
        <v>392</v>
      </c>
      <c r="D195" s="794"/>
      <c r="E195" s="794"/>
      <c r="F195" s="825">
        <v>0.24</v>
      </c>
      <c r="G195" s="826"/>
      <c r="H195" s="477" t="s">
        <v>8</v>
      </c>
      <c r="I195" s="468">
        <f>J195/J$33</f>
        <v>0</v>
      </c>
      <c r="J195" s="469">
        <f>IF(J196=0,0,J196*J197)-'2 Myynnin ALV'!B18</f>
        <v>0</v>
      </c>
      <c r="K195" s="777">
        <f>IF(K196=0,0,K196*K197)-'2 Myynnin ALV'!C18</f>
        <v>0</v>
      </c>
      <c r="L195" s="777"/>
      <c r="M195" s="469">
        <f>IF(M196=0,0,M196*M197)-'2 Myynnin ALV'!D18</f>
        <v>0</v>
      </c>
      <c r="O195" s="519"/>
      <c r="P195" s="692"/>
      <c r="Q195" s="691"/>
      <c r="R195" s="691"/>
      <c r="S195" s="692"/>
      <c r="T195" s="693"/>
      <c r="U195" s="693"/>
      <c r="V195" s="693"/>
      <c r="W195" s="693"/>
      <c r="X195" s="663"/>
    </row>
    <row r="196" spans="2:24" s="32" customFormat="1" ht="12.75" customHeight="1">
      <c r="C196" s="800" t="s">
        <v>254</v>
      </c>
      <c r="D196" s="801"/>
      <c r="E196" s="801"/>
      <c r="F196" s="801"/>
      <c r="G196" s="802"/>
      <c r="H196" s="803"/>
      <c r="I196" s="579">
        <v>0</v>
      </c>
      <c r="J196" s="471">
        <v>0</v>
      </c>
      <c r="K196" s="791">
        <f>J196+J196*O196</f>
        <v>0</v>
      </c>
      <c r="L196" s="791">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795" t="s">
        <v>4</v>
      </c>
      <c r="D197" s="796"/>
      <c r="E197" s="796"/>
      <c r="F197" s="796"/>
      <c r="G197" s="797"/>
      <c r="H197" s="798"/>
      <c r="I197" s="468">
        <f>J197/J$33</f>
        <v>0</v>
      </c>
      <c r="J197" s="474">
        <v>0</v>
      </c>
      <c r="K197" s="763">
        <f>(J197+J197*O197)*12/J$33</f>
        <v>0</v>
      </c>
      <c r="L197" s="763" t="e">
        <f>K197*12/K$11</f>
        <v>#VALUE!</v>
      </c>
      <c r="M197" s="474">
        <f>K197+K197*P197</f>
        <v>0</v>
      </c>
      <c r="O197" s="496">
        <v>0</v>
      </c>
      <c r="P197" s="496">
        <f>O197</f>
        <v>0</v>
      </c>
      <c r="Q197" s="691"/>
      <c r="R197" s="691"/>
      <c r="S197" s="692"/>
      <c r="T197" s="693"/>
      <c r="U197" s="693"/>
      <c r="V197" s="693"/>
      <c r="W197" s="693"/>
      <c r="X197" s="663"/>
    </row>
    <row r="198" spans="2:24" s="32" customFormat="1" ht="12.75" customHeight="1">
      <c r="C198" s="795" t="s">
        <v>372</v>
      </c>
      <c r="D198" s="796"/>
      <c r="E198" s="796"/>
      <c r="F198" s="796"/>
      <c r="G198" s="797"/>
      <c r="H198" s="798"/>
      <c r="I198" s="579">
        <v>0</v>
      </c>
      <c r="J198" s="471">
        <v>0</v>
      </c>
      <c r="K198" s="791">
        <f>J198+J198*O198</f>
        <v>0</v>
      </c>
      <c r="L198" s="791">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795" t="s">
        <v>285</v>
      </c>
      <c r="D199" s="796"/>
      <c r="E199" s="796"/>
      <c r="F199" s="796"/>
      <c r="G199" s="797"/>
      <c r="H199" s="798"/>
      <c r="I199" s="579">
        <v>0</v>
      </c>
      <c r="J199" s="475">
        <f>IF(J198=0,0,(J195-J200)/J195)</f>
        <v>0</v>
      </c>
      <c r="K199" s="799">
        <f t="shared" ref="K199:L199" si="31">IF(K198=0,0,(K195-K200)/K195)</f>
        <v>0</v>
      </c>
      <c r="L199" s="799">
        <f t="shared" si="31"/>
        <v>0</v>
      </c>
      <c r="M199" s="475">
        <f>IF(M198=0,0,(M195-M200)/M195)</f>
        <v>0</v>
      </c>
      <c r="O199" s="501"/>
      <c r="P199" s="691"/>
      <c r="Q199" s="691"/>
      <c r="R199" s="691"/>
      <c r="S199" s="692"/>
      <c r="T199" s="693"/>
      <c r="U199" s="693"/>
      <c r="V199" s="693"/>
      <c r="W199" s="693"/>
      <c r="X199" s="663"/>
    </row>
    <row r="200" spans="2:24" s="32" customFormat="1" ht="12.75" customHeight="1">
      <c r="C200" s="827" t="s">
        <v>286</v>
      </c>
      <c r="D200" s="828"/>
      <c r="E200" s="828"/>
      <c r="F200" s="828"/>
      <c r="G200" s="829"/>
      <c r="H200" s="830"/>
      <c r="I200" s="579">
        <v>0</v>
      </c>
      <c r="J200" s="476">
        <f>J197*J198</f>
        <v>0</v>
      </c>
      <c r="K200" s="792">
        <f t="shared" ref="K200:L200" si="32">K197*K198</f>
        <v>0</v>
      </c>
      <c r="L200" s="792"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31">
        <f>K120+K125+K130+K161+K169+K177+K185+K193+K195*K199+K135+K140+K145</f>
        <v>0</v>
      </c>
      <c r="L202" s="831">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31">
        <f>-(K34+K37+K42+K47+K52+K55+K59+K74+K75+K83+K87+K92+K93+K98+K101+K104+K105+K109+K110+K111+K112+K46+K38+K113)</f>
        <v>0</v>
      </c>
      <c r="L203" s="831"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31">
        <f>-2*K203/K33</f>
        <v>0</v>
      </c>
      <c r="L204" s="831"/>
      <c r="M204" s="489">
        <f>-2*M203/M33</f>
        <v>0</v>
      </c>
    </row>
    <row r="205" spans="2:24" s="32" customFormat="1" ht="15" customHeight="1">
      <c r="B205" s="25"/>
      <c r="C205" s="490" t="s">
        <v>203</v>
      </c>
      <c r="D205" s="491" t="s">
        <v>452</v>
      </c>
      <c r="E205" s="491"/>
      <c r="F205" s="492"/>
      <c r="G205" s="492"/>
      <c r="H205" s="492"/>
      <c r="I205" s="492"/>
      <c r="J205" s="495">
        <f>J202+J203</f>
        <v>0</v>
      </c>
      <c r="K205" s="836">
        <f>K202+K203</f>
        <v>0</v>
      </c>
      <c r="L205" s="837"/>
      <c r="M205" s="495">
        <f>M202+M203</f>
        <v>0</v>
      </c>
    </row>
    <row r="206" spans="2:24" s="30" customFormat="1" ht="15" customHeight="1">
      <c r="B206" s="92"/>
      <c r="C206" s="486"/>
      <c r="D206" s="571" t="s">
        <v>231</v>
      </c>
      <c r="E206" s="571"/>
      <c r="F206" s="488"/>
      <c r="G206" s="488"/>
      <c r="H206" s="488"/>
      <c r="I206" s="488"/>
      <c r="J206" s="494">
        <f>J38</f>
        <v>0</v>
      </c>
      <c r="K206" s="831">
        <f>K38</f>
        <v>0</v>
      </c>
      <c r="L206" s="831"/>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31">
        <f>-('Lainat ja avustukset'!G5+'Lainat ja avustukset'!G9)</f>
        <v>0</v>
      </c>
      <c r="L208" s="831"/>
      <c r="M208" s="489">
        <f>-('Lainat ja avustukset'!H5+'Lainat ja avustukset'!H9)</f>
        <v>0</v>
      </c>
    </row>
    <row r="209" spans="2:17" s="32" customFormat="1" ht="15" customHeight="1">
      <c r="B209" s="25"/>
      <c r="C209" s="486" t="s">
        <v>205</v>
      </c>
      <c r="D209" s="755" t="s">
        <v>447</v>
      </c>
      <c r="E209" s="755"/>
      <c r="F209" s="755"/>
      <c r="G209" s="755"/>
      <c r="H209" s="755"/>
      <c r="I209" s="756"/>
      <c r="J209" s="495">
        <f>IF(J205=0,0,J205+'Lainat ja avustukset'!G27-'Lainat ja avustukset'!G19+J208+J38)</f>
        <v>0</v>
      </c>
      <c r="K209" s="832">
        <f>IF(K205=0,0,K205+'Lainat ja avustukset'!H27-'Lainat ja avustukset'!H19+K208+K38)</f>
        <v>0</v>
      </c>
      <c r="L209" s="832">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55" t="s">
        <v>448</v>
      </c>
      <c r="E210" s="755"/>
      <c r="F210" s="755"/>
      <c r="G210" s="755"/>
      <c r="H210" s="755"/>
      <c r="I210" s="756"/>
      <c r="J210" s="495">
        <f>IF(J205=0,0,J205+'Lainat ja avustukset'!G27-'Lainat ja avustukset'!G19+J208)</f>
        <v>0</v>
      </c>
      <c r="K210" s="832">
        <f>IF(K205=0,0,K205+'Lainat ja avustukset'!H27-'Lainat ja avustukset'!H19+K208)</f>
        <v>0</v>
      </c>
      <c r="L210" s="832">
        <f>IF(L208=0,0,L205+'Lainat ja avustukset'!I27-'Lainat ja avustukset'!I19+L208)</f>
        <v>0</v>
      </c>
      <c r="M210" s="495">
        <f>IF(M205=0,0,M205+'Lainat ja avustukset'!I27-'Lainat ja avustukset'!I19+M208)</f>
        <v>0</v>
      </c>
      <c r="N210" s="731"/>
    </row>
    <row r="211" spans="2:17" s="32" customFormat="1" ht="15" customHeight="1">
      <c r="B211" s="25"/>
      <c r="C211" s="486" t="s">
        <v>227</v>
      </c>
      <c r="D211" s="755" t="s">
        <v>450</v>
      </c>
      <c r="E211" s="755"/>
      <c r="F211" s="755"/>
      <c r="G211" s="755"/>
      <c r="H211" s="755"/>
      <c r="I211" s="756"/>
      <c r="J211" s="495">
        <f>IF(J205=0,0,J205+'Lainat ja avustukset'!G27-'Lainat ja avustukset'!G19+J208)</f>
        <v>0</v>
      </c>
      <c r="K211" s="832">
        <f>IF(K205=0,0,K205+'Lainat ja avustukset'!H27-'Lainat ja avustukset'!H19+K208)</f>
        <v>0</v>
      </c>
      <c r="L211" s="832">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77">
        <f>K120+K125+K130+K155+K163+K171+K135+K140+K145+K179+K187+K195</f>
        <v>0</v>
      </c>
      <c r="L213" s="777"/>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31">
        <f>'2 Myynnin ALV'!C19</f>
        <v>0</v>
      </c>
      <c r="L214" s="831">
        <f>'2 Myynnin ALV'!D19</f>
        <v>0</v>
      </c>
      <c r="M214" s="489">
        <f>'2 Myynnin ALV'!D19</f>
        <v>0</v>
      </c>
    </row>
    <row r="215" spans="2:17" ht="15" customHeight="1">
      <c r="B215" s="23"/>
      <c r="C215" s="486" t="s">
        <v>449</v>
      </c>
      <c r="D215" s="487" t="s">
        <v>252</v>
      </c>
      <c r="E215" s="487"/>
      <c r="F215" s="488"/>
      <c r="G215" s="488"/>
      <c r="H215" s="488"/>
      <c r="I215" s="488"/>
      <c r="J215" s="469">
        <f>SUM(J213:J214)</f>
        <v>0</v>
      </c>
      <c r="K215" s="777">
        <f>SUM(K213:K214)</f>
        <v>0</v>
      </c>
      <c r="L215" s="777"/>
      <c r="M215" s="538">
        <f>SUM(M213:M214)</f>
        <v>0</v>
      </c>
      <c r="P215" s="285"/>
    </row>
    <row r="216" spans="2:17" s="32" customFormat="1" ht="15" customHeight="1">
      <c r="B216" s="261"/>
      <c r="C216" s="490"/>
      <c r="D216" s="631" t="s">
        <v>309</v>
      </c>
      <c r="E216" s="631"/>
      <c r="F216" s="632"/>
      <c r="G216" s="632"/>
      <c r="H216" s="632"/>
      <c r="I216" s="632"/>
      <c r="J216" s="633">
        <f>J196*J197</f>
        <v>0</v>
      </c>
      <c r="K216" s="776">
        <f>K196*K197</f>
        <v>0</v>
      </c>
      <c r="L216" s="776"/>
      <c r="M216" s="634">
        <f>M196*M197</f>
        <v>0</v>
      </c>
    </row>
    <row r="217" spans="2:17" s="32" customFormat="1" ht="15" customHeight="1">
      <c r="B217" s="261"/>
      <c r="C217" s="486"/>
      <c r="D217" s="487" t="s">
        <v>362</v>
      </c>
      <c r="E217" s="571"/>
      <c r="F217" s="635"/>
      <c r="G217" s="635"/>
      <c r="H217" s="635"/>
      <c r="I217" s="635"/>
      <c r="J217" s="531">
        <v>1</v>
      </c>
      <c r="K217" s="833">
        <f>J217</f>
        <v>1</v>
      </c>
      <c r="L217" s="833"/>
      <c r="M217" s="636">
        <f>K217</f>
        <v>1</v>
      </c>
    </row>
    <row r="218" spans="2:17" ht="14.15" customHeight="1">
      <c r="B218" s="7"/>
      <c r="C218" s="486"/>
      <c r="D218" s="487" t="s">
        <v>232</v>
      </c>
      <c r="E218" s="571"/>
      <c r="F218" s="635"/>
      <c r="G218" s="635"/>
      <c r="H218" s="635"/>
      <c r="I218" s="635"/>
      <c r="J218" s="531">
        <v>47</v>
      </c>
      <c r="K218" s="833">
        <f>J218</f>
        <v>47</v>
      </c>
      <c r="L218" s="833"/>
      <c r="M218" s="636">
        <f>K218</f>
        <v>47</v>
      </c>
    </row>
    <row r="219" spans="2:17" ht="14.15" customHeight="1">
      <c r="B219" s="7"/>
      <c r="C219" s="486" t="s">
        <v>0</v>
      </c>
      <c r="D219" s="487" t="s">
        <v>233</v>
      </c>
      <c r="E219" s="571"/>
      <c r="F219" s="635"/>
      <c r="G219" s="635"/>
      <c r="H219" s="635"/>
      <c r="I219" s="635"/>
      <c r="J219" s="531">
        <v>5</v>
      </c>
      <c r="K219" s="833">
        <f>J219</f>
        <v>5</v>
      </c>
      <c r="L219" s="833"/>
      <c r="M219" s="636">
        <f>K219</f>
        <v>5</v>
      </c>
    </row>
    <row r="220" spans="2:17" ht="14.15" customHeight="1">
      <c r="B220" s="7"/>
      <c r="C220" s="490"/>
      <c r="D220" s="491" t="s">
        <v>234</v>
      </c>
      <c r="E220" s="631"/>
      <c r="F220" s="632"/>
      <c r="G220" s="632"/>
      <c r="H220" s="632"/>
      <c r="I220" s="632"/>
      <c r="J220" s="633">
        <f>J215/(J218*J219)</f>
        <v>0</v>
      </c>
      <c r="K220" s="776">
        <f>K215/(K218*K219)</f>
        <v>0</v>
      </c>
      <c r="L220" s="776" t="e">
        <f>L215/(L218*L219)</f>
        <v>#DIV/0!</v>
      </c>
      <c r="M220" s="634">
        <f>M215/(M218*M219)</f>
        <v>0</v>
      </c>
    </row>
    <row r="222" spans="2:17">
      <c r="C222" s="621" t="s">
        <v>0</v>
      </c>
      <c r="D222" s="22" t="s">
        <v>464</v>
      </c>
    </row>
    <row r="224" spans="2:17">
      <c r="D224" s="835" t="s">
        <v>187</v>
      </c>
      <c r="E224" s="835"/>
      <c r="F224" s="835"/>
      <c r="G224" s="835"/>
      <c r="H224" s="835"/>
      <c r="I224" s="835"/>
      <c r="J224" s="835"/>
      <c r="K224" s="835"/>
      <c r="L224" s="835"/>
      <c r="M224" s="835"/>
    </row>
    <row r="225" spans="3:13">
      <c r="D225" s="834" t="s">
        <v>189</v>
      </c>
      <c r="E225" s="834"/>
      <c r="F225" s="834"/>
      <c r="G225" s="834"/>
      <c r="H225" s="834"/>
      <c r="I225" s="834"/>
      <c r="J225" s="834"/>
      <c r="K225" s="834"/>
      <c r="L225" s="834"/>
      <c r="M225" s="834"/>
    </row>
    <row r="226" spans="3:13">
      <c r="D226" s="834" t="s">
        <v>188</v>
      </c>
      <c r="E226" s="834"/>
      <c r="F226" s="834"/>
      <c r="G226" s="834"/>
      <c r="H226" s="834"/>
      <c r="I226" s="834"/>
      <c r="J226" s="834"/>
      <c r="K226" s="834"/>
      <c r="L226" s="834"/>
      <c r="M226" s="834"/>
    </row>
    <row r="227" spans="3:13" hidden="1"/>
    <row r="228" spans="3:13" hidden="1"/>
    <row r="229" spans="3:13" hidden="1">
      <c r="C229" s="12"/>
      <c r="D229" t="s">
        <v>381</v>
      </c>
      <c r="J229">
        <f>J156*J157+J164*J165+J172*J173+J180*J181+J188*J189</f>
        <v>0</v>
      </c>
      <c r="K229" s="970">
        <f>K156*K157+K164*K165+K172*K173+K180*K181+K188*K189</f>
        <v>0</v>
      </c>
      <c r="L229" s="970"/>
      <c r="M229">
        <f>M156*M157+M164*M165+M172*M173+M180*M181+M188*M189</f>
        <v>0</v>
      </c>
    </row>
    <row r="230" spans="3:13" hidden="1">
      <c r="D230" s="464" t="s">
        <v>334</v>
      </c>
      <c r="E230" s="464"/>
      <c r="F230" s="464"/>
      <c r="G230" s="464"/>
      <c r="H230" s="464"/>
      <c r="I230" s="464"/>
      <c r="J230" s="9">
        <f>J155+J163+J171+J179+J187+J145+J140+J135+J130+J125+J120</f>
        <v>0</v>
      </c>
      <c r="K230" s="750">
        <f>K155+K163+K171+K179+K187+K145+K140+K135+K130+K125+K120</f>
        <v>0</v>
      </c>
      <c r="L230" s="750"/>
      <c r="M230" s="9">
        <f>M155+M163+M171+M179+M187+M145+M140+M135+M130+M125+M120</f>
        <v>0</v>
      </c>
    </row>
    <row r="231" spans="3:13" hidden="1">
      <c r="C231" s="12"/>
      <c r="D231" s="465" t="s">
        <v>307</v>
      </c>
      <c r="E231" s="465"/>
      <c r="F231" s="465"/>
      <c r="G231" s="465"/>
      <c r="H231" s="465"/>
      <c r="I231" s="465"/>
      <c r="J231" s="380">
        <f>J191*J189+J183*J181+J175*J173+J165*J167+J157*J159</f>
        <v>0</v>
      </c>
      <c r="K231" s="773">
        <f>K191*K189+K183*K181+K175*K173+K165*K167+K157*K159</f>
        <v>0</v>
      </c>
      <c r="L231" s="773"/>
      <c r="M231" s="380">
        <f>M191*M189+M183*M181+M175*M173+M165*M167+M157*M159</f>
        <v>0</v>
      </c>
    </row>
    <row r="232" spans="3:13" hidden="1">
      <c r="C232" s="12"/>
      <c r="D232" s="463" t="s">
        <v>308</v>
      </c>
      <c r="E232" s="463"/>
      <c r="F232" s="463"/>
      <c r="G232" s="463"/>
      <c r="H232" s="463"/>
      <c r="I232" s="463"/>
      <c r="J232" s="381">
        <f>IF(J230=0,0,J231/J230)</f>
        <v>0</v>
      </c>
      <c r="K232" s="751">
        <f t="shared" ref="K232:M232" si="33">IF(K230=0,0,K231/K230)</f>
        <v>0</v>
      </c>
      <c r="L232" s="751"/>
      <c r="M232" s="381">
        <f t="shared" si="33"/>
        <v>0</v>
      </c>
    </row>
    <row r="233" spans="3:13" hidden="1">
      <c r="C233" s="12"/>
      <c r="D233" s="463" t="s">
        <v>329</v>
      </c>
      <c r="E233" s="463"/>
      <c r="F233" s="463"/>
      <c r="G233" s="463"/>
      <c r="H233" s="463"/>
      <c r="I233" s="463"/>
      <c r="J233" s="386">
        <f>J158*J157+J165*J166+J173*J174+J181*J182+J189*J190</f>
        <v>0</v>
      </c>
      <c r="K233" s="772">
        <f>K158*K157+K165*K166+K173*K174+K181*K182+K189*K190</f>
        <v>0</v>
      </c>
      <c r="L233" s="772"/>
      <c r="M233" s="386">
        <f>M158*M157+M165*M166+M173*M174+M181*M182+M189*M190</f>
        <v>0</v>
      </c>
    </row>
    <row r="234" spans="3:13" hidden="1">
      <c r="C234" s="12"/>
      <c r="D234" s="466" t="s">
        <v>388</v>
      </c>
      <c r="E234" s="465"/>
      <c r="F234" s="465"/>
      <c r="G234" s="465"/>
      <c r="H234" s="465"/>
      <c r="I234" s="465"/>
      <c r="J234" s="380">
        <f>J200</f>
        <v>0</v>
      </c>
      <c r="K234" s="773">
        <f>K200</f>
        <v>0</v>
      </c>
      <c r="L234" s="773"/>
      <c r="M234" s="380">
        <f>M200</f>
        <v>0</v>
      </c>
    </row>
    <row r="235" spans="3:13" hidden="1">
      <c r="C235" s="12"/>
      <c r="D235" s="463" t="s">
        <v>389</v>
      </c>
      <c r="E235" s="463"/>
      <c r="F235" s="463"/>
      <c r="G235" s="463"/>
      <c r="H235" s="463"/>
      <c r="I235" s="463"/>
      <c r="J235" s="9">
        <f>SUM(J233:J234)</f>
        <v>0</v>
      </c>
      <c r="K235" s="750">
        <f t="shared" ref="K235:M235" si="34">SUM(K233:K234)</f>
        <v>0</v>
      </c>
      <c r="L235" s="750"/>
      <c r="M235" s="9">
        <f t="shared" si="34"/>
        <v>0</v>
      </c>
    </row>
    <row r="236" spans="3:13" hidden="1">
      <c r="C236" s="12"/>
      <c r="D236" s="463" t="s">
        <v>330</v>
      </c>
      <c r="E236" s="463"/>
      <c r="F236" s="463"/>
      <c r="G236" s="463"/>
      <c r="H236" s="463"/>
      <c r="I236" s="463"/>
      <c r="J236" s="370">
        <f>IF(J235=0,0,J235/J215)</f>
        <v>0</v>
      </c>
      <c r="K236" s="752">
        <f>IF(K235=0,0,K235/K215)</f>
        <v>0</v>
      </c>
      <c r="L236" s="752"/>
      <c r="M236" s="370">
        <f>IF(M235=0,0,M235/M215)</f>
        <v>0</v>
      </c>
    </row>
  </sheetData>
  <sheetProtection algorithmName="SHA-512" hashValue="49WrGlb/MVmdlijbEcyUH9KkonSrCSQiQRC86iN4ntUaA4OWLbI0Y4/q6+23wAYFmlR7Mv//mqwlLYNzVQ7ACA==" saltValue="qZhXrSWpwq6LKlhnGPV5hg==" spinCount="100000" sheet="1" objects="1" scenarios="1" selectLockedCells="1"/>
  <mergeCells count="382">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K148:L148"/>
    <mergeCell ref="K131:L131"/>
    <mergeCell ref="C147:H147"/>
    <mergeCell ref="C146:H146"/>
    <mergeCell ref="C140:E140"/>
    <mergeCell ref="F140:G140"/>
    <mergeCell ref="C125:E125"/>
    <mergeCell ref="C135:E135"/>
    <mergeCell ref="D91:H91"/>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F9" sqref="F9"/>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775" t="s">
        <v>103</v>
      </c>
    </row>
    <row r="4" spans="1:24" ht="11.6" customHeight="1">
      <c r="A4" s="775"/>
      <c r="B4" s="639"/>
    </row>
    <row r="5" spans="1:24" ht="17.149999999999999" customHeight="1">
      <c r="B5" s="1002" t="str">
        <f>Taloussuunnitelma!$C$5</f>
        <v xml:space="preserve"> </v>
      </c>
      <c r="C5" s="1003"/>
      <c r="D5" s="1003"/>
      <c r="E5" s="1003"/>
      <c r="H5" s="991" t="s">
        <v>397</v>
      </c>
      <c r="I5" s="992"/>
      <c r="J5" s="992"/>
      <c r="K5" s="992"/>
      <c r="L5" s="992"/>
      <c r="M5" s="992"/>
      <c r="N5" s="992"/>
      <c r="O5" s="992"/>
      <c r="U5" s="988" t="s">
        <v>284</v>
      </c>
    </row>
    <row r="6" spans="1:24" ht="10.1" customHeight="1">
      <c r="B6" s="1003"/>
      <c r="C6" s="1003"/>
      <c r="D6" s="1003"/>
      <c r="E6" s="1003"/>
      <c r="U6" s="988"/>
    </row>
    <row r="7" spans="1:24" ht="16.100000000000001" customHeight="1">
      <c r="B7" s="641"/>
      <c r="C7" s="977" t="s">
        <v>258</v>
      </c>
      <c r="D7" s="977"/>
      <c r="E7" s="977"/>
      <c r="F7" s="687"/>
      <c r="G7" s="1006">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89"/>
      <c r="V7" s="651"/>
      <c r="W7" s="261"/>
      <c r="X7" s="261"/>
    </row>
    <row r="8" spans="1:24" ht="12.65" customHeight="1">
      <c r="B8" s="399">
        <v>1</v>
      </c>
      <c r="C8" s="978" t="s">
        <v>414</v>
      </c>
      <c r="D8" s="978"/>
      <c r="E8" s="978"/>
      <c r="F8" s="979"/>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75" t="s">
        <v>338</v>
      </c>
      <c r="D9" s="975"/>
      <c r="E9" s="976"/>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75" t="s">
        <v>261</v>
      </c>
      <c r="E10" s="975"/>
      <c r="F10" s="976"/>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75" t="s">
        <v>339</v>
      </c>
      <c r="D11" s="975"/>
      <c r="E11" s="975"/>
      <c r="F11" s="976"/>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75" t="s">
        <v>262</v>
      </c>
      <c r="E12" s="975"/>
      <c r="F12" s="976"/>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75" t="s">
        <v>265</v>
      </c>
      <c r="D14" s="980"/>
      <c r="E14" s="980"/>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1" t="s">
        <v>266</v>
      </c>
      <c r="D15" s="982"/>
      <c r="E15" s="982"/>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6" t="s">
        <v>267</v>
      </c>
      <c r="D16" s="986"/>
      <c r="E16" s="986"/>
      <c r="F16" s="987"/>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0" t="s">
        <v>281</v>
      </c>
      <c r="V16" s="990"/>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0"/>
      <c r="V17" s="990"/>
      <c r="W17" s="324"/>
      <c r="X17" s="324" t="s">
        <v>365</v>
      </c>
    </row>
    <row r="18" spans="2:25" ht="16.100000000000001" customHeight="1">
      <c r="B18" s="747"/>
      <c r="C18" s="977" t="s">
        <v>268</v>
      </c>
      <c r="D18" s="977"/>
      <c r="E18" s="983"/>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96">
        <v>6</v>
      </c>
      <c r="C19" s="984" t="s">
        <v>269</v>
      </c>
      <c r="D19" s="985"/>
      <c r="E19" s="985"/>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9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75" t="s">
        <v>358</v>
      </c>
      <c r="D21" s="980"/>
      <c r="E21" s="980"/>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75" t="s">
        <v>270</v>
      </c>
      <c r="D22" s="980"/>
      <c r="E22" s="980"/>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75" t="s">
        <v>271</v>
      </c>
      <c r="D23" s="980"/>
      <c r="E23" s="980"/>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75" t="s">
        <v>436</v>
      </c>
      <c r="D24" s="980"/>
      <c r="E24" s="980"/>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75" t="s">
        <v>272</v>
      </c>
      <c r="D25" s="975"/>
      <c r="E25" s="97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75" t="s">
        <v>273</v>
      </c>
      <c r="D26" s="980"/>
      <c r="E26" s="980"/>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75" t="s">
        <v>431</v>
      </c>
      <c r="D29" s="980"/>
      <c r="E29" s="980"/>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75" t="s">
        <v>337</v>
      </c>
      <c r="D30" s="975"/>
      <c r="E30" s="97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75" t="s">
        <v>276</v>
      </c>
      <c r="D31" s="980"/>
      <c r="E31" s="980"/>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75" t="s">
        <v>277</v>
      </c>
      <c r="D32" s="980"/>
      <c r="E32" s="980"/>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75" t="s">
        <v>278</v>
      </c>
      <c r="D33" s="980"/>
      <c r="E33" s="980"/>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3" t="s">
        <v>352</v>
      </c>
      <c r="D34" s="993"/>
      <c r="E34" s="994"/>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3" t="s">
        <v>354</v>
      </c>
      <c r="D36" s="993"/>
      <c r="E36" s="994"/>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75" t="s">
        <v>344</v>
      </c>
      <c r="D40" s="975"/>
      <c r="E40" s="975"/>
      <c r="F40" s="976"/>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75" t="s">
        <v>351</v>
      </c>
      <c r="D41" s="980"/>
      <c r="E41" s="980"/>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75" t="s">
        <v>346</v>
      </c>
      <c r="D43" s="980"/>
      <c r="E43" s="980"/>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75" t="s">
        <v>347</v>
      </c>
      <c r="D44" s="975"/>
      <c r="E44" s="975"/>
      <c r="F44" s="976"/>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75" t="s">
        <v>435</v>
      </c>
      <c r="D45" s="975"/>
      <c r="E45" s="975"/>
      <c r="F45" s="976"/>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75" t="s">
        <v>363</v>
      </c>
      <c r="D46" s="975"/>
      <c r="E46" s="975"/>
      <c r="F46" s="976"/>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75" t="s">
        <v>348</v>
      </c>
      <c r="D47" s="975"/>
      <c r="E47" s="975"/>
      <c r="F47" s="976"/>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75" t="s">
        <v>377</v>
      </c>
      <c r="D48" s="975"/>
      <c r="E48" s="975"/>
      <c r="F48" s="976"/>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75" t="s">
        <v>349</v>
      </c>
      <c r="D49" s="975"/>
      <c r="E49" s="975"/>
      <c r="F49" s="976"/>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75" t="s">
        <v>368</v>
      </c>
      <c r="D50" s="980"/>
      <c r="E50" s="980"/>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75" t="s">
        <v>403</v>
      </c>
      <c r="D51" s="975"/>
      <c r="E51" s="975"/>
      <c r="F51" s="976"/>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1" t="s">
        <v>350</v>
      </c>
      <c r="D52" s="981"/>
      <c r="E52" s="981"/>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95" t="s">
        <v>280</v>
      </c>
      <c r="D53" s="995"/>
      <c r="E53" s="995"/>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98" t="s">
        <v>279</v>
      </c>
      <c r="D55" s="999"/>
      <c r="E55" s="999"/>
      <c r="F55" s="99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1000">
        <f>SUM(G55:R55)</f>
        <v>0</v>
      </c>
    </row>
    <row r="56" spans="2:24" ht="13.85" customHeight="1">
      <c r="B56" s="662">
        <v>35</v>
      </c>
      <c r="C56" s="998" t="s">
        <v>340</v>
      </c>
      <c r="D56" s="999"/>
      <c r="E56" s="999"/>
      <c r="F56" s="99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1001"/>
    </row>
    <row r="57" spans="2:24">
      <c r="S57" s="454"/>
    </row>
    <row r="58" spans="2:24">
      <c r="C58" s="73" t="s">
        <v>357</v>
      </c>
      <c r="K58" s="870" t="str">
        <f>Taloussuunnitelma!J2</f>
        <v>Yritystulkin tarjoavat: Ii, Pudasjärvi, Utajärvi, Vaala</v>
      </c>
      <c r="L58" s="870"/>
      <c r="M58" s="870"/>
      <c r="N58" s="870"/>
      <c r="O58" s="870"/>
      <c r="P58" s="870"/>
      <c r="Q58" s="870"/>
      <c r="R58" s="870"/>
      <c r="S58" s="870"/>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 ref="C49:F49"/>
    <mergeCell ref="C53:E53"/>
    <mergeCell ref="C45:F45"/>
    <mergeCell ref="C43:E43"/>
    <mergeCell ref="C44:F44"/>
    <mergeCell ref="C16:F16"/>
    <mergeCell ref="U5:U7"/>
    <mergeCell ref="U16:V17"/>
    <mergeCell ref="H5:O5"/>
    <mergeCell ref="C40:F40"/>
    <mergeCell ref="C25:E25"/>
    <mergeCell ref="C26:E26"/>
    <mergeCell ref="C29:E29"/>
    <mergeCell ref="C34:E34"/>
    <mergeCell ref="C36:E36"/>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4" t="s">
        <v>30</v>
      </c>
      <c r="H13" s="1004"/>
      <c r="I13" s="1004"/>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5" t="s">
        <v>36</v>
      </c>
      <c r="D21" s="1005"/>
      <c r="E21" s="1005"/>
      <c r="G21" s="1005" t="s">
        <v>451</v>
      </c>
      <c r="H21" s="1005"/>
      <c r="I21" s="1005"/>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4" t="s">
        <v>37</v>
      </c>
      <c r="H30" s="1004"/>
      <c r="I30" s="1004"/>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2024-01-04T12:41:03Z</cp:lastPrinted>
  <dcterms:created xsi:type="dcterms:W3CDTF">2006-08-01T10:09:48Z</dcterms:created>
  <dcterms:modified xsi:type="dcterms:W3CDTF">2024-01-04T12:46:00Z</dcterms:modified>
</cp:coreProperties>
</file>