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omments5.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ämäTyökirja" defaultThemeVersion="124226"/>
  <mc:AlternateContent xmlns:mc="http://schemas.openxmlformats.org/markup-compatibility/2006">
    <mc:Choice Requires="x15">
      <x15ac:absPath xmlns:x15ac="http://schemas.microsoft.com/office/spreadsheetml/2010/11/ac" url="D:\Dropbox\Yritystulkki\Päivitykset 2024\YT5 2024  19.12.2023\"/>
    </mc:Choice>
  </mc:AlternateContent>
  <xr:revisionPtr revIDLastSave="0" documentId="13_ncr:1_{D24FE9DA-8705-43F8-AB92-5399F377BC4D}" xr6:coauthVersionLast="47" xr6:coauthVersionMax="47" xr10:uidLastSave="{00000000-0000-0000-0000-000000000000}"/>
  <workbookProtection workbookAlgorithmName="SHA-512" workbookHashValue="el74Nw8/woBQ2C86nUDCbE7IN5CGuneRcrcGp5d9unZktGsS0BgvwY2OARkHJ+GyynEqK0/awBxSAXOOuF2PXw==" workbookSaltValue="jLLYDgWBigh7euINnvw23Q==" workbookSpinCount="100000" lockStructure="1"/>
  <bookViews>
    <workbookView xWindow="-103" yWindow="-103" windowWidth="33120" windowHeight="18120" xr2:uid="{4251E83F-0A70-4095-8BB1-5E1EB3AEA980}"/>
  </bookViews>
  <sheets>
    <sheet name="Aloitussivu" sheetId="5" r:id="rId1"/>
    <sheet name="Kustannukset K1" sheetId="1" r:id="rId2"/>
    <sheet name="Myynti K2" sheetId="2" r:id="rId3"/>
    <sheet name="Rahoitus K3" sheetId="11" r:id="rId4"/>
    <sheet name="4. Kassabudjetti" sheetId="18" r:id="rId5"/>
    <sheet name="Palkat " sheetId="17" r:id="rId6"/>
    <sheet name="Kustannukset Y1" sheetId="16" r:id="rId7"/>
    <sheet name="Myynti Y2" sheetId="4" r:id="rId8"/>
    <sheet name="Rahoitus Y3" sheetId="12" r:id="rId9"/>
    <sheet name="Päivitystapahtumat" sheetId="23" state="hidden" r:id="rId10"/>
    <sheet name="Toimialatiedot" sheetId="24" r:id="rId11"/>
    <sheet name="1Kauppa AT lainat ja avustukset" sheetId="14" state="hidden" r:id="rId12"/>
    <sheet name="2 AT Palkat, alv" sheetId="19" state="hidden" r:id="rId13"/>
    <sheet name="3 AT Kassa" sheetId="22" state="hidden" r:id="rId14"/>
    <sheet name="4 AT  Myynnin alv" sheetId="8" state="hidden" r:id="rId15"/>
    <sheet name="5 YP Lainat ja avustukset" sheetId="15" state="hidden" r:id="rId16"/>
    <sheet name="6 Kaaviot" sheetId="21" state="hidden" r:id="rId17"/>
  </sheets>
  <definedNames>
    <definedName name="Rahapalkat__TyEL_työntekijät">'Kustannukset K1'!$D$28</definedName>
    <definedName name="Teksti37" localSheetId="1">'Kustannukset K1'!$G$10</definedName>
    <definedName name="Teksti38" localSheetId="1">'Kustannukset K1'!$G$12</definedName>
    <definedName name="Teksti38" localSheetId="6">'Kustannukset Y1'!$G$14</definedName>
    <definedName name="Teksti39" localSheetId="1">'Kustannukset K1'!$H$12</definedName>
    <definedName name="Teksti39">#REF!</definedName>
    <definedName name="_xlnm.Print_Area" localSheetId="4">'4. Kassabudjetti'!$B$3:$S$104</definedName>
    <definedName name="_xlnm.Print_Area" localSheetId="0">Aloitussivu!$A$1:$O$35</definedName>
    <definedName name="_xlnm.Print_Area" localSheetId="1">'Kustannukset K1'!$C$4:$T$133</definedName>
    <definedName name="_xlnm.Print_Area" localSheetId="6">'Kustannukset Y1'!$C$4:$S$130</definedName>
    <definedName name="_xlnm.Print_Area" localSheetId="2">'Myynti K2'!$B$4:$T$209</definedName>
    <definedName name="_xlnm.Print_Area" localSheetId="7">'Myynti Y2'!$B$4:$T$239</definedName>
    <definedName name="_xlnm.Print_Area" localSheetId="5">'Palkat '!$B$8:$I$86</definedName>
    <definedName name="_xlnm.Print_Area" localSheetId="3">'Rahoitus K3'!$B$4:$V$132</definedName>
    <definedName name="_xlnm.Print_Area" localSheetId="8">'Rahoitus Y3'!$B$4:$X$136</definedName>
    <definedName name="_xlnm.Print_Area" localSheetId="10">Toimialatiedot!$B$4:$AG$75</definedName>
    <definedName name="_xlnm.Print_Titles" localSheetId="1">'Kustannukset K1'!$8:$12</definedName>
    <definedName name="_xlnm.Print_Titles" localSheetId="6">'Kustannukset Y1'!$8:$12</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0" i="19" l="1"/>
  <c r="D14" i="19"/>
  <c r="G38" i="16"/>
  <c r="H38" i="16"/>
  <c r="F38" i="16"/>
  <c r="G38" i="1"/>
  <c r="H38" i="1"/>
  <c r="F38" i="1"/>
  <c r="B61" i="24" l="1"/>
  <c r="B62" i="24" s="1"/>
  <c r="B63" i="24" s="1"/>
  <c r="B64" i="24" s="1"/>
  <c r="B65" i="24" s="1"/>
  <c r="B66" i="24" s="1"/>
  <c r="B67" i="24" s="1"/>
  <c r="B68" i="24" s="1"/>
  <c r="B69" i="24" s="1"/>
  <c r="B70" i="24" s="1"/>
  <c r="B71" i="24" s="1"/>
  <c r="B72" i="24" s="1"/>
  <c r="B73" i="24" s="1"/>
  <c r="B74" i="24" s="1"/>
  <c r="Y55" i="24"/>
  <c r="Y56" i="24"/>
  <c r="Y57" i="24"/>
  <c r="Y58" i="24"/>
  <c r="Y59" i="24"/>
  <c r="Y60" i="24"/>
  <c r="Y61" i="24"/>
  <c r="Y62" i="24"/>
  <c r="Y63" i="24"/>
  <c r="Y64" i="24"/>
  <c r="Y65" i="24"/>
  <c r="Y66" i="24"/>
  <c r="Y67" i="24"/>
  <c r="Y68" i="24"/>
  <c r="Y69" i="24"/>
  <c r="Y70" i="24"/>
  <c r="Y71" i="24"/>
  <c r="Y72" i="24"/>
  <c r="Y73" i="24"/>
  <c r="Y74" i="24"/>
  <c r="Y54" i="24"/>
  <c r="Q74" i="24"/>
  <c r="Q55" i="24"/>
  <c r="Q56" i="24"/>
  <c r="Q57" i="24"/>
  <c r="Q58" i="24"/>
  <c r="Q59" i="24"/>
  <c r="Q60" i="24"/>
  <c r="Q61" i="24"/>
  <c r="Q62" i="24"/>
  <c r="Q63" i="24"/>
  <c r="Q64" i="24"/>
  <c r="Q65" i="24"/>
  <c r="Q66" i="24"/>
  <c r="Q67" i="24"/>
  <c r="Q68" i="24"/>
  <c r="Q69" i="24"/>
  <c r="Q70" i="24"/>
  <c r="Q71" i="24"/>
  <c r="Q72" i="24"/>
  <c r="Q73" i="24"/>
  <c r="Q54" i="24"/>
  <c r="Q47" i="24"/>
  <c r="Q39" i="24"/>
  <c r="Q33" i="24"/>
  <c r="Q30" i="24"/>
  <c r="Q28" i="24"/>
  <c r="Q23" i="24"/>
  <c r="Q8" i="24"/>
  <c r="I23" i="24"/>
  <c r="I8" i="24"/>
  <c r="I55" i="24"/>
  <c r="I56" i="24"/>
  <c r="I57" i="24"/>
  <c r="I58" i="24"/>
  <c r="I59" i="24"/>
  <c r="I60" i="24"/>
  <c r="I61" i="24"/>
  <c r="I62" i="24"/>
  <c r="I63" i="24"/>
  <c r="I64" i="24"/>
  <c r="I65" i="24"/>
  <c r="I66" i="24"/>
  <c r="I67" i="24"/>
  <c r="I68" i="24"/>
  <c r="I69" i="24"/>
  <c r="I70" i="24"/>
  <c r="I71" i="24"/>
  <c r="I72" i="24"/>
  <c r="I73" i="24"/>
  <c r="I74" i="24"/>
  <c r="I54" i="24"/>
  <c r="I29" i="24"/>
  <c r="E67" i="12" l="1"/>
  <c r="F61" i="1"/>
  <c r="G67" i="16"/>
  <c r="H67" i="16" s="1"/>
  <c r="F61" i="16"/>
  <c r="K67" i="16"/>
  <c r="G67" i="1"/>
  <c r="H67" i="1" s="1"/>
  <c r="H61" i="1" s="1"/>
  <c r="K67" i="1"/>
  <c r="F106" i="1"/>
  <c r="G61" i="1" l="1"/>
  <c r="K39" i="16" l="1"/>
  <c r="B9" i="21"/>
  <c r="C9" i="21"/>
  <c r="B55" i="24" l="1"/>
  <c r="B56" i="24" s="1"/>
  <c r="X51" i="24"/>
  <c r="P51" i="24"/>
  <c r="I49" i="24"/>
  <c r="I48" i="24"/>
  <c r="I47" i="24"/>
  <c r="I46" i="24"/>
  <c r="I45" i="24"/>
  <c r="I44" i="24"/>
  <c r="I43" i="24"/>
  <c r="I42" i="24"/>
  <c r="I41" i="24"/>
  <c r="I40" i="24"/>
  <c r="B40" i="24"/>
  <c r="B41" i="24" s="1"/>
  <c r="B42" i="24" s="1"/>
  <c r="I39" i="24"/>
  <c r="X36" i="24"/>
  <c r="P36" i="24"/>
  <c r="H36" i="24"/>
  <c r="H51" i="24" s="1"/>
  <c r="I34" i="24"/>
  <c r="I33" i="24"/>
  <c r="B32" i="24"/>
  <c r="I31" i="24"/>
  <c r="I30" i="24"/>
  <c r="I28" i="24"/>
  <c r="X25" i="24"/>
  <c r="P25" i="24"/>
  <c r="H25" i="24"/>
  <c r="I22" i="24"/>
  <c r="I21" i="24"/>
  <c r="I20" i="24"/>
  <c r="I19" i="24"/>
  <c r="I18" i="24"/>
  <c r="I17" i="24"/>
  <c r="I16" i="24"/>
  <c r="I15" i="24"/>
  <c r="I14" i="24"/>
  <c r="I13" i="24"/>
  <c r="I12" i="24"/>
  <c r="I11" i="24"/>
  <c r="B10" i="24"/>
  <c r="B11" i="24" s="1"/>
  <c r="B12" i="24" s="1"/>
  <c r="B13" i="24" s="1"/>
  <c r="B14" i="24" s="1"/>
  <c r="B15" i="24" s="1"/>
  <c r="B16" i="24" s="1"/>
  <c r="B17" i="24" s="1"/>
  <c r="B18" i="24" s="1"/>
  <c r="B19" i="24" s="1"/>
  <c r="B20" i="24" s="1"/>
  <c r="B21" i="24" s="1"/>
  <c r="B22" i="24" s="1"/>
  <c r="B23" i="24" s="1"/>
  <c r="I9" i="24"/>
  <c r="B57" i="24" l="1"/>
  <c r="B58" i="24" s="1"/>
  <c r="B59" i="24" s="1"/>
  <c r="B60" i="24" s="1"/>
  <c r="B43" i="24"/>
  <c r="B44" i="24" s="1"/>
  <c r="B45" i="24" s="1"/>
  <c r="B46" i="24" s="1"/>
  <c r="B47" i="24" s="1"/>
  <c r="B48" i="24" s="1"/>
  <c r="B49" i="24" s="1"/>
  <c r="H97" i="11"/>
  <c r="H98" i="12"/>
  <c r="F74" i="1"/>
  <c r="F89" i="16"/>
  <c r="F74" i="16"/>
  <c r="F69" i="16"/>
  <c r="F69" i="1"/>
  <c r="K117" i="1" l="1"/>
  <c r="F50" i="1"/>
  <c r="H12" i="15" l="1"/>
  <c r="H16" i="15"/>
  <c r="G16" i="15"/>
  <c r="F16" i="15"/>
  <c r="F15" i="15"/>
  <c r="F11" i="15"/>
  <c r="G12" i="15"/>
  <c r="F12" i="15"/>
  <c r="F17" i="15" l="1"/>
  <c r="G15" i="15" s="1"/>
  <c r="F11" i="14"/>
  <c r="H16" i="14"/>
  <c r="G16" i="14"/>
  <c r="F16" i="14"/>
  <c r="F15" i="14"/>
  <c r="H12" i="14"/>
  <c r="G12" i="14"/>
  <c r="F12" i="14"/>
  <c r="F4" i="14"/>
  <c r="B104" i="18"/>
  <c r="B103" i="18"/>
  <c r="F18" i="16"/>
  <c r="F18" i="15" l="1"/>
  <c r="G17" i="15"/>
  <c r="G18" i="15" s="1"/>
  <c r="F17" i="14"/>
  <c r="G15" i="14" s="1"/>
  <c r="C215" i="2"/>
  <c r="C191" i="2"/>
  <c r="C192" i="2"/>
  <c r="C193" i="2" s="1"/>
  <c r="D54" i="19"/>
  <c r="H15" i="15" l="1"/>
  <c r="H17" i="15"/>
  <c r="H18" i="15" s="1"/>
  <c r="G17" i="14"/>
  <c r="G18" i="14" s="1"/>
  <c r="F18" i="14"/>
  <c r="H42" i="8"/>
  <c r="H41" i="8"/>
  <c r="H40" i="8"/>
  <c r="H39" i="8"/>
  <c r="H38" i="8"/>
  <c r="H30" i="8"/>
  <c r="H29" i="8"/>
  <c r="H27" i="8"/>
  <c r="H25" i="8"/>
  <c r="H17" i="8"/>
  <c r="H16" i="8"/>
  <c r="H15" i="8"/>
  <c r="H15" i="14" l="1"/>
  <c r="B9" i="11"/>
  <c r="B38" i="8" l="1"/>
  <c r="B39" i="8" s="1"/>
  <c r="B26" i="8" s="1"/>
  <c r="B35" i="8"/>
  <c r="B36" i="8" s="1"/>
  <c r="B19" i="8" s="1"/>
  <c r="B32" i="8"/>
  <c r="B33" i="8" s="1"/>
  <c r="B12" i="8" s="1"/>
  <c r="F14" i="16" l="1"/>
  <c r="F18" i="1"/>
  <c r="W34" i="18" s="1"/>
  <c r="C132" i="14" l="1"/>
  <c r="F14" i="1"/>
  <c r="H17" i="2"/>
  <c r="H27" i="2"/>
  <c r="D149" i="4"/>
  <c r="E149" i="4" s="1"/>
  <c r="D114" i="4"/>
  <c r="E114" i="4" s="1"/>
  <c r="D109" i="4"/>
  <c r="E109" i="4" s="1"/>
  <c r="D104" i="4"/>
  <c r="E104" i="4" s="1"/>
  <c r="D99" i="4"/>
  <c r="E99" i="4" s="1"/>
  <c r="E94" i="4"/>
  <c r="D94" i="4"/>
  <c r="D89" i="4"/>
  <c r="E89" i="4" s="1"/>
  <c r="D84" i="4"/>
  <c r="E84" i="4" s="1"/>
  <c r="D68" i="4"/>
  <c r="E68" i="4" s="1"/>
  <c r="D61" i="4"/>
  <c r="E61" i="4" s="1"/>
  <c r="D54" i="4"/>
  <c r="E54" i="4" s="1"/>
  <c r="D47" i="4"/>
  <c r="D40" i="4"/>
  <c r="D35" i="4"/>
  <c r="E35" i="4" s="1"/>
  <c r="D30" i="4"/>
  <c r="E30" i="4" s="1"/>
  <c r="D25" i="4"/>
  <c r="E25" i="4" s="1"/>
  <c r="D20" i="4"/>
  <c r="E20" i="4" s="1"/>
  <c r="G49" i="16"/>
  <c r="E47" i="4" l="1"/>
  <c r="E40" i="4"/>
  <c r="F27" i="16"/>
  <c r="F26" i="16" s="1"/>
  <c r="H50" i="1" l="1"/>
  <c r="G49" i="1"/>
  <c r="H50" i="16"/>
  <c r="F50" i="16"/>
  <c r="C5" i="1" l="1"/>
  <c r="B5" i="2" s="1"/>
  <c r="H26" i="2" l="1"/>
  <c r="C78" i="4" l="1"/>
  <c r="C159" i="4" s="1"/>
  <c r="C240" i="4" s="1"/>
  <c r="C150" i="4" l="1"/>
  <c r="C143" i="4"/>
  <c r="C136" i="4"/>
  <c r="H28" i="8" s="1"/>
  <c r="C85" i="19" l="1"/>
  <c r="H19" i="2" l="1"/>
  <c r="H198" i="2" l="1"/>
  <c r="H128" i="2"/>
  <c r="C65" i="2"/>
  <c r="C135" i="2" s="1"/>
  <c r="C202" i="2" l="1"/>
  <c r="D199" i="2"/>
  <c r="E199" i="2" s="1"/>
  <c r="D198" i="2"/>
  <c r="D196" i="2"/>
  <c r="D195" i="2"/>
  <c r="E195" i="2" s="1"/>
  <c r="C132" i="2"/>
  <c r="D129" i="2"/>
  <c r="E129" i="2" s="1"/>
  <c r="D128" i="2"/>
  <c r="D126" i="2"/>
  <c r="D125" i="2"/>
  <c r="E125" i="2" s="1"/>
  <c r="D132" i="2" l="1"/>
  <c r="D202" i="2"/>
  <c r="E198" i="2"/>
  <c r="E202" i="2" s="1"/>
  <c r="C203" i="2"/>
  <c r="E128" i="2"/>
  <c r="E132" i="2" s="1"/>
  <c r="C133" i="2"/>
  <c r="C130" i="2" l="1"/>
  <c r="C131" i="2" s="1"/>
  <c r="C62" i="2"/>
  <c r="C51" i="2"/>
  <c r="C200" i="2" l="1"/>
  <c r="C201" i="2" s="1"/>
  <c r="C63" i="2"/>
  <c r="C222" i="2" s="1"/>
  <c r="W19" i="18" s="1"/>
  <c r="B9" i="12"/>
  <c r="D4" i="18" s="1"/>
  <c r="C60" i="2" l="1"/>
  <c r="F111" i="1"/>
  <c r="C61" i="2" l="1"/>
  <c r="C216" i="2"/>
  <c r="H56" i="12"/>
  <c r="K56" i="12" s="1"/>
  <c r="H55" i="12"/>
  <c r="K55" i="12" s="1"/>
  <c r="I56" i="12"/>
  <c r="F32" i="1" l="1"/>
  <c r="G32" i="1" l="1"/>
  <c r="A27" i="21" l="1"/>
  <c r="B27" i="21" s="1"/>
  <c r="C28" i="21" l="1"/>
  <c r="C27" i="21"/>
  <c r="B28" i="21"/>
  <c r="F79" i="16"/>
  <c r="F83" i="16"/>
  <c r="F48" i="12" s="1"/>
  <c r="G112" i="16" l="1"/>
  <c r="D77" i="17" l="1"/>
  <c r="E77" i="17" s="1"/>
  <c r="G62" i="16" l="1"/>
  <c r="K62" i="16"/>
  <c r="G84" i="16"/>
  <c r="H62" i="16" l="1"/>
  <c r="G62" i="1"/>
  <c r="G84" i="1"/>
  <c r="E27" i="11" l="1"/>
  <c r="E20" i="11"/>
  <c r="E27" i="12" l="1"/>
  <c r="D15" i="2"/>
  <c r="W51" i="18"/>
  <c r="G51" i="18" s="1"/>
  <c r="G117" i="16" l="1"/>
  <c r="K117" i="16"/>
  <c r="C94" i="19"/>
  <c r="G117" i="1"/>
  <c r="U85" i="19" l="1"/>
  <c r="U94" i="19"/>
  <c r="E94" i="19" s="1"/>
  <c r="H117" i="16"/>
  <c r="H117" i="1"/>
  <c r="C228" i="4" l="1"/>
  <c r="C31" i="21" l="1"/>
  <c r="K16" i="11" l="1"/>
  <c r="B64" i="14" l="1"/>
  <c r="D58" i="14" s="1"/>
  <c r="D64" i="14"/>
  <c r="E64" i="14"/>
  <c r="C64" i="14"/>
  <c r="F64" i="14" l="1"/>
  <c r="B26" i="21" l="1"/>
  <c r="C16" i="21" l="1"/>
  <c r="B31" i="21"/>
  <c r="B16" i="21"/>
  <c r="C26" i="21"/>
  <c r="I60" i="12" l="1"/>
  <c r="I60" i="11" l="1"/>
  <c r="K17" i="1" l="1"/>
  <c r="K16" i="1"/>
  <c r="D4" i="19"/>
  <c r="D3" i="19"/>
  <c r="K16" i="12" l="1"/>
  <c r="W13" i="18" s="1" a="1"/>
  <c r="W13" i="18" s="1"/>
  <c r="G13" i="18" s="1"/>
  <c r="F32" i="16"/>
  <c r="G32" i="16" s="1"/>
  <c r="F30" i="16" l="1"/>
  <c r="F30" i="1"/>
  <c r="B82" i="15"/>
  <c r="B99" i="15"/>
  <c r="B118" i="15"/>
  <c r="D57" i="17" l="1"/>
  <c r="E57" i="17" s="1"/>
  <c r="AK134" i="15" l="1"/>
  <c r="AJ134" i="15"/>
  <c r="AI134" i="15"/>
  <c r="AH134" i="15"/>
  <c r="AG134" i="15"/>
  <c r="AE134" i="15"/>
  <c r="AD134" i="15"/>
  <c r="AC134" i="15"/>
  <c r="AB134" i="15"/>
  <c r="AA134" i="15"/>
  <c r="Y134" i="15"/>
  <c r="X134" i="15"/>
  <c r="W134" i="15"/>
  <c r="V134" i="15"/>
  <c r="U134" i="15"/>
  <c r="S134" i="15"/>
  <c r="R134" i="15"/>
  <c r="Q134" i="15"/>
  <c r="P134" i="15"/>
  <c r="O134" i="15"/>
  <c r="M134" i="15"/>
  <c r="L134" i="15"/>
  <c r="K134" i="15"/>
  <c r="J134" i="15"/>
  <c r="I134" i="15"/>
  <c r="G134" i="15"/>
  <c r="F134" i="15"/>
  <c r="E134" i="15"/>
  <c r="D134" i="15"/>
  <c r="C134" i="15"/>
  <c r="F15" i="1"/>
  <c r="D132" i="14"/>
  <c r="E132" i="14"/>
  <c r="F132" i="14"/>
  <c r="G132" i="14"/>
  <c r="I132" i="14"/>
  <c r="J132" i="14"/>
  <c r="K132" i="14"/>
  <c r="L132" i="14"/>
  <c r="M132" i="14"/>
  <c r="O132" i="14"/>
  <c r="P132" i="14"/>
  <c r="Q132" i="14"/>
  <c r="R132" i="14"/>
  <c r="S132" i="14"/>
  <c r="U132" i="14"/>
  <c r="V132" i="14"/>
  <c r="W132" i="14"/>
  <c r="X132" i="14"/>
  <c r="Y132" i="14"/>
  <c r="AA132" i="14"/>
  <c r="AB132" i="14"/>
  <c r="AC132" i="14"/>
  <c r="AD132" i="14"/>
  <c r="AE132" i="14"/>
  <c r="AG132" i="14"/>
  <c r="AH132" i="14"/>
  <c r="AI132" i="14"/>
  <c r="AJ132" i="14"/>
  <c r="AK132" i="14"/>
  <c r="C11" i="16"/>
  <c r="C11" i="1"/>
  <c r="E10" i="17" l="1"/>
  <c r="D10" i="17"/>
  <c r="C10" i="17"/>
  <c r="C29" i="17" l="1"/>
  <c r="C39" i="17"/>
  <c r="C49" i="17"/>
  <c r="B9" i="17"/>
  <c r="H39" i="12"/>
  <c r="F39" i="12"/>
  <c r="D54" i="15" l="1"/>
  <c r="D13" i="4"/>
  <c r="D82" i="4" s="1"/>
  <c r="E13" i="4"/>
  <c r="E82" i="4" s="1"/>
  <c r="C13" i="4"/>
  <c r="H18" i="4"/>
  <c r="G116" i="16"/>
  <c r="G115" i="16"/>
  <c r="G114" i="16"/>
  <c r="G113" i="16"/>
  <c r="G110" i="16"/>
  <c r="G109" i="16"/>
  <c r="G108" i="16"/>
  <c r="G107" i="16"/>
  <c r="G105" i="16"/>
  <c r="G104" i="16"/>
  <c r="G103" i="16"/>
  <c r="G101" i="16"/>
  <c r="G100" i="16"/>
  <c r="G99" i="16"/>
  <c r="G97" i="16"/>
  <c r="G96" i="16"/>
  <c r="G94" i="16"/>
  <c r="G93" i="16"/>
  <c r="G92" i="16"/>
  <c r="G91" i="16"/>
  <c r="G90" i="16"/>
  <c r="G88" i="16"/>
  <c r="G82" i="16"/>
  <c r="G81" i="16"/>
  <c r="G80" i="16"/>
  <c r="G78" i="16"/>
  <c r="G77" i="16"/>
  <c r="G76" i="16"/>
  <c r="G75" i="16"/>
  <c r="G73" i="16"/>
  <c r="G72" i="16"/>
  <c r="G71" i="16"/>
  <c r="G70" i="16"/>
  <c r="G68" i="16"/>
  <c r="G66" i="16"/>
  <c r="G61" i="16" s="1"/>
  <c r="G65" i="16"/>
  <c r="G58" i="16"/>
  <c r="G57" i="16"/>
  <c r="G56" i="16"/>
  <c r="G55" i="16"/>
  <c r="G54" i="16"/>
  <c r="G53" i="16"/>
  <c r="G52" i="16"/>
  <c r="G51" i="16"/>
  <c r="G46" i="16"/>
  <c r="G45" i="16"/>
  <c r="G44" i="16"/>
  <c r="G43" i="16"/>
  <c r="G42" i="16"/>
  <c r="G40" i="16"/>
  <c r="G39" i="16"/>
  <c r="G35" i="16"/>
  <c r="G73" i="1"/>
  <c r="G72" i="1"/>
  <c r="G71" i="1"/>
  <c r="G70" i="1"/>
  <c r="G65" i="1"/>
  <c r="G116" i="1"/>
  <c r="W47" i="18" s="1"/>
  <c r="G115" i="1"/>
  <c r="G114" i="1"/>
  <c r="G113" i="1"/>
  <c r="G112" i="1"/>
  <c r="G110" i="1"/>
  <c r="U93" i="19" s="1"/>
  <c r="G109" i="1"/>
  <c r="G108" i="1"/>
  <c r="G107" i="1"/>
  <c r="W23" i="18" s="1"/>
  <c r="G105" i="1"/>
  <c r="G104" i="1"/>
  <c r="G103" i="1"/>
  <c r="F93" i="19" l="1"/>
  <c r="N93" i="19"/>
  <c r="L93" i="19"/>
  <c r="G93" i="19"/>
  <c r="E93" i="19"/>
  <c r="M93" i="19"/>
  <c r="J93" i="19"/>
  <c r="K93" i="19"/>
  <c r="O93" i="19"/>
  <c r="H93" i="19"/>
  <c r="P93" i="19"/>
  <c r="I93" i="19"/>
  <c r="G69" i="1"/>
  <c r="U87" i="19"/>
  <c r="U89" i="19"/>
  <c r="U82" i="19"/>
  <c r="E163" i="4"/>
  <c r="D163" i="4"/>
  <c r="U88" i="19"/>
  <c r="U81" i="19"/>
  <c r="D107" i="4"/>
  <c r="B11" i="4"/>
  <c r="C163" i="4"/>
  <c r="D43" i="4"/>
  <c r="C82" i="4"/>
  <c r="D112" i="4"/>
  <c r="D138" i="4"/>
  <c r="D87" i="4"/>
  <c r="D28" i="4"/>
  <c r="D33" i="4"/>
  <c r="D131" i="4"/>
  <c r="D233" i="4"/>
  <c r="D173" i="4"/>
  <c r="D57" i="4"/>
  <c r="D168" i="4"/>
  <c r="D188" i="4"/>
  <c r="D92" i="4"/>
  <c r="D193" i="4"/>
  <c r="D18" i="4"/>
  <c r="D38" i="4"/>
  <c r="D97" i="4"/>
  <c r="D145" i="4"/>
  <c r="D198" i="4"/>
  <c r="D50" i="4"/>
  <c r="D102" i="4"/>
  <c r="D152" i="4"/>
  <c r="D205" i="4"/>
  <c r="D212" i="4"/>
  <c r="D219" i="4"/>
  <c r="D178" i="4"/>
  <c r="D64" i="4"/>
  <c r="D117" i="4"/>
  <c r="D226" i="4"/>
  <c r="D23" i="4"/>
  <c r="D71" i="4"/>
  <c r="D124" i="4"/>
  <c r="D183" i="4"/>
  <c r="G27" i="14"/>
  <c r="B30" i="14"/>
  <c r="D30" i="14" s="1"/>
  <c r="B31" i="14"/>
  <c r="D31" i="14" s="1"/>
  <c r="B32" i="14"/>
  <c r="C32" i="14" s="1"/>
  <c r="B10" i="17"/>
  <c r="Q93" i="19" l="1"/>
  <c r="E32" i="14"/>
  <c r="D32" i="14"/>
  <c r="D34" i="14" s="1"/>
  <c r="C31" i="14"/>
  <c r="C30" i="14"/>
  <c r="E30" i="14"/>
  <c r="B34" i="14"/>
  <c r="E31" i="14"/>
  <c r="C34" i="14" l="1"/>
  <c r="E34" i="14"/>
  <c r="AG204" i="15"/>
  <c r="K39" i="12"/>
  <c r="B97" i="15"/>
  <c r="B98" i="15" s="1"/>
  <c r="B100" i="15" s="1"/>
  <c r="B115" i="15"/>
  <c r="B79" i="15"/>
  <c r="C118" i="15"/>
  <c r="D118" i="15" s="1"/>
  <c r="E118" i="15" s="1"/>
  <c r="F118" i="15" s="1"/>
  <c r="G118" i="15" s="1"/>
  <c r="H118" i="15" s="1"/>
  <c r="I118" i="15" s="1"/>
  <c r="J118" i="15" s="1"/>
  <c r="K118" i="15" s="1"/>
  <c r="L118" i="15" s="1"/>
  <c r="M118" i="15" s="1"/>
  <c r="N118" i="15" s="1"/>
  <c r="O118" i="15" s="1"/>
  <c r="P118" i="15" s="1"/>
  <c r="Q118" i="15" s="1"/>
  <c r="R118" i="15" s="1"/>
  <c r="S118" i="15" s="1"/>
  <c r="T118" i="15" s="1"/>
  <c r="U118" i="15" s="1"/>
  <c r="V118" i="15" s="1"/>
  <c r="W118" i="15" s="1"/>
  <c r="X118" i="15" s="1"/>
  <c r="Y118" i="15" s="1"/>
  <c r="Z118" i="15" s="1"/>
  <c r="AA118" i="15" s="1"/>
  <c r="AB118" i="15" s="1"/>
  <c r="AC118" i="15" s="1"/>
  <c r="AD118" i="15" s="1"/>
  <c r="AE118" i="15" s="1"/>
  <c r="AF118" i="15" s="1"/>
  <c r="AG118" i="15" s="1"/>
  <c r="AH118" i="15" s="1"/>
  <c r="AI118" i="15" s="1"/>
  <c r="AJ118" i="15" s="1"/>
  <c r="AK118" i="15" s="1"/>
  <c r="AL118" i="15" s="1"/>
  <c r="C99" i="15"/>
  <c r="C82" i="15"/>
  <c r="D82" i="15" s="1"/>
  <c r="E82" i="15" s="1"/>
  <c r="F82" i="15" s="1"/>
  <c r="G82" i="15" s="1"/>
  <c r="H82" i="15" s="1"/>
  <c r="I82" i="15" s="1"/>
  <c r="J82" i="15" s="1"/>
  <c r="K82" i="15" s="1"/>
  <c r="L82" i="15" s="1"/>
  <c r="M82" i="15" s="1"/>
  <c r="N82" i="15" s="1"/>
  <c r="O82" i="15" s="1"/>
  <c r="P82" i="15" s="1"/>
  <c r="Q82" i="15" s="1"/>
  <c r="R82" i="15" s="1"/>
  <c r="S82" i="15" s="1"/>
  <c r="T82" i="15" s="1"/>
  <c r="U82" i="15" s="1"/>
  <c r="V82" i="15" s="1"/>
  <c r="W82" i="15" s="1"/>
  <c r="X82" i="15" s="1"/>
  <c r="Y82" i="15" s="1"/>
  <c r="Z82" i="15" s="1"/>
  <c r="AA82" i="15" s="1"/>
  <c r="AB82" i="15" s="1"/>
  <c r="AC82" i="15" s="1"/>
  <c r="AD82" i="15" s="1"/>
  <c r="AE82" i="15" s="1"/>
  <c r="AF82" i="15" s="1"/>
  <c r="AG82" i="15" s="1"/>
  <c r="AH82" i="15" s="1"/>
  <c r="AI82" i="15" s="1"/>
  <c r="AJ82" i="15" s="1"/>
  <c r="AK82" i="15" s="1"/>
  <c r="AL82" i="15" s="1"/>
  <c r="D19" i="2"/>
  <c r="B73" i="2"/>
  <c r="B143" i="2" s="1"/>
  <c r="E13" i="2"/>
  <c r="E73" i="2" s="1"/>
  <c r="E143" i="2" s="1"/>
  <c r="D13" i="2"/>
  <c r="D73" i="2" s="1"/>
  <c r="D143" i="2" s="1"/>
  <c r="C13" i="2"/>
  <c r="D197" i="2" s="1"/>
  <c r="AG202" i="14"/>
  <c r="G18" i="1"/>
  <c r="C38" i="8" l="1"/>
  <c r="C39" i="8" s="1"/>
  <c r="C26" i="8" s="1"/>
  <c r="D203" i="2"/>
  <c r="D17" i="2"/>
  <c r="D127" i="2"/>
  <c r="B181" i="15"/>
  <c r="D99" i="15"/>
  <c r="B80" i="15"/>
  <c r="B116" i="15"/>
  <c r="D157" i="2"/>
  <c r="B11" i="2"/>
  <c r="I50" i="12"/>
  <c r="D47" i="2"/>
  <c r="B101" i="15"/>
  <c r="B119" i="15"/>
  <c r="B83" i="15"/>
  <c r="D87" i="2"/>
  <c r="D97" i="2"/>
  <c r="D107" i="2"/>
  <c r="D147" i="2"/>
  <c r="D57" i="2"/>
  <c r="D77" i="2"/>
  <c r="D167" i="2"/>
  <c r="D177" i="2"/>
  <c r="D27" i="2"/>
  <c r="D117" i="2"/>
  <c r="D37" i="2"/>
  <c r="C73" i="2"/>
  <c r="C143" i="2" s="1"/>
  <c r="B116" i="14"/>
  <c r="B113" i="14"/>
  <c r="B98" i="14"/>
  <c r="C98" i="14" s="1"/>
  <c r="D98" i="14" s="1"/>
  <c r="E98" i="14" s="1"/>
  <c r="F98" i="14" s="1"/>
  <c r="G98" i="14" s="1"/>
  <c r="H98" i="14" s="1"/>
  <c r="I98" i="14" s="1"/>
  <c r="J98" i="14" s="1"/>
  <c r="K98" i="14" s="1"/>
  <c r="L98" i="14" s="1"/>
  <c r="M98" i="14" s="1"/>
  <c r="N98" i="14" s="1"/>
  <c r="O98" i="14" s="1"/>
  <c r="P98" i="14" s="1"/>
  <c r="Q98" i="14" s="1"/>
  <c r="R98" i="14" s="1"/>
  <c r="S98" i="14" s="1"/>
  <c r="T98" i="14" s="1"/>
  <c r="U98" i="14" s="1"/>
  <c r="V98" i="14" s="1"/>
  <c r="W98" i="14" s="1"/>
  <c r="X98" i="14" s="1"/>
  <c r="Y98" i="14" s="1"/>
  <c r="Z98" i="14" s="1"/>
  <c r="AA98" i="14" s="1"/>
  <c r="AB98" i="14" s="1"/>
  <c r="AC98" i="14" s="1"/>
  <c r="AD98" i="14" s="1"/>
  <c r="AE98" i="14" s="1"/>
  <c r="AF98" i="14" s="1"/>
  <c r="AG98" i="14" s="1"/>
  <c r="AH98" i="14" s="1"/>
  <c r="AI98" i="14" s="1"/>
  <c r="AJ98" i="14" s="1"/>
  <c r="AK98" i="14" s="1"/>
  <c r="AL98" i="14" s="1"/>
  <c r="B95" i="14"/>
  <c r="F37" i="11"/>
  <c r="K39" i="11"/>
  <c r="H39" i="11"/>
  <c r="F39" i="11"/>
  <c r="D200" i="2" l="1"/>
  <c r="D201" i="2" s="1"/>
  <c r="C35" i="8"/>
  <c r="C36" i="8" s="1"/>
  <c r="C19" i="8" s="1"/>
  <c r="D133" i="2"/>
  <c r="B134" i="15"/>
  <c r="B81" i="15"/>
  <c r="C115" i="15"/>
  <c r="C117" i="15" s="1"/>
  <c r="B135" i="15"/>
  <c r="B117" i="15"/>
  <c r="E99" i="15"/>
  <c r="C79" i="15"/>
  <c r="B114" i="14"/>
  <c r="B84" i="15"/>
  <c r="C97" i="15"/>
  <c r="C100" i="15" s="1"/>
  <c r="B102" i="15"/>
  <c r="B120" i="15"/>
  <c r="I50" i="11"/>
  <c r="B96" i="14"/>
  <c r="B99" i="14"/>
  <c r="C116" i="14"/>
  <c r="B117" i="14"/>
  <c r="B80" i="14"/>
  <c r="C80" i="14" s="1"/>
  <c r="D80" i="14" s="1"/>
  <c r="E80" i="14" s="1"/>
  <c r="F80" i="14" s="1"/>
  <c r="G80" i="14" s="1"/>
  <c r="H80" i="14" s="1"/>
  <c r="I80" i="14" s="1"/>
  <c r="J80" i="14" s="1"/>
  <c r="K80" i="14" s="1"/>
  <c r="L80" i="14" s="1"/>
  <c r="M80" i="14" s="1"/>
  <c r="N80" i="14" s="1"/>
  <c r="B77" i="14"/>
  <c r="B179" i="14" s="1"/>
  <c r="G101" i="1"/>
  <c r="G100" i="1"/>
  <c r="G99" i="1"/>
  <c r="G97" i="1"/>
  <c r="G96" i="1"/>
  <c r="G91" i="1"/>
  <c r="G92" i="1"/>
  <c r="G93" i="1"/>
  <c r="G94" i="1"/>
  <c r="G90" i="1"/>
  <c r="G88" i="1"/>
  <c r="U92" i="19" s="1"/>
  <c r="G82" i="1"/>
  <c r="G81" i="1"/>
  <c r="G80" i="1"/>
  <c r="G78" i="1"/>
  <c r="G77" i="1"/>
  <c r="G76" i="1"/>
  <c r="G75" i="1"/>
  <c r="G68" i="1"/>
  <c r="G66" i="1"/>
  <c r="G57" i="1"/>
  <c r="G58" i="1"/>
  <c r="G52" i="1"/>
  <c r="G53" i="1"/>
  <c r="G54" i="1"/>
  <c r="G55" i="1"/>
  <c r="G56" i="1"/>
  <c r="G51" i="1"/>
  <c r="G43" i="1"/>
  <c r="G44" i="1"/>
  <c r="G45" i="1"/>
  <c r="G46" i="1"/>
  <c r="G42" i="1"/>
  <c r="G40" i="1"/>
  <c r="G39" i="1"/>
  <c r="U90" i="19" s="1"/>
  <c r="G35" i="1"/>
  <c r="G74" i="1" l="1"/>
  <c r="W41" i="18"/>
  <c r="W22" i="18"/>
  <c r="C95" i="14"/>
  <c r="C99" i="14" s="1"/>
  <c r="D130" i="2"/>
  <c r="B136" i="15"/>
  <c r="B150" i="15" s="1"/>
  <c r="B133" i="15"/>
  <c r="C81" i="15"/>
  <c r="C133" i="15" s="1"/>
  <c r="C181" i="15"/>
  <c r="D115" i="15"/>
  <c r="D117" i="15" s="1"/>
  <c r="U80" i="19"/>
  <c r="U91" i="19"/>
  <c r="U86" i="19" s="1"/>
  <c r="W43" i="18" s="1"/>
  <c r="W27" i="18"/>
  <c r="D79" i="15"/>
  <c r="C119" i="15"/>
  <c r="C121" i="15" s="1"/>
  <c r="F99" i="15"/>
  <c r="C83" i="15"/>
  <c r="C85" i="15" s="1"/>
  <c r="C113" i="14"/>
  <c r="C115" i="14" s="1"/>
  <c r="B115" i="14"/>
  <c r="B97" i="14"/>
  <c r="D97" i="15"/>
  <c r="D100" i="15" s="1"/>
  <c r="C101" i="15"/>
  <c r="O80" i="14"/>
  <c r="P80" i="14" s="1"/>
  <c r="Q80" i="14" s="1"/>
  <c r="R80" i="14" s="1"/>
  <c r="S80" i="14" s="1"/>
  <c r="T80" i="14" s="1"/>
  <c r="U80" i="14" s="1"/>
  <c r="V80" i="14" s="1"/>
  <c r="W80" i="14" s="1"/>
  <c r="X80" i="14" s="1"/>
  <c r="Y80" i="14" s="1"/>
  <c r="Z80" i="14" s="1"/>
  <c r="B81" i="14"/>
  <c r="D116" i="14"/>
  <c r="B78" i="14"/>
  <c r="B132" i="14" s="1"/>
  <c r="B118" i="14"/>
  <c r="B100" i="14"/>
  <c r="G98" i="1"/>
  <c r="R43" i="18" l="1"/>
  <c r="P43" i="18"/>
  <c r="H43" i="18"/>
  <c r="G43" i="18"/>
  <c r="O43" i="18"/>
  <c r="N43" i="18"/>
  <c r="M43" i="18"/>
  <c r="L43" i="18"/>
  <c r="K43" i="18"/>
  <c r="J43" i="18"/>
  <c r="Q43" i="18"/>
  <c r="I43" i="18"/>
  <c r="B79" i="14"/>
  <c r="B131" i="14" s="1"/>
  <c r="B133" i="14"/>
  <c r="D95" i="14"/>
  <c r="D99" i="14" s="1"/>
  <c r="D102" i="14" s="1"/>
  <c r="C97" i="14"/>
  <c r="D131" i="2"/>
  <c r="C101" i="14"/>
  <c r="D81" i="15"/>
  <c r="D133" i="15" s="1"/>
  <c r="D181" i="15"/>
  <c r="D119" i="15"/>
  <c r="D122" i="15" s="1"/>
  <c r="E115" i="15"/>
  <c r="E117" i="15" s="1"/>
  <c r="E79" i="15"/>
  <c r="D83" i="15"/>
  <c r="D86" i="15" s="1"/>
  <c r="C135" i="15"/>
  <c r="G99" i="15"/>
  <c r="D113" i="14"/>
  <c r="D115" i="14" s="1"/>
  <c r="C117" i="14"/>
  <c r="C119" i="14" s="1"/>
  <c r="D101" i="15"/>
  <c r="D104" i="15" s="1"/>
  <c r="E97" i="15"/>
  <c r="E100" i="15" s="1"/>
  <c r="C103" i="15"/>
  <c r="C137" i="15" s="1"/>
  <c r="C151" i="15" s="1"/>
  <c r="B82" i="14"/>
  <c r="B134" i="14" s="1"/>
  <c r="AA80" i="14"/>
  <c r="AB80" i="14" s="1"/>
  <c r="AC80" i="14" s="1"/>
  <c r="AD80" i="14" s="1"/>
  <c r="AE80" i="14" s="1"/>
  <c r="AF80" i="14" s="1"/>
  <c r="AG80" i="14" s="1"/>
  <c r="AH80" i="14" s="1"/>
  <c r="AI80" i="14" s="1"/>
  <c r="AJ80" i="14" s="1"/>
  <c r="AK80" i="14" s="1"/>
  <c r="AL80" i="14" s="1"/>
  <c r="E116" i="14"/>
  <c r="C77" i="14"/>
  <c r="C79" i="14" s="1"/>
  <c r="D97" i="14" l="1"/>
  <c r="E95" i="14"/>
  <c r="E97" i="14" s="1"/>
  <c r="C131" i="14"/>
  <c r="B148" i="14"/>
  <c r="E81" i="15"/>
  <c r="E133" i="15" s="1"/>
  <c r="E181" i="15"/>
  <c r="F115" i="15"/>
  <c r="F117" i="15" s="1"/>
  <c r="E119" i="15"/>
  <c r="E123" i="15" s="1"/>
  <c r="F79" i="15"/>
  <c r="E83" i="15"/>
  <c r="E87" i="15" s="1"/>
  <c r="D135" i="15"/>
  <c r="D138" i="15"/>
  <c r="D152" i="15" s="1"/>
  <c r="H99" i="15"/>
  <c r="I99" i="15" s="1"/>
  <c r="D117" i="14"/>
  <c r="D120" i="14" s="1"/>
  <c r="E113" i="14"/>
  <c r="E115" i="14" s="1"/>
  <c r="E101" i="15"/>
  <c r="F97" i="15"/>
  <c r="F100" i="15" s="1"/>
  <c r="C179" i="14"/>
  <c r="C81" i="14"/>
  <c r="F116" i="14"/>
  <c r="D77" i="14"/>
  <c r="D79" i="14" s="1"/>
  <c r="F15" i="16"/>
  <c r="W39" i="18" l="1"/>
  <c r="E99" i="14"/>
  <c r="F95" i="14"/>
  <c r="G95" i="14" s="1"/>
  <c r="D131" i="14"/>
  <c r="C133" i="14"/>
  <c r="G115" i="15"/>
  <c r="G117" i="15" s="1"/>
  <c r="F119" i="15"/>
  <c r="F124" i="15" s="1"/>
  <c r="F81" i="15"/>
  <c r="F133" i="15" s="1"/>
  <c r="F181" i="15"/>
  <c r="E135" i="15"/>
  <c r="F83" i="15"/>
  <c r="F88" i="15" s="1"/>
  <c r="G79" i="15"/>
  <c r="G83" i="15" s="1"/>
  <c r="F113" i="14"/>
  <c r="F115" i="14" s="1"/>
  <c r="E117" i="14"/>
  <c r="E121" i="14" s="1"/>
  <c r="J99" i="15"/>
  <c r="F99" i="14"/>
  <c r="F104" i="14" s="1"/>
  <c r="F97" i="14"/>
  <c r="E105" i="15"/>
  <c r="E139" i="15" s="1"/>
  <c r="E153" i="15" s="1"/>
  <c r="F101" i="15"/>
  <c r="F106" i="15" s="1"/>
  <c r="G97" i="15"/>
  <c r="G100" i="15" s="1"/>
  <c r="C83" i="14"/>
  <c r="C135" i="14" s="1"/>
  <c r="C149" i="14" s="1"/>
  <c r="E103" i="14"/>
  <c r="D81" i="14"/>
  <c r="D179" i="14"/>
  <c r="G116" i="14"/>
  <c r="E77" i="14"/>
  <c r="E79" i="14" s="1"/>
  <c r="E131" i="14" s="1"/>
  <c r="H18" i="16"/>
  <c r="H18" i="1"/>
  <c r="D84" i="14" l="1"/>
  <c r="D136" i="14" s="1"/>
  <c r="D150" i="14" s="1"/>
  <c r="G119" i="15"/>
  <c r="G125" i="15" s="1"/>
  <c r="H115" i="15"/>
  <c r="H116" i="15" s="1"/>
  <c r="H79" i="15"/>
  <c r="H80" i="15" s="1"/>
  <c r="G81" i="15"/>
  <c r="G133" i="15" s="1"/>
  <c r="G181" i="15"/>
  <c r="F117" i="14"/>
  <c r="F122" i="14" s="1"/>
  <c r="G113" i="14"/>
  <c r="G115" i="14" s="1"/>
  <c r="F140" i="15"/>
  <c r="F154" i="15" s="1"/>
  <c r="F135" i="15"/>
  <c r="K99" i="15"/>
  <c r="D133" i="14"/>
  <c r="G99" i="14"/>
  <c r="G105" i="14" s="1"/>
  <c r="G97" i="14"/>
  <c r="G101" i="15"/>
  <c r="G107" i="15" s="1"/>
  <c r="H97" i="15"/>
  <c r="G89" i="15"/>
  <c r="H95" i="14"/>
  <c r="H96" i="14" s="1"/>
  <c r="E81" i="14"/>
  <c r="E179" i="14"/>
  <c r="H116" i="14"/>
  <c r="F77" i="14"/>
  <c r="F79" i="14" s="1"/>
  <c r="F131" i="14" s="1"/>
  <c r="C82" i="17"/>
  <c r="C81" i="17"/>
  <c r="C72" i="17"/>
  <c r="C71" i="17"/>
  <c r="C62" i="17"/>
  <c r="C61" i="17"/>
  <c r="C51" i="17"/>
  <c r="C50" i="17"/>
  <c r="C41" i="17"/>
  <c r="C40" i="17"/>
  <c r="C31" i="17"/>
  <c r="C30" i="17"/>
  <c r="C21" i="17"/>
  <c r="C20" i="17"/>
  <c r="D78" i="17"/>
  <c r="E78" i="17" s="1"/>
  <c r="D68" i="17"/>
  <c r="E68" i="17" s="1"/>
  <c r="D58" i="17"/>
  <c r="E58" i="17" s="1"/>
  <c r="D47" i="17"/>
  <c r="E47" i="17" s="1"/>
  <c r="D37" i="17"/>
  <c r="E37" i="17" s="1"/>
  <c r="D27" i="17"/>
  <c r="E27" i="17" s="1"/>
  <c r="D17" i="17"/>
  <c r="E17" i="17" s="1"/>
  <c r="G92" i="19"/>
  <c r="B9" i="2"/>
  <c r="B9" i="4"/>
  <c r="B74" i="12"/>
  <c r="F48" i="16"/>
  <c r="F48" i="1"/>
  <c r="F47" i="1" s="1"/>
  <c r="C3" i="22"/>
  <c r="C9" i="22" s="1"/>
  <c r="C2" i="22"/>
  <c r="C17" i="22" s="1"/>
  <c r="K32" i="16"/>
  <c r="H32" i="16" s="1"/>
  <c r="B5" i="4"/>
  <c r="B5" i="12" s="1"/>
  <c r="B5" i="11"/>
  <c r="C5" i="16"/>
  <c r="K32" i="1"/>
  <c r="H32" i="1" s="1"/>
  <c r="G37" i="1"/>
  <c r="B6" i="12"/>
  <c r="B6" i="4"/>
  <c r="C6" i="16"/>
  <c r="B6" i="11"/>
  <c r="C6" i="1"/>
  <c r="B6" i="2" s="1"/>
  <c r="D189" i="2"/>
  <c r="D187" i="2"/>
  <c r="D186" i="2"/>
  <c r="D179" i="2"/>
  <c r="D176" i="2"/>
  <c r="D119" i="2"/>
  <c r="D116" i="2"/>
  <c r="D118" i="2" s="1"/>
  <c r="D109" i="2"/>
  <c r="D106" i="2"/>
  <c r="D108" i="2" s="1"/>
  <c r="D58" i="2"/>
  <c r="D56" i="2"/>
  <c r="D215" i="2" s="1"/>
  <c r="D49" i="2"/>
  <c r="D46" i="2"/>
  <c r="H58" i="2"/>
  <c r="H57" i="2"/>
  <c r="E57" i="2" s="1"/>
  <c r="H56" i="2"/>
  <c r="H49" i="2"/>
  <c r="H47" i="2"/>
  <c r="E47" i="2" s="1"/>
  <c r="H46" i="2"/>
  <c r="H127" i="2"/>
  <c r="E127" i="2" s="1"/>
  <c r="H126" i="2"/>
  <c r="E126" i="2" s="1"/>
  <c r="H119" i="2"/>
  <c r="H117" i="2"/>
  <c r="H116" i="2"/>
  <c r="H109" i="2"/>
  <c r="H107" i="2"/>
  <c r="E107" i="2" s="1"/>
  <c r="H106" i="2"/>
  <c r="H197" i="2"/>
  <c r="E197" i="2" s="1"/>
  <c r="E203" i="2" s="1"/>
  <c r="H196" i="2"/>
  <c r="E196" i="2" s="1"/>
  <c r="H189" i="2"/>
  <c r="H187" i="2"/>
  <c r="H186" i="2"/>
  <c r="H179" i="2"/>
  <c r="H177" i="2"/>
  <c r="E177" i="2" s="1"/>
  <c r="H176" i="2"/>
  <c r="D39" i="2"/>
  <c r="D36" i="2"/>
  <c r="D29" i="2"/>
  <c r="D26" i="2"/>
  <c r="D192" i="4"/>
  <c r="D191" i="4" s="1"/>
  <c r="D187" i="4"/>
  <c r="D186" i="4" s="1"/>
  <c r="D111" i="4"/>
  <c r="D106" i="4"/>
  <c r="D101" i="4"/>
  <c r="D100" i="4" s="1"/>
  <c r="D37" i="4"/>
  <c r="D36" i="4" s="1"/>
  <c r="I12" i="8" s="1"/>
  <c r="D32" i="4"/>
  <c r="D58" i="4"/>
  <c r="D59" i="4" s="1"/>
  <c r="D56" i="4"/>
  <c r="D65" i="4"/>
  <c r="D63" i="4"/>
  <c r="D72" i="4"/>
  <c r="D70" i="4"/>
  <c r="D139" i="4"/>
  <c r="D136" i="4" s="1"/>
  <c r="I28" i="8" s="1"/>
  <c r="D137" i="4"/>
  <c r="D146" i="4"/>
  <c r="D143" i="4" s="1"/>
  <c r="I29" i="8" s="1"/>
  <c r="D144" i="4"/>
  <c r="D153" i="4"/>
  <c r="D150" i="4" s="1"/>
  <c r="I30" i="8" s="1"/>
  <c r="D151" i="4"/>
  <c r="D182" i="4"/>
  <c r="D181" i="4" s="1"/>
  <c r="D234" i="4"/>
  <c r="D232" i="4"/>
  <c r="D227" i="4"/>
  <c r="D225" i="4"/>
  <c r="D220" i="4"/>
  <c r="D217" i="4" s="1"/>
  <c r="I41" i="8" s="1"/>
  <c r="D218" i="4"/>
  <c r="H72" i="4"/>
  <c r="H71" i="4"/>
  <c r="E71" i="4" s="1"/>
  <c r="H70" i="4"/>
  <c r="H65" i="4"/>
  <c r="H64" i="4"/>
  <c r="H63" i="4"/>
  <c r="H234" i="4"/>
  <c r="H233" i="4"/>
  <c r="H232" i="4"/>
  <c r="H227" i="4"/>
  <c r="H226" i="4"/>
  <c r="E226" i="4" s="1"/>
  <c r="H225" i="4"/>
  <c r="H220" i="4"/>
  <c r="H219" i="4"/>
  <c r="H218" i="4"/>
  <c r="H153" i="4"/>
  <c r="H152" i="4"/>
  <c r="H151" i="4"/>
  <c r="H146" i="4"/>
  <c r="H145" i="4"/>
  <c r="E145" i="4" s="1"/>
  <c r="H144" i="4"/>
  <c r="H139" i="4"/>
  <c r="H138" i="4"/>
  <c r="E138" i="4" s="1"/>
  <c r="H137" i="4"/>
  <c r="H38" i="4"/>
  <c r="H37" i="4"/>
  <c r="H33" i="4"/>
  <c r="E33" i="4" s="1"/>
  <c r="H32" i="4"/>
  <c r="H112" i="4"/>
  <c r="H111" i="4"/>
  <c r="H107" i="4"/>
  <c r="H106" i="4"/>
  <c r="H102" i="4"/>
  <c r="E102" i="4" s="1"/>
  <c r="H101" i="4"/>
  <c r="H193" i="4"/>
  <c r="E193" i="4" s="1"/>
  <c r="H192" i="4"/>
  <c r="H188" i="4"/>
  <c r="H187" i="4"/>
  <c r="H183" i="4"/>
  <c r="E183" i="4" s="1"/>
  <c r="H182" i="4"/>
  <c r="A10" i="21"/>
  <c r="A17" i="21"/>
  <c r="A32" i="21"/>
  <c r="B32" i="21" s="1"/>
  <c r="E16" i="12"/>
  <c r="E20" i="12"/>
  <c r="K28" i="12"/>
  <c r="F38" i="12"/>
  <c r="E77" i="12" s="1"/>
  <c r="E87" i="12" s="1"/>
  <c r="I44" i="12"/>
  <c r="I46" i="12"/>
  <c r="I47" i="12"/>
  <c r="I48" i="12"/>
  <c r="F74" i="12"/>
  <c r="F4" i="15"/>
  <c r="G4" i="15"/>
  <c r="H4" i="15"/>
  <c r="F8" i="15"/>
  <c r="G8" i="15"/>
  <c r="H8" i="15"/>
  <c r="L22" i="15"/>
  <c r="L23" i="15"/>
  <c r="L24" i="15"/>
  <c r="B163" i="15" s="1"/>
  <c r="B31" i="15"/>
  <c r="E31" i="15" s="1"/>
  <c r="B32" i="15"/>
  <c r="E32" i="15" s="1"/>
  <c r="B33" i="15"/>
  <c r="C33" i="15" s="1"/>
  <c r="C48" i="15"/>
  <c r="D48" i="15"/>
  <c r="C49" i="15"/>
  <c r="D49" i="15"/>
  <c r="C50" i="15"/>
  <c r="D50" i="15"/>
  <c r="C53" i="15"/>
  <c r="D53" i="15"/>
  <c r="C54" i="15"/>
  <c r="C55" i="15"/>
  <c r="D55" i="15"/>
  <c r="C59" i="15"/>
  <c r="D59" i="15"/>
  <c r="B65" i="15"/>
  <c r="D60" i="15" s="1"/>
  <c r="G60" i="15" s="1"/>
  <c r="C65" i="15"/>
  <c r="C66" i="15" s="1"/>
  <c r="D65" i="15"/>
  <c r="D66" i="15" s="1"/>
  <c r="E65" i="15"/>
  <c r="E66" i="15" s="1"/>
  <c r="C12" i="4"/>
  <c r="C81" i="4" s="1"/>
  <c r="D15" i="4"/>
  <c r="E15" i="4" s="1"/>
  <c r="C16" i="4"/>
  <c r="H8" i="8" s="1"/>
  <c r="D17" i="4"/>
  <c r="H17" i="4"/>
  <c r="C21" i="4"/>
  <c r="H9" i="8" s="1"/>
  <c r="D22" i="4"/>
  <c r="H22" i="4"/>
  <c r="H23" i="4"/>
  <c r="C26" i="4"/>
  <c r="H10" i="8" s="1"/>
  <c r="D27" i="4"/>
  <c r="H27" i="4"/>
  <c r="H28" i="4"/>
  <c r="E28" i="4" s="1"/>
  <c r="C31" i="4"/>
  <c r="H11" i="8" s="1"/>
  <c r="C36" i="4"/>
  <c r="C41" i="4"/>
  <c r="H13" i="8" s="1"/>
  <c r="D42" i="4"/>
  <c r="H42" i="4"/>
  <c r="H43" i="4"/>
  <c r="D44" i="4"/>
  <c r="D41" i="4" s="1"/>
  <c r="I13" i="8" s="1"/>
  <c r="H44" i="4"/>
  <c r="C45" i="4"/>
  <c r="C48" i="4"/>
  <c r="H14" i="8" s="1"/>
  <c r="D49" i="4"/>
  <c r="H49" i="4"/>
  <c r="H50" i="4"/>
  <c r="E50" i="4" s="1"/>
  <c r="D51" i="4"/>
  <c r="H51" i="4"/>
  <c r="C52" i="4"/>
  <c r="C55" i="4"/>
  <c r="H56" i="4"/>
  <c r="H57" i="4"/>
  <c r="E57" i="4" s="1"/>
  <c r="H58" i="4"/>
  <c r="C59" i="4"/>
  <c r="C62" i="4"/>
  <c r="C66" i="4"/>
  <c r="C69" i="4"/>
  <c r="C73" i="4"/>
  <c r="C77" i="4"/>
  <c r="C85" i="4"/>
  <c r="D86" i="4"/>
  <c r="D85" i="4" s="1"/>
  <c r="H86" i="4"/>
  <c r="H87" i="4"/>
  <c r="E87" i="4" s="1"/>
  <c r="C90" i="4"/>
  <c r="H20" i="8" s="1"/>
  <c r="D91" i="4"/>
  <c r="D90" i="4" s="1"/>
  <c r="H91" i="4"/>
  <c r="H92" i="4"/>
  <c r="E92" i="4" s="1"/>
  <c r="C95" i="4"/>
  <c r="H21" i="8" s="1"/>
  <c r="D96" i="4"/>
  <c r="D95" i="4" s="1"/>
  <c r="H96" i="4"/>
  <c r="H97" i="4"/>
  <c r="C100" i="4"/>
  <c r="H22" i="8" s="1"/>
  <c r="C105" i="4"/>
  <c r="H23" i="8" s="1"/>
  <c r="C110" i="4"/>
  <c r="H24" i="8" s="1"/>
  <c r="C115" i="4"/>
  <c r="D116" i="4"/>
  <c r="H116" i="4"/>
  <c r="H117" i="4"/>
  <c r="D118" i="4"/>
  <c r="H118" i="4"/>
  <c r="C119" i="4"/>
  <c r="D121" i="4"/>
  <c r="E121" i="4" s="1"/>
  <c r="C122" i="4"/>
  <c r="H26" i="8" s="1"/>
  <c r="D123" i="4"/>
  <c r="H123" i="4"/>
  <c r="H124" i="4"/>
  <c r="D125" i="4"/>
  <c r="D122" i="4" s="1"/>
  <c r="I26" i="8" s="1"/>
  <c r="H125" i="4"/>
  <c r="C126" i="4"/>
  <c r="D128" i="4"/>
  <c r="E128" i="4" s="1"/>
  <c r="C129" i="4"/>
  <c r="D130" i="4"/>
  <c r="H130" i="4"/>
  <c r="H131" i="4"/>
  <c r="D132" i="4"/>
  <c r="D133" i="4" s="1"/>
  <c r="H132" i="4"/>
  <c r="C133" i="4"/>
  <c r="D135" i="4"/>
  <c r="E135" i="4" s="1"/>
  <c r="C140" i="4"/>
  <c r="D142" i="4"/>
  <c r="C147" i="4"/>
  <c r="C154" i="4"/>
  <c r="D165" i="4"/>
  <c r="E165" i="4" s="1"/>
  <c r="C166" i="4"/>
  <c r="H32" i="8" s="1"/>
  <c r="D167" i="4"/>
  <c r="H167" i="4"/>
  <c r="H168" i="4"/>
  <c r="D170" i="4"/>
  <c r="E170" i="4" s="1"/>
  <c r="C171" i="4"/>
  <c r="H33" i="8" s="1"/>
  <c r="D172" i="4"/>
  <c r="D171" i="4" s="1"/>
  <c r="H172" i="4"/>
  <c r="H173" i="4"/>
  <c r="D175" i="4"/>
  <c r="E175" i="4" s="1"/>
  <c r="C176" i="4"/>
  <c r="H34" i="8" s="1"/>
  <c r="D177" i="4"/>
  <c r="D176" i="4" s="1"/>
  <c r="H177" i="4"/>
  <c r="H178" i="4"/>
  <c r="E178" i="4" s="1"/>
  <c r="D180" i="4"/>
  <c r="E180" i="4" s="1"/>
  <c r="C181" i="4"/>
  <c r="H35" i="8" s="1"/>
  <c r="D185" i="4"/>
  <c r="E185" i="4" s="1"/>
  <c r="C186" i="4"/>
  <c r="D190" i="4"/>
  <c r="E190" i="4" s="1"/>
  <c r="C191" i="4"/>
  <c r="H37" i="8" s="1"/>
  <c r="D195" i="4"/>
  <c r="E195" i="4" s="1"/>
  <c r="C196" i="4"/>
  <c r="D197" i="4"/>
  <c r="H197" i="4"/>
  <c r="H198" i="4"/>
  <c r="D199" i="4"/>
  <c r="H199" i="4"/>
  <c r="C200" i="4"/>
  <c r="D202" i="4"/>
  <c r="E202" i="4" s="1"/>
  <c r="C203" i="4"/>
  <c r="D204" i="4"/>
  <c r="H204" i="4"/>
  <c r="H205" i="4"/>
  <c r="D206" i="4"/>
  <c r="H206" i="4"/>
  <c r="C207" i="4"/>
  <c r="D209" i="4"/>
  <c r="E209" i="4" s="1"/>
  <c r="C210" i="4"/>
  <c r="D211" i="4"/>
  <c r="H211" i="4"/>
  <c r="H212" i="4"/>
  <c r="D213" i="4"/>
  <c r="D210" i="4" s="1"/>
  <c r="I40" i="8" s="1"/>
  <c r="H213" i="4"/>
  <c r="C214" i="4"/>
  <c r="D216" i="4"/>
  <c r="E216" i="4" s="1"/>
  <c r="C217" i="4"/>
  <c r="C221" i="4"/>
  <c r="D223" i="4"/>
  <c r="E223" i="4" s="1"/>
  <c r="C224" i="4"/>
  <c r="D230" i="4"/>
  <c r="C231" i="4"/>
  <c r="H43" i="8" s="1"/>
  <c r="C235" i="4"/>
  <c r="G12" i="16"/>
  <c r="G16" i="16"/>
  <c r="G14" i="16" s="1"/>
  <c r="K16" i="16"/>
  <c r="G17" i="16"/>
  <c r="K17" i="16"/>
  <c r="G19" i="16"/>
  <c r="H19" i="16" s="1"/>
  <c r="G31" i="16"/>
  <c r="H31" i="16" s="1"/>
  <c r="G34" i="16"/>
  <c r="H34" i="16" s="1"/>
  <c r="H35" i="16"/>
  <c r="G37" i="16"/>
  <c r="H39" i="16"/>
  <c r="K40" i="16"/>
  <c r="F41" i="16"/>
  <c r="E66" i="12" s="1"/>
  <c r="K42" i="16"/>
  <c r="K43" i="16"/>
  <c r="K44" i="16"/>
  <c r="K45" i="16"/>
  <c r="K46" i="16"/>
  <c r="H49" i="16"/>
  <c r="K51" i="16"/>
  <c r="K52" i="16"/>
  <c r="H52" i="16" s="1"/>
  <c r="K53" i="16"/>
  <c r="K54" i="16"/>
  <c r="K55" i="16"/>
  <c r="K56" i="16"/>
  <c r="K57" i="16"/>
  <c r="K58" i="16"/>
  <c r="F60" i="16"/>
  <c r="G63" i="16"/>
  <c r="H63" i="16" s="1"/>
  <c r="G64" i="16"/>
  <c r="K64" i="16"/>
  <c r="K65" i="16"/>
  <c r="K66" i="16"/>
  <c r="K68" i="16"/>
  <c r="E68" i="12"/>
  <c r="K70" i="16"/>
  <c r="H70" i="16" s="1"/>
  <c r="K71" i="16"/>
  <c r="K72" i="16"/>
  <c r="K73" i="16"/>
  <c r="K75" i="16"/>
  <c r="K76" i="16"/>
  <c r="K77" i="16"/>
  <c r="K78" i="16"/>
  <c r="K80" i="16"/>
  <c r="K81" i="16"/>
  <c r="K82" i="16"/>
  <c r="H82" i="16" s="1"/>
  <c r="H84" i="16"/>
  <c r="G85" i="16"/>
  <c r="G86" i="16"/>
  <c r="H86" i="16" s="1"/>
  <c r="G87" i="16"/>
  <c r="H87" i="16" s="1"/>
  <c r="K88" i="16"/>
  <c r="F47" i="12"/>
  <c r="K90" i="16"/>
  <c r="K91" i="16"/>
  <c r="K92" i="16"/>
  <c r="K93" i="16"/>
  <c r="K94" i="16"/>
  <c r="F95" i="16"/>
  <c r="K69" i="12" s="1"/>
  <c r="K96" i="16"/>
  <c r="H96" i="16" s="1"/>
  <c r="K97" i="16"/>
  <c r="F98" i="16"/>
  <c r="K99" i="16"/>
  <c r="K100" i="16"/>
  <c r="K101" i="16"/>
  <c r="F102" i="16"/>
  <c r="K67" i="12" s="1"/>
  <c r="K103" i="16"/>
  <c r="K104" i="16"/>
  <c r="K105" i="16"/>
  <c r="H105" i="16" s="1"/>
  <c r="F106" i="16"/>
  <c r="K107" i="16"/>
  <c r="K108" i="16"/>
  <c r="K109" i="16"/>
  <c r="K110" i="16"/>
  <c r="F111" i="16"/>
  <c r="G111" i="16"/>
  <c r="K112" i="16"/>
  <c r="K113" i="16"/>
  <c r="K114" i="16"/>
  <c r="H114" i="16" s="1"/>
  <c r="K115" i="16"/>
  <c r="K116" i="16"/>
  <c r="H6" i="18"/>
  <c r="D2" i="22" s="1"/>
  <c r="D17" i="22" s="1"/>
  <c r="U8" i="18"/>
  <c r="S9" i="18"/>
  <c r="T9" i="18" s="1"/>
  <c r="U9" i="18"/>
  <c r="U10" i="18"/>
  <c r="S11" i="18"/>
  <c r="T11" i="18" s="1"/>
  <c r="U11" i="18"/>
  <c r="U12" i="18"/>
  <c r="S13" i="18"/>
  <c r="U13" i="18"/>
  <c r="U14" i="18"/>
  <c r="G17" i="18"/>
  <c r="S17" i="18"/>
  <c r="U18" i="18"/>
  <c r="U33" i="18"/>
  <c r="U34" i="18"/>
  <c r="U35" i="18"/>
  <c r="U36" i="18"/>
  <c r="U37" i="18"/>
  <c r="S49" i="18"/>
  <c r="S52" i="18"/>
  <c r="H60" i="18"/>
  <c r="N60" i="18"/>
  <c r="E7" i="19"/>
  <c r="E53" i="19" s="1"/>
  <c r="D11" i="19"/>
  <c r="Q23" i="19"/>
  <c r="D27" i="19"/>
  <c r="D28" i="19"/>
  <c r="C56" i="19"/>
  <c r="D56" i="19"/>
  <c r="C58" i="19"/>
  <c r="D58" i="19"/>
  <c r="C60" i="19"/>
  <c r="D60" i="19"/>
  <c r="C62" i="19"/>
  <c r="D62" i="19"/>
  <c r="C64" i="19"/>
  <c r="D64" i="19"/>
  <c r="C66" i="19"/>
  <c r="D66" i="19"/>
  <c r="F66" i="19"/>
  <c r="G66" i="19"/>
  <c r="H66" i="19"/>
  <c r="I66" i="19"/>
  <c r="J66" i="19"/>
  <c r="K66" i="19"/>
  <c r="L66" i="19"/>
  <c r="M66" i="19"/>
  <c r="N66" i="19"/>
  <c r="O66" i="19"/>
  <c r="P66" i="19"/>
  <c r="C68" i="19"/>
  <c r="D68" i="19"/>
  <c r="C70" i="19"/>
  <c r="D70" i="19"/>
  <c r="D72" i="19"/>
  <c r="D80" i="19"/>
  <c r="T80" i="19" s="1"/>
  <c r="D81" i="19"/>
  <c r="D82" i="19" s="1"/>
  <c r="D83" i="19" s="1"/>
  <c r="D84" i="19" s="1"/>
  <c r="C11" i="17"/>
  <c r="F40" i="11" s="1"/>
  <c r="D14" i="17"/>
  <c r="E14" i="17" s="1"/>
  <c r="D15" i="17"/>
  <c r="E15" i="17" s="1"/>
  <c r="D16" i="17"/>
  <c r="E16" i="17" s="1"/>
  <c r="D18" i="17"/>
  <c r="E18" i="17" s="1"/>
  <c r="E19" i="17"/>
  <c r="D24" i="17"/>
  <c r="E24" i="17" s="1"/>
  <c r="D25" i="17"/>
  <c r="E25" i="17" s="1"/>
  <c r="D26" i="17"/>
  <c r="E26" i="17" s="1"/>
  <c r="D28" i="17"/>
  <c r="E28" i="17" s="1"/>
  <c r="E29" i="17"/>
  <c r="D34" i="17"/>
  <c r="D35" i="17"/>
  <c r="E35" i="17" s="1"/>
  <c r="D36" i="17"/>
  <c r="E36" i="17" s="1"/>
  <c r="D38" i="17"/>
  <c r="E38" i="17" s="1"/>
  <c r="E39" i="17"/>
  <c r="D44" i="17"/>
  <c r="D45" i="17"/>
  <c r="E45" i="17" s="1"/>
  <c r="D46" i="17"/>
  <c r="E46" i="17" s="1"/>
  <c r="D48" i="17"/>
  <c r="E48" i="17" s="1"/>
  <c r="E49" i="17"/>
  <c r="D55" i="17"/>
  <c r="D56" i="17"/>
  <c r="E56" i="17" s="1"/>
  <c r="D59" i="17"/>
  <c r="E59" i="17" s="1"/>
  <c r="E60" i="17"/>
  <c r="D65" i="17"/>
  <c r="E65" i="17" s="1"/>
  <c r="D66" i="17"/>
  <c r="E66" i="17" s="1"/>
  <c r="D67" i="17"/>
  <c r="E67" i="17" s="1"/>
  <c r="D69" i="17"/>
  <c r="E69" i="17" s="1"/>
  <c r="E70" i="17"/>
  <c r="D75" i="17"/>
  <c r="E75" i="17" s="1"/>
  <c r="D76" i="17"/>
  <c r="E76" i="17" s="1"/>
  <c r="D79" i="17"/>
  <c r="E79" i="17" s="1"/>
  <c r="D80" i="17"/>
  <c r="E80" i="17" s="1"/>
  <c r="C85" i="17"/>
  <c r="E16" i="11"/>
  <c r="E33" i="11" s="1"/>
  <c r="K28" i="11"/>
  <c r="W7" i="18" s="1"/>
  <c r="G7" i="18" s="1"/>
  <c r="F38" i="11"/>
  <c r="E86" i="11" s="1"/>
  <c r="E77" i="11" s="1"/>
  <c r="I49" i="11"/>
  <c r="H52" i="11"/>
  <c r="K52" i="11" s="1"/>
  <c r="F74" i="11"/>
  <c r="G4" i="14"/>
  <c r="H4" i="14"/>
  <c r="F8" i="14"/>
  <c r="G8" i="14"/>
  <c r="H8" i="14"/>
  <c r="L20" i="14"/>
  <c r="L21" i="14"/>
  <c r="L22" i="14"/>
  <c r="B161" i="14" s="1"/>
  <c r="C46" i="14"/>
  <c r="D46" i="14"/>
  <c r="C47" i="14"/>
  <c r="D47" i="14"/>
  <c r="C48" i="14"/>
  <c r="D48" i="14"/>
  <c r="C52" i="14"/>
  <c r="D52" i="14"/>
  <c r="C53" i="14"/>
  <c r="D53" i="14"/>
  <c r="C54" i="14"/>
  <c r="D54" i="14"/>
  <c r="C59" i="14"/>
  <c r="D59" i="14"/>
  <c r="G58" i="14"/>
  <c r="D65" i="14"/>
  <c r="C12" i="2"/>
  <c r="C142" i="2" s="1"/>
  <c r="E15" i="2"/>
  <c r="H16" i="2"/>
  <c r="E17" i="2"/>
  <c r="C18" i="2"/>
  <c r="B8" i="8" s="1"/>
  <c r="E19" i="2"/>
  <c r="D20" i="2"/>
  <c r="E20" i="2" s="1"/>
  <c r="C22" i="2"/>
  <c r="C23" i="2" s="1"/>
  <c r="D25" i="2"/>
  <c r="E25" i="2" s="1"/>
  <c r="E27" i="2"/>
  <c r="C28" i="2"/>
  <c r="B9" i="8" s="1"/>
  <c r="H29" i="2"/>
  <c r="D30" i="2"/>
  <c r="E30" i="2" s="1"/>
  <c r="C31" i="2"/>
  <c r="C32" i="2"/>
  <c r="C33" i="2" s="1"/>
  <c r="D35" i="2"/>
  <c r="E35" i="2" s="1"/>
  <c r="H36" i="2"/>
  <c r="H37" i="2"/>
  <c r="C38" i="2"/>
  <c r="B10" i="8" s="1"/>
  <c r="H39" i="2"/>
  <c r="D40" i="2"/>
  <c r="E40" i="2" s="1"/>
  <c r="C41" i="2"/>
  <c r="C42" i="2"/>
  <c r="C43" i="2" s="1"/>
  <c r="D45" i="2"/>
  <c r="E45" i="2" s="1"/>
  <c r="C48" i="2"/>
  <c r="B11" i="8" s="1"/>
  <c r="D50" i="2"/>
  <c r="E50" i="2" s="1"/>
  <c r="C52" i="2"/>
  <c r="C53" i="2" s="1"/>
  <c r="D55" i="2"/>
  <c r="E55" i="2" s="1"/>
  <c r="D59" i="2"/>
  <c r="E59" i="2" s="1"/>
  <c r="C71" i="2"/>
  <c r="D71" i="2"/>
  <c r="E71" i="2"/>
  <c r="D75" i="2"/>
  <c r="E75" i="2" s="1"/>
  <c r="D76" i="2"/>
  <c r="H76" i="2"/>
  <c r="H77" i="2"/>
  <c r="C78" i="2"/>
  <c r="B14" i="8" s="1"/>
  <c r="D79" i="2"/>
  <c r="H79" i="2"/>
  <c r="D80" i="2"/>
  <c r="E80" i="2" s="1"/>
  <c r="C81" i="2"/>
  <c r="C82" i="2"/>
  <c r="C83" i="2" s="1"/>
  <c r="D85" i="2"/>
  <c r="E85" i="2" s="1"/>
  <c r="D86" i="2"/>
  <c r="H86" i="2"/>
  <c r="H87" i="2"/>
  <c r="C88" i="2"/>
  <c r="B15" i="8" s="1"/>
  <c r="D89" i="2"/>
  <c r="H89" i="2"/>
  <c r="D90" i="2"/>
  <c r="E90" i="2" s="1"/>
  <c r="C91" i="2"/>
  <c r="C92" i="2"/>
  <c r="C93" i="2" s="1"/>
  <c r="D95" i="2"/>
  <c r="E95" i="2" s="1"/>
  <c r="D96" i="2"/>
  <c r="D101" i="2" s="1"/>
  <c r="H96" i="2"/>
  <c r="H97" i="2"/>
  <c r="C98" i="2"/>
  <c r="B16" i="8" s="1"/>
  <c r="D99" i="2"/>
  <c r="H99" i="2"/>
  <c r="D100" i="2"/>
  <c r="E100" i="2" s="1"/>
  <c r="C101" i="2"/>
  <c r="C102" i="2"/>
  <c r="C103" i="2" s="1"/>
  <c r="D105" i="2"/>
  <c r="E105" i="2" s="1"/>
  <c r="C108" i="2"/>
  <c r="B17" i="8" s="1"/>
  <c r="D110" i="2"/>
  <c r="E110" i="2" s="1"/>
  <c r="C111" i="2"/>
  <c r="C112" i="2"/>
  <c r="C113" i="2" s="1"/>
  <c r="D115" i="2"/>
  <c r="E115" i="2" s="1"/>
  <c r="C118" i="2"/>
  <c r="B18" i="8" s="1"/>
  <c r="D120" i="2"/>
  <c r="E120" i="2" s="1"/>
  <c r="C121" i="2"/>
  <c r="C122" i="2"/>
  <c r="C123" i="2" s="1"/>
  <c r="C141" i="2"/>
  <c r="D141" i="2"/>
  <c r="E141" i="2"/>
  <c r="D145" i="2"/>
  <c r="E145" i="2" s="1"/>
  <c r="D146" i="2"/>
  <c r="D151" i="2" s="1"/>
  <c r="H146" i="2"/>
  <c r="H147" i="2"/>
  <c r="E147" i="2" s="1"/>
  <c r="C148" i="2"/>
  <c r="B21" i="8" s="1"/>
  <c r="D149" i="2"/>
  <c r="D152" i="2" s="1"/>
  <c r="H149" i="2"/>
  <c r="D150" i="2"/>
  <c r="E150" i="2" s="1"/>
  <c r="C151" i="2"/>
  <c r="C152" i="2"/>
  <c r="C153" i="2" s="1"/>
  <c r="D155" i="2"/>
  <c r="E155" i="2" s="1"/>
  <c r="D156" i="2"/>
  <c r="H156" i="2"/>
  <c r="H157" i="2"/>
  <c r="C158" i="2"/>
  <c r="B22" i="8" s="1"/>
  <c r="D159" i="2"/>
  <c r="H159" i="2"/>
  <c r="D160" i="2"/>
  <c r="E160" i="2" s="1"/>
  <c r="C161" i="2"/>
  <c r="C162" i="2"/>
  <c r="C163" i="2" s="1"/>
  <c r="D165" i="2"/>
  <c r="E165" i="2" s="1"/>
  <c r="D166" i="2"/>
  <c r="H166" i="2"/>
  <c r="H167" i="2"/>
  <c r="C168" i="2"/>
  <c r="B23" i="8" s="1"/>
  <c r="D169" i="2"/>
  <c r="D172" i="2" s="1"/>
  <c r="H169" i="2"/>
  <c r="D170" i="2"/>
  <c r="E170" i="2" s="1"/>
  <c r="C171" i="2"/>
  <c r="C172" i="2"/>
  <c r="C173" i="2" s="1"/>
  <c r="D175" i="2"/>
  <c r="E175" i="2" s="1"/>
  <c r="C178" i="2"/>
  <c r="B24" i="8" s="1"/>
  <c r="D180" i="2"/>
  <c r="E180" i="2" s="1"/>
  <c r="C181" i="2"/>
  <c r="C182" i="2"/>
  <c r="C183" i="2" s="1"/>
  <c r="D185" i="2"/>
  <c r="E185" i="2" s="1"/>
  <c r="C188" i="2"/>
  <c r="B25" i="8" s="1"/>
  <c r="D190" i="2"/>
  <c r="E190" i="2" s="1"/>
  <c r="G12" i="1"/>
  <c r="E16" i="19"/>
  <c r="E17" i="19" s="1"/>
  <c r="G16" i="1"/>
  <c r="G17" i="1"/>
  <c r="F3" i="19" s="1"/>
  <c r="G19" i="1"/>
  <c r="H19" i="1" s="1"/>
  <c r="F27" i="1"/>
  <c r="F26" i="1" s="1"/>
  <c r="G31" i="1"/>
  <c r="G34" i="1"/>
  <c r="H35" i="1"/>
  <c r="K39" i="1"/>
  <c r="K40" i="1"/>
  <c r="H40" i="1" s="1"/>
  <c r="F41" i="1"/>
  <c r="K42" i="1"/>
  <c r="H42" i="1" s="1"/>
  <c r="K43" i="1"/>
  <c r="H43" i="1" s="1"/>
  <c r="K44" i="1"/>
  <c r="H44" i="1" s="1"/>
  <c r="K45" i="1"/>
  <c r="H45" i="1" s="1"/>
  <c r="K46" i="1"/>
  <c r="H46" i="1" s="1"/>
  <c r="K49" i="1"/>
  <c r="H49" i="1" s="1"/>
  <c r="H48" i="1" s="1"/>
  <c r="K51" i="1"/>
  <c r="H51" i="1" s="1"/>
  <c r="K52" i="1"/>
  <c r="H52" i="1" s="1"/>
  <c r="K53" i="1"/>
  <c r="H53" i="1" s="1"/>
  <c r="K54" i="1"/>
  <c r="H54" i="1" s="1"/>
  <c r="K55" i="1"/>
  <c r="H55" i="1" s="1"/>
  <c r="K56" i="1"/>
  <c r="H56" i="1" s="1"/>
  <c r="K57" i="1"/>
  <c r="H57" i="1" s="1"/>
  <c r="K58" i="1"/>
  <c r="H58" i="1" s="1"/>
  <c r="F60" i="1"/>
  <c r="G60" i="1" s="1"/>
  <c r="H60" i="1" s="1"/>
  <c r="K62" i="1"/>
  <c r="H62" i="1" s="1"/>
  <c r="G63" i="1"/>
  <c r="G64" i="1"/>
  <c r="K64" i="1"/>
  <c r="K65" i="1"/>
  <c r="K66" i="1"/>
  <c r="K68" i="1"/>
  <c r="E68" i="11"/>
  <c r="K70" i="1"/>
  <c r="K71" i="1"/>
  <c r="K72" i="1"/>
  <c r="K73" i="1"/>
  <c r="E69" i="11"/>
  <c r="K75" i="1"/>
  <c r="K76" i="1"/>
  <c r="H76" i="1" s="1"/>
  <c r="K77" i="1"/>
  <c r="K78" i="1"/>
  <c r="F79" i="1"/>
  <c r="K80" i="1"/>
  <c r="H80" i="1" s="1"/>
  <c r="K81" i="1"/>
  <c r="G79" i="1"/>
  <c r="K82" i="1"/>
  <c r="F83" i="1"/>
  <c r="H84" i="1"/>
  <c r="G85" i="1"/>
  <c r="H85" i="1" s="1"/>
  <c r="G86" i="1"/>
  <c r="H86" i="1" s="1"/>
  <c r="G87" i="1"/>
  <c r="H87" i="1" s="1"/>
  <c r="K88" i="1"/>
  <c r="F89" i="1"/>
  <c r="F47" i="11" s="1"/>
  <c r="K90" i="1"/>
  <c r="K91" i="1"/>
  <c r="K92" i="1"/>
  <c r="K93" i="1"/>
  <c r="K94" i="1"/>
  <c r="F95" i="1"/>
  <c r="K69" i="11" s="1"/>
  <c r="K96" i="1"/>
  <c r="K97" i="1"/>
  <c r="F98" i="1"/>
  <c r="K99" i="1"/>
  <c r="K100" i="1"/>
  <c r="K101" i="1"/>
  <c r="F102" i="1"/>
  <c r="K67" i="11" s="1"/>
  <c r="K103" i="1"/>
  <c r="K104" i="1"/>
  <c r="K105" i="1"/>
  <c r="K68" i="11"/>
  <c r="K107" i="1"/>
  <c r="K108" i="1"/>
  <c r="K109" i="1"/>
  <c r="K110" i="1"/>
  <c r="K112" i="1"/>
  <c r="K113" i="1"/>
  <c r="K114" i="1"/>
  <c r="K115" i="1"/>
  <c r="K116" i="1"/>
  <c r="U20" i="18"/>
  <c r="D200" i="4"/>
  <c r="D22" i="2"/>
  <c r="D32" i="2"/>
  <c r="D33" i="2" s="1"/>
  <c r="C21" i="2"/>
  <c r="D16" i="2"/>
  <c r="E16" i="2" s="1"/>
  <c r="C205" i="2"/>
  <c r="D147" i="4"/>
  <c r="D55" i="4"/>
  <c r="I15" i="8" s="1"/>
  <c r="D105" i="4"/>
  <c r="I23" i="8" s="1"/>
  <c r="E131" i="4"/>
  <c r="E123" i="4"/>
  <c r="E142" i="4"/>
  <c r="H101" i="16"/>
  <c r="C10" i="22"/>
  <c r="C14" i="22"/>
  <c r="G60" i="16" l="1"/>
  <c r="D31" i="2"/>
  <c r="B10" i="21"/>
  <c r="C10" i="21"/>
  <c r="C11" i="21"/>
  <c r="B17" i="21"/>
  <c r="C17" i="21"/>
  <c r="B11" i="21"/>
  <c r="C32" i="21"/>
  <c r="V25" i="18"/>
  <c r="G25" i="18" s="1"/>
  <c r="C219" i="2"/>
  <c r="D214" i="4"/>
  <c r="D92" i="2"/>
  <c r="G27" i="1"/>
  <c r="C18" i="8"/>
  <c r="C224" i="2"/>
  <c r="C217" i="2"/>
  <c r="C7" i="22"/>
  <c r="C67" i="2"/>
  <c r="C137" i="2" s="1"/>
  <c r="C207" i="2" s="1"/>
  <c r="E230" i="4"/>
  <c r="D82" i="2"/>
  <c r="D83" i="2" s="1"/>
  <c r="D78" i="2"/>
  <c r="C14" i="8" s="1"/>
  <c r="C17" i="8"/>
  <c r="C68" i="2"/>
  <c r="D35" i="8"/>
  <c r="D36" i="8" s="1"/>
  <c r="D19" i="8" s="1"/>
  <c r="C32" i="8"/>
  <c r="C33" i="8" s="1"/>
  <c r="C12" i="8" s="1"/>
  <c r="D38" i="8"/>
  <c r="D39" i="8" s="1"/>
  <c r="D26" i="8" s="1"/>
  <c r="E200" i="2" s="1"/>
  <c r="E201" i="2" s="1"/>
  <c r="B29" i="8"/>
  <c r="E133" i="14"/>
  <c r="D161" i="2"/>
  <c r="D228" i="4"/>
  <c r="D66" i="4"/>
  <c r="D52" i="4"/>
  <c r="H63" i="1"/>
  <c r="D78" i="4"/>
  <c r="D159" i="4" s="1"/>
  <c r="D240" i="4" s="1"/>
  <c r="D119" i="4"/>
  <c r="D73" i="4"/>
  <c r="D192" i="2"/>
  <c r="D193" i="2" s="1"/>
  <c r="D162" i="2"/>
  <c r="D163" i="2" s="1"/>
  <c r="D112" i="2"/>
  <c r="D113" i="2" s="1"/>
  <c r="D42" i="2"/>
  <c r="D43" i="2" s="1"/>
  <c r="D235" i="4"/>
  <c r="I37" i="8"/>
  <c r="D182" i="2"/>
  <c r="D183" i="2" s="1"/>
  <c r="F41" i="11"/>
  <c r="E29" i="2"/>
  <c r="E32" i="2" s="1"/>
  <c r="E33" i="2" s="1"/>
  <c r="D48" i="2"/>
  <c r="C11" i="8" s="1"/>
  <c r="D52" i="2"/>
  <c r="D53" i="2" s="1"/>
  <c r="D188" i="2"/>
  <c r="C25" i="8" s="1"/>
  <c r="E133" i="2"/>
  <c r="C66" i="2"/>
  <c r="E186" i="2"/>
  <c r="E109" i="2"/>
  <c r="E112" i="2" s="1"/>
  <c r="E113" i="2" s="1"/>
  <c r="D191" i="2"/>
  <c r="D28" i="2"/>
  <c r="C9" i="8" s="1"/>
  <c r="E26" i="2"/>
  <c r="E28" i="2" s="1"/>
  <c r="D9" i="8" s="1"/>
  <c r="E58" i="2"/>
  <c r="D122" i="2"/>
  <c r="D123" i="2" s="1"/>
  <c r="D121" i="2"/>
  <c r="D62" i="2"/>
  <c r="E179" i="2"/>
  <c r="E182" i="2" s="1"/>
  <c r="E183" i="2" s="1"/>
  <c r="D51" i="2"/>
  <c r="D31" i="15"/>
  <c r="H23" i="15" s="1"/>
  <c r="E33" i="12"/>
  <c r="E22" i="2"/>
  <c r="E23" i="2" s="1"/>
  <c r="D171" i="2"/>
  <c r="G117" i="14"/>
  <c r="G123" i="14" s="1"/>
  <c r="H17" i="18"/>
  <c r="I6" i="18"/>
  <c r="I17" i="18" s="1"/>
  <c r="F7" i="19"/>
  <c r="F43" i="19" s="1"/>
  <c r="H119" i="15"/>
  <c r="H126" i="15" s="1"/>
  <c r="E59" i="14"/>
  <c r="G59" i="14" s="1"/>
  <c r="G14" i="1"/>
  <c r="E3" i="19" s="1"/>
  <c r="E132" i="4"/>
  <c r="E129" i="4" s="1"/>
  <c r="J27" i="8" s="1"/>
  <c r="D126" i="4"/>
  <c r="E58" i="4"/>
  <c r="E55" i="4" s="1"/>
  <c r="J15" i="8" s="1"/>
  <c r="E192" i="4"/>
  <c r="E191" i="4" s="1"/>
  <c r="J37" i="8" s="1"/>
  <c r="J15" i="16"/>
  <c r="J61" i="16"/>
  <c r="E225" i="4"/>
  <c r="E204" i="4"/>
  <c r="E197" i="4"/>
  <c r="E42" i="4"/>
  <c r="E37" i="4"/>
  <c r="D231" i="4"/>
  <c r="I43" i="8" s="1"/>
  <c r="E177" i="4"/>
  <c r="E176" i="4" s="1"/>
  <c r="J34" i="8" s="1"/>
  <c r="E106" i="4"/>
  <c r="D48" i="4"/>
  <c r="I14" i="8" s="1"/>
  <c r="E39" i="2"/>
  <c r="E42" i="2" s="1"/>
  <c r="E46" i="2"/>
  <c r="E119" i="2"/>
  <c r="E122" i="2" s="1"/>
  <c r="E96" i="2"/>
  <c r="E101" i="2" s="1"/>
  <c r="D98" i="2"/>
  <c r="C16" i="8" s="1"/>
  <c r="S51" i="18"/>
  <c r="E66" i="11"/>
  <c r="E69" i="12"/>
  <c r="D85" i="19"/>
  <c r="J50" i="1"/>
  <c r="J41" i="16"/>
  <c r="J48" i="16"/>
  <c r="J89" i="1"/>
  <c r="J74" i="1"/>
  <c r="E116" i="4"/>
  <c r="E17" i="4"/>
  <c r="E65" i="4"/>
  <c r="I115" i="15"/>
  <c r="I117" i="15" s="1"/>
  <c r="E76" i="2"/>
  <c r="E153" i="4"/>
  <c r="I36" i="8"/>
  <c r="E111" i="4"/>
  <c r="D81" i="2"/>
  <c r="E56" i="2"/>
  <c r="E215" i="2" s="1"/>
  <c r="E86" i="2"/>
  <c r="I22" i="8"/>
  <c r="K65" i="12"/>
  <c r="E151" i="4"/>
  <c r="K27" i="12"/>
  <c r="C11" i="22"/>
  <c r="F21" i="22" s="1"/>
  <c r="H12" i="16"/>
  <c r="K41" i="16" s="1"/>
  <c r="E187" i="4"/>
  <c r="J102" i="1"/>
  <c r="C16" i="22"/>
  <c r="I24" i="22" s="1"/>
  <c r="J69" i="16"/>
  <c r="J41" i="1"/>
  <c r="D88" i="2"/>
  <c r="C15" i="8" s="1"/>
  <c r="D3" i="22"/>
  <c r="D11" i="22" s="1"/>
  <c r="J102" i="16"/>
  <c r="D154" i="4"/>
  <c r="E213" i="4"/>
  <c r="E22" i="4"/>
  <c r="E70" i="4"/>
  <c r="C15" i="22"/>
  <c r="H23" i="22" s="1"/>
  <c r="J87" i="16"/>
  <c r="J31" i="16"/>
  <c r="J95" i="1"/>
  <c r="E220" i="4"/>
  <c r="D12" i="4"/>
  <c r="C12" i="22"/>
  <c r="E49" i="2"/>
  <c r="E52" i="2" s="1"/>
  <c r="E53" i="2" s="1"/>
  <c r="J106" i="1"/>
  <c r="C13" i="22"/>
  <c r="C8" i="22"/>
  <c r="E20" i="22" s="1"/>
  <c r="D221" i="4"/>
  <c r="H38" i="11"/>
  <c r="F86" i="11" s="1"/>
  <c r="F77" i="11" s="1"/>
  <c r="E96" i="4"/>
  <c r="E63" i="4"/>
  <c r="D45" i="4"/>
  <c r="L67" i="19"/>
  <c r="I21" i="8"/>
  <c r="E206" i="4"/>
  <c r="E101" i="4"/>
  <c r="E100" i="4" s="1"/>
  <c r="J22" i="8" s="1"/>
  <c r="I33" i="8"/>
  <c r="E146" i="4"/>
  <c r="E143" i="4" s="1"/>
  <c r="J29" i="8" s="1"/>
  <c r="E18" i="19"/>
  <c r="H31" i="1"/>
  <c r="U21" i="18"/>
  <c r="O34" i="18"/>
  <c r="M9" i="19" s="1"/>
  <c r="F4" i="19"/>
  <c r="E4" i="19"/>
  <c r="K67" i="19"/>
  <c r="P67" i="19"/>
  <c r="H67" i="19"/>
  <c r="I67" i="19"/>
  <c r="H113" i="14"/>
  <c r="H114" i="14" s="1"/>
  <c r="H83" i="15"/>
  <c r="H90" i="15" s="1"/>
  <c r="H181" i="15"/>
  <c r="I79" i="15"/>
  <c r="I83" i="15" s="1"/>
  <c r="E33" i="15"/>
  <c r="I25" i="15" s="1"/>
  <c r="I33" i="15" s="1"/>
  <c r="D33" i="15"/>
  <c r="W20" i="18"/>
  <c r="E67" i="11"/>
  <c r="K68" i="12"/>
  <c r="F47" i="16"/>
  <c r="E65" i="11"/>
  <c r="C31" i="15"/>
  <c r="I23" i="15" s="1"/>
  <c r="I31" i="15" s="1"/>
  <c r="G141" i="15"/>
  <c r="G155" i="15" s="1"/>
  <c r="H117" i="15"/>
  <c r="G135" i="15"/>
  <c r="H81" i="15"/>
  <c r="L99" i="15"/>
  <c r="N67" i="19"/>
  <c r="U23" i="18"/>
  <c r="U22" i="18"/>
  <c r="F67" i="19"/>
  <c r="D12" i="2"/>
  <c r="E9" i="21" s="1"/>
  <c r="E211" i="4"/>
  <c r="D129" i="4"/>
  <c r="I27" i="8" s="1"/>
  <c r="E51" i="4"/>
  <c r="E227" i="4"/>
  <c r="H27" i="1"/>
  <c r="H26" i="1" s="1"/>
  <c r="G26" i="1"/>
  <c r="H98" i="15"/>
  <c r="H134" i="15" s="1"/>
  <c r="J15" i="19"/>
  <c r="H38" i="12"/>
  <c r="F77" i="12" s="1"/>
  <c r="F87" i="12" s="1"/>
  <c r="H60" i="16"/>
  <c r="D32" i="15"/>
  <c r="H24" i="15" s="1"/>
  <c r="L25" i="15"/>
  <c r="L26" i="15" s="1"/>
  <c r="W29" i="15"/>
  <c r="O29" i="15"/>
  <c r="P29" i="15"/>
  <c r="V29" i="15"/>
  <c r="N29" i="15"/>
  <c r="T29" i="15"/>
  <c r="L29" i="15"/>
  <c r="S29" i="15"/>
  <c r="K29" i="15"/>
  <c r="K30" i="15" s="1"/>
  <c r="R29" i="15"/>
  <c r="U29" i="15"/>
  <c r="M29" i="15"/>
  <c r="Q29" i="15"/>
  <c r="G27" i="16"/>
  <c r="E48" i="15"/>
  <c r="G48" i="15" s="1"/>
  <c r="C32" i="15"/>
  <c r="I42" i="15" s="1"/>
  <c r="H101" i="15"/>
  <c r="H108" i="15" s="1"/>
  <c r="E99" i="2"/>
  <c r="E102" i="2" s="1"/>
  <c r="E169" i="2"/>
  <c r="E172" i="2" s="1"/>
  <c r="E167" i="2"/>
  <c r="E79" i="2"/>
  <c r="E82" i="2" s="1"/>
  <c r="D168" i="2"/>
  <c r="C23" i="8" s="1"/>
  <c r="E117" i="2"/>
  <c r="E85" i="14"/>
  <c r="E137" i="14" s="1"/>
  <c r="E151" i="14" s="1"/>
  <c r="I41" i="14"/>
  <c r="U27" i="14"/>
  <c r="AD163" i="14" s="1"/>
  <c r="AE163" i="14" s="1"/>
  <c r="AF163" i="14" s="1"/>
  <c r="R27" i="14"/>
  <c r="U163" i="14" s="1"/>
  <c r="V27" i="14"/>
  <c r="AG163" i="14" s="1"/>
  <c r="AH163" i="14" s="1"/>
  <c r="AI163" i="14" s="1"/>
  <c r="W27" i="14"/>
  <c r="AJ163" i="14" s="1"/>
  <c r="AK163" i="14" s="1"/>
  <c r="AL163" i="14" s="1"/>
  <c r="S27" i="14"/>
  <c r="X163" i="14" s="1"/>
  <c r="T27" i="14"/>
  <c r="AA163" i="14" s="1"/>
  <c r="Q27" i="14"/>
  <c r="R163" i="14" s="1"/>
  <c r="I22" i="14"/>
  <c r="I31" i="14" s="1"/>
  <c r="F81" i="14"/>
  <c r="F179" i="14"/>
  <c r="H99" i="14"/>
  <c r="I95" i="14"/>
  <c r="I116" i="14"/>
  <c r="G77" i="14"/>
  <c r="G79" i="14" s="1"/>
  <c r="G131" i="14" s="1"/>
  <c r="L27" i="14"/>
  <c r="C163" i="14" s="1"/>
  <c r="K27" i="14"/>
  <c r="N27" i="14"/>
  <c r="I163" i="14" s="1"/>
  <c r="L23" i="14"/>
  <c r="L24" i="14" s="1"/>
  <c r="O67" i="19"/>
  <c r="H116" i="16"/>
  <c r="K66" i="12"/>
  <c r="H93" i="16"/>
  <c r="H78" i="16"/>
  <c r="E198" i="4"/>
  <c r="E27" i="4"/>
  <c r="D115" i="4"/>
  <c r="I25" i="8" s="1"/>
  <c r="C75" i="4"/>
  <c r="C156" i="4" s="1"/>
  <c r="C237" i="4" s="1"/>
  <c r="D18" i="2"/>
  <c r="C8" i="8" s="1"/>
  <c r="D91" i="2"/>
  <c r="H107" i="1"/>
  <c r="E77" i="2"/>
  <c r="H77" i="16"/>
  <c r="H68" i="16"/>
  <c r="H53" i="16"/>
  <c r="H42" i="16"/>
  <c r="E234" i="4"/>
  <c r="I35" i="8"/>
  <c r="E37" i="2"/>
  <c r="J67" i="19"/>
  <c r="E43" i="19"/>
  <c r="E168" i="4"/>
  <c r="E49" i="4"/>
  <c r="E219" i="4"/>
  <c r="D69" i="4"/>
  <c r="I17" i="8" s="1"/>
  <c r="I19" i="8"/>
  <c r="E91" i="4"/>
  <c r="E90" i="4" s="1"/>
  <c r="J20" i="8" s="1"/>
  <c r="G83" i="1"/>
  <c r="D21" i="2"/>
  <c r="E72" i="4"/>
  <c r="H71" i="16"/>
  <c r="E86" i="4"/>
  <c r="E85" i="4" s="1"/>
  <c r="J19" i="8" s="1"/>
  <c r="E144" i="4"/>
  <c r="D31" i="4"/>
  <c r="I11" i="8" s="1"/>
  <c r="J111" i="1"/>
  <c r="J38" i="1"/>
  <c r="E159" i="2"/>
  <c r="E162" i="2" s="1"/>
  <c r="H44" i="16"/>
  <c r="J38" i="16"/>
  <c r="E212" i="4"/>
  <c r="E205" i="4"/>
  <c r="E199" i="4"/>
  <c r="E172" i="4"/>
  <c r="E125" i="4"/>
  <c r="E126" i="4" s="1"/>
  <c r="E118" i="4"/>
  <c r="B66" i="15"/>
  <c r="G22" i="18"/>
  <c r="E60" i="19" s="1"/>
  <c r="E61" i="19" s="1"/>
  <c r="E53" i="14"/>
  <c r="G53" i="14" s="1"/>
  <c r="K90" i="19"/>
  <c r="K27" i="11"/>
  <c r="H40" i="14"/>
  <c r="F65" i="14"/>
  <c r="E46" i="14"/>
  <c r="G46" i="14" s="1"/>
  <c r="E65" i="14"/>
  <c r="H75" i="1"/>
  <c r="H88" i="1"/>
  <c r="H37" i="1"/>
  <c r="H88" i="16"/>
  <c r="H37" i="16"/>
  <c r="H100" i="16"/>
  <c r="H76" i="16"/>
  <c r="H45" i="16"/>
  <c r="H113" i="16"/>
  <c r="G83" i="16"/>
  <c r="H75" i="16"/>
  <c r="H40" i="16"/>
  <c r="G89" i="16"/>
  <c r="H47" i="12" s="1"/>
  <c r="H107" i="16"/>
  <c r="H103" i="16"/>
  <c r="H85" i="16"/>
  <c r="H83" i="16" s="1"/>
  <c r="G69" i="16"/>
  <c r="H57" i="16"/>
  <c r="H80" i="16"/>
  <c r="H56" i="16"/>
  <c r="H46" i="16"/>
  <c r="H110" i="16"/>
  <c r="H55" i="16"/>
  <c r="C162" i="4"/>
  <c r="H73" i="16"/>
  <c r="H58" i="16"/>
  <c r="H110" i="1"/>
  <c r="H101" i="1"/>
  <c r="H91" i="1"/>
  <c r="H34" i="1"/>
  <c r="H112" i="1"/>
  <c r="H70" i="1"/>
  <c r="H93" i="1"/>
  <c r="H16" i="1"/>
  <c r="S16" i="19"/>
  <c r="H16" i="16"/>
  <c r="E233" i="4"/>
  <c r="E173" i="4"/>
  <c r="E124" i="4"/>
  <c r="E97" i="4"/>
  <c r="E95" i="4" s="1"/>
  <c r="J21" i="8" s="1"/>
  <c r="E64" i="4"/>
  <c r="E43" i="4"/>
  <c r="E18" i="4"/>
  <c r="D173" i="2"/>
  <c r="E157" i="2"/>
  <c r="D153" i="2"/>
  <c r="D93" i="2"/>
  <c r="D62" i="4"/>
  <c r="I16" i="8" s="1"/>
  <c r="G74" i="16"/>
  <c r="H48" i="12" s="1"/>
  <c r="D21" i="4"/>
  <c r="I9" i="8" s="1"/>
  <c r="C158" i="4"/>
  <c r="C239" i="4" s="1"/>
  <c r="J61" i="1"/>
  <c r="D23" i="2"/>
  <c r="O27" i="14"/>
  <c r="L163" i="14" s="1"/>
  <c r="H97" i="1"/>
  <c r="G106" i="16"/>
  <c r="G95" i="16"/>
  <c r="H92" i="16"/>
  <c r="E112" i="4"/>
  <c r="E137" i="4"/>
  <c r="D196" i="4"/>
  <c r="I38" i="8" s="1"/>
  <c r="E166" i="2"/>
  <c r="E171" i="2" s="1"/>
  <c r="E89" i="2"/>
  <c r="E92" i="2" s="1"/>
  <c r="H112" i="16"/>
  <c r="H108" i="16"/>
  <c r="H104" i="16"/>
  <c r="H72" i="16"/>
  <c r="E130" i="4"/>
  <c r="E54" i="15"/>
  <c r="G54" i="15" s="1"/>
  <c r="E218" i="4"/>
  <c r="D111" i="2"/>
  <c r="E188" i="4"/>
  <c r="B65" i="14"/>
  <c r="H73" i="1"/>
  <c r="H115" i="16"/>
  <c r="H91" i="16"/>
  <c r="H51" i="16"/>
  <c r="H17" i="16"/>
  <c r="E26" i="4"/>
  <c r="J10" i="8" s="1"/>
  <c r="E106" i="2"/>
  <c r="E111" i="2" s="1"/>
  <c r="E176" i="2"/>
  <c r="E178" i="2" s="1"/>
  <c r="D24" i="8" s="1"/>
  <c r="M27" i="14"/>
  <c r="F163" i="14" s="1"/>
  <c r="E182" i="4"/>
  <c r="E181" i="4" s="1"/>
  <c r="J35" i="8" s="1"/>
  <c r="H104" i="1"/>
  <c r="E87" i="2"/>
  <c r="G102" i="16"/>
  <c r="H94" i="16"/>
  <c r="H90" i="16"/>
  <c r="H66" i="16"/>
  <c r="H61" i="16" s="1"/>
  <c r="H54" i="16"/>
  <c r="D166" i="4"/>
  <c r="I32" i="8" s="1"/>
  <c r="E139" i="4"/>
  <c r="D77" i="4"/>
  <c r="D102" i="2"/>
  <c r="D103" i="2" s="1"/>
  <c r="G67" i="19"/>
  <c r="G98" i="16"/>
  <c r="U83" i="19" s="1"/>
  <c r="H65" i="16"/>
  <c r="G15" i="16"/>
  <c r="E59" i="15"/>
  <c r="G59" i="15" s="1"/>
  <c r="P27" i="14"/>
  <c r="E44" i="4"/>
  <c r="E38" i="4"/>
  <c r="H12" i="1"/>
  <c r="K111" i="1" s="1"/>
  <c r="H66" i="1"/>
  <c r="I34" i="8"/>
  <c r="E107" i="4"/>
  <c r="E105" i="4" s="1"/>
  <c r="J23" i="8" s="1"/>
  <c r="K65" i="11"/>
  <c r="H71" i="1"/>
  <c r="M67" i="19"/>
  <c r="E23" i="19"/>
  <c r="H81" i="16"/>
  <c r="H64" i="16"/>
  <c r="H43" i="16"/>
  <c r="I20" i="8"/>
  <c r="E23" i="4"/>
  <c r="D16" i="4"/>
  <c r="I8" i="8" s="1"/>
  <c r="E232" i="4"/>
  <c r="E32" i="4"/>
  <c r="E31" i="4" s="1"/>
  <c r="J11" i="8" s="1"/>
  <c r="D110" i="4"/>
  <c r="I24" i="8" s="1"/>
  <c r="E36" i="2"/>
  <c r="E38" i="2" s="1"/>
  <c r="D10" i="8" s="1"/>
  <c r="E187" i="2"/>
  <c r="H21" i="14"/>
  <c r="H30" i="14" s="1"/>
  <c r="F88" i="19"/>
  <c r="N47" i="18"/>
  <c r="E52" i="14"/>
  <c r="G52" i="14" s="1"/>
  <c r="Q27" i="18"/>
  <c r="O70" i="19" s="1"/>
  <c r="O71" i="19" s="1"/>
  <c r="I81" i="19"/>
  <c r="L82" i="19"/>
  <c r="B74" i="11"/>
  <c r="N80" i="19"/>
  <c r="O91" i="19"/>
  <c r="F89" i="19"/>
  <c r="Q89" i="19" s="1"/>
  <c r="F87" i="19"/>
  <c r="E21" i="2"/>
  <c r="E97" i="2"/>
  <c r="D158" i="2"/>
  <c r="C22" i="8" s="1"/>
  <c r="D41" i="2"/>
  <c r="D181" i="2"/>
  <c r="E116" i="2"/>
  <c r="D65" i="2"/>
  <c r="D135" i="2" s="1"/>
  <c r="D205" i="2" s="1"/>
  <c r="D148" i="2"/>
  <c r="C21" i="8" s="1"/>
  <c r="E146" i="2"/>
  <c r="D178" i="2"/>
  <c r="C24" i="8" s="1"/>
  <c r="E149" i="2"/>
  <c r="E152" i="2" s="1"/>
  <c r="E153" i="2" s="1"/>
  <c r="E156" i="2"/>
  <c r="E189" i="2"/>
  <c r="E192" i="2" s="1"/>
  <c r="D38" i="2"/>
  <c r="C10" i="8" s="1"/>
  <c r="H114" i="1"/>
  <c r="H82" i="1"/>
  <c r="G106" i="1"/>
  <c r="H113" i="1"/>
  <c r="H108" i="1"/>
  <c r="H94" i="1"/>
  <c r="H81" i="1"/>
  <c r="H68" i="1"/>
  <c r="H103" i="1"/>
  <c r="K66" i="11"/>
  <c r="H17" i="14" s="1"/>
  <c r="H18" i="14" s="1"/>
  <c r="H115" i="1"/>
  <c r="H65" i="1"/>
  <c r="D60" i="18"/>
  <c r="E56" i="4"/>
  <c r="D26" i="4"/>
  <c r="I10" i="8" s="1"/>
  <c r="D207" i="4"/>
  <c r="H36" i="8"/>
  <c r="H19" i="8"/>
  <c r="H12" i="8"/>
  <c r="E152" i="4"/>
  <c r="D140" i="4"/>
  <c r="E117" i="4"/>
  <c r="C76" i="4"/>
  <c r="C157" i="4" s="1"/>
  <c r="C238" i="4" s="1"/>
  <c r="D203" i="4"/>
  <c r="I39" i="8" s="1"/>
  <c r="E167" i="4"/>
  <c r="D224" i="4"/>
  <c r="I42" i="8" s="1"/>
  <c r="H16" i="19"/>
  <c r="H109" i="16"/>
  <c r="H99" i="16"/>
  <c r="G79" i="16"/>
  <c r="G41" i="16"/>
  <c r="H97" i="16"/>
  <c r="H95" i="16" s="1"/>
  <c r="E47" i="14"/>
  <c r="G47" i="14" s="1"/>
  <c r="G23" i="14"/>
  <c r="G32" i="14" s="1"/>
  <c r="I23" i="14"/>
  <c r="I32" i="14" s="1"/>
  <c r="I21" i="14"/>
  <c r="I30" i="14" s="1"/>
  <c r="H23" i="14"/>
  <c r="H32" i="14" s="1"/>
  <c r="H39" i="14"/>
  <c r="I39" i="14"/>
  <c r="G21" i="14"/>
  <c r="G30" i="14" s="1"/>
  <c r="G41" i="14"/>
  <c r="G39" i="14"/>
  <c r="E54" i="14"/>
  <c r="G54" i="14" s="1"/>
  <c r="E48" i="14"/>
  <c r="G48" i="14" s="1"/>
  <c r="G41" i="15"/>
  <c r="H43" i="15"/>
  <c r="E53" i="15"/>
  <c r="G53" i="15" s="1"/>
  <c r="G23" i="15"/>
  <c r="G31" i="15" s="1"/>
  <c r="E50" i="15"/>
  <c r="G50" i="15" s="1"/>
  <c r="E55" i="15"/>
  <c r="G55" i="15" s="1"/>
  <c r="E49" i="15"/>
  <c r="G25" i="15"/>
  <c r="G33" i="15" s="1"/>
  <c r="G42" i="15"/>
  <c r="G24" i="15"/>
  <c r="B35" i="15"/>
  <c r="D58" i="15"/>
  <c r="F40" i="12"/>
  <c r="P90" i="19"/>
  <c r="H22" i="14"/>
  <c r="H31" i="14" s="1"/>
  <c r="G40" i="14"/>
  <c r="D57" i="14"/>
  <c r="G22" i="14"/>
  <c r="G31" i="14" s="1"/>
  <c r="D9" i="21"/>
  <c r="D16" i="21"/>
  <c r="E92" i="19"/>
  <c r="L92" i="19"/>
  <c r="D26" i="21"/>
  <c r="K92" i="19"/>
  <c r="D31" i="21"/>
  <c r="J92" i="19"/>
  <c r="F92" i="19"/>
  <c r="F65" i="15"/>
  <c r="F66" i="15" s="1"/>
  <c r="G66" i="15" s="1"/>
  <c r="I92" i="19"/>
  <c r="C9" i="17"/>
  <c r="D9" i="17" s="1"/>
  <c r="E9" i="17" s="1"/>
  <c r="H14" i="17" s="1"/>
  <c r="I90" i="19"/>
  <c r="N92" i="19"/>
  <c r="D62" i="17"/>
  <c r="J90" i="19"/>
  <c r="O92" i="19"/>
  <c r="H92" i="19"/>
  <c r="J15" i="1"/>
  <c r="J69" i="1"/>
  <c r="J63" i="1"/>
  <c r="J98" i="1"/>
  <c r="H92" i="1"/>
  <c r="H72" i="1"/>
  <c r="G15" i="19"/>
  <c r="E90" i="19"/>
  <c r="E82" i="17"/>
  <c r="H116" i="1"/>
  <c r="G48" i="1"/>
  <c r="G47" i="1" s="1"/>
  <c r="D61" i="17"/>
  <c r="L90" i="19"/>
  <c r="M92" i="19"/>
  <c r="D21" i="17"/>
  <c r="J31" i="1"/>
  <c r="J48" i="1"/>
  <c r="H100" i="1"/>
  <c r="H78" i="1"/>
  <c r="F90" i="19"/>
  <c r="N90" i="19"/>
  <c r="G111" i="1"/>
  <c r="W42" i="18" s="1"/>
  <c r="H42" i="18" s="1"/>
  <c r="S42" i="18" s="1"/>
  <c r="G90" i="19"/>
  <c r="M90" i="19"/>
  <c r="P92" i="19"/>
  <c r="E55" i="17"/>
  <c r="E61" i="17" s="1"/>
  <c r="C72" i="2"/>
  <c r="J79" i="1"/>
  <c r="J87" i="1"/>
  <c r="H99" i="1"/>
  <c r="H39" i="1"/>
  <c r="O90" i="19"/>
  <c r="H109" i="1"/>
  <c r="H90" i="19"/>
  <c r="G41" i="1"/>
  <c r="H105" i="1"/>
  <c r="G102" i="1"/>
  <c r="O27" i="18"/>
  <c r="M70" i="19" s="1"/>
  <c r="M71" i="19" s="1"/>
  <c r="H96" i="1"/>
  <c r="G95" i="1"/>
  <c r="H64" i="1"/>
  <c r="M80" i="19"/>
  <c r="H90" i="1"/>
  <c r="G89" i="1"/>
  <c r="H77" i="1"/>
  <c r="H83" i="1"/>
  <c r="G15" i="1"/>
  <c r="H17" i="1"/>
  <c r="D51" i="17"/>
  <c r="E44" i="17"/>
  <c r="E51" i="17" s="1"/>
  <c r="E71" i="17"/>
  <c r="D41" i="17"/>
  <c r="D71" i="17"/>
  <c r="C84" i="17"/>
  <c r="E34" i="17"/>
  <c r="E41" i="17" s="1"/>
  <c r="E20" i="17"/>
  <c r="E21" i="17"/>
  <c r="E30" i="17"/>
  <c r="E31" i="17"/>
  <c r="D20" i="17"/>
  <c r="D31" i="17"/>
  <c r="D72" i="17"/>
  <c r="D85" i="17"/>
  <c r="D50" i="17"/>
  <c r="E72" i="17"/>
  <c r="E81" i="17"/>
  <c r="D81" i="17"/>
  <c r="D40" i="17"/>
  <c r="D82" i="17"/>
  <c r="D11" i="17"/>
  <c r="D30" i="17"/>
  <c r="U84" i="19" l="1"/>
  <c r="E84" i="19" s="1"/>
  <c r="E66" i="19"/>
  <c r="H74" i="1"/>
  <c r="H69" i="1"/>
  <c r="W18" i="18"/>
  <c r="V18" i="18" s="1"/>
  <c r="D219" i="2"/>
  <c r="C221" i="2"/>
  <c r="C29" i="8"/>
  <c r="D217" i="2"/>
  <c r="D224" i="2"/>
  <c r="J6" i="18"/>
  <c r="F2" i="22" s="1"/>
  <c r="F17" i="22" s="1"/>
  <c r="E2" i="22"/>
  <c r="E17" i="22" s="1"/>
  <c r="E188" i="2"/>
  <c r="D25" i="8" s="1"/>
  <c r="D67" i="2"/>
  <c r="D137" i="2" s="1"/>
  <c r="D207" i="2" s="1"/>
  <c r="D221" i="2" s="1"/>
  <c r="E130" i="2"/>
  <c r="E131" i="2" s="1"/>
  <c r="G7" i="19"/>
  <c r="G53" i="19" s="1"/>
  <c r="F44" i="12"/>
  <c r="D32" i="8"/>
  <c r="D33" i="8" s="1"/>
  <c r="D12" i="8" s="1"/>
  <c r="F86" i="14"/>
  <c r="F138" i="14" s="1"/>
  <c r="F152" i="14" s="1"/>
  <c r="E59" i="4"/>
  <c r="K102" i="16"/>
  <c r="G43" i="15"/>
  <c r="E200" i="4"/>
  <c r="E73" i="4"/>
  <c r="E36" i="4"/>
  <c r="J12" i="8" s="1"/>
  <c r="E78" i="4"/>
  <c r="E159" i="4" s="1"/>
  <c r="E240" i="4" s="1"/>
  <c r="E154" i="4"/>
  <c r="E150" i="4"/>
  <c r="J30" i="8" s="1"/>
  <c r="E140" i="4"/>
  <c r="E136" i="4"/>
  <c r="J28" i="8" s="1"/>
  <c r="E119" i="4"/>
  <c r="E207" i="4"/>
  <c r="E228" i="4"/>
  <c r="E221" i="4"/>
  <c r="E214" i="4"/>
  <c r="E147" i="4"/>
  <c r="E133" i="4"/>
  <c r="E66" i="4"/>
  <c r="E52" i="4"/>
  <c r="H32" i="15"/>
  <c r="H42" i="15"/>
  <c r="I24" i="15"/>
  <c r="I32" i="15" s="1"/>
  <c r="E88" i="2"/>
  <c r="D15" i="8" s="1"/>
  <c r="E98" i="2"/>
  <c r="D16" i="8" s="1"/>
  <c r="C69" i="2"/>
  <c r="F41" i="12"/>
  <c r="E217" i="4"/>
  <c r="J41" i="8" s="1"/>
  <c r="E21" i="4"/>
  <c r="J9" i="8" s="1"/>
  <c r="E235" i="4"/>
  <c r="H41" i="11"/>
  <c r="E51" i="2"/>
  <c r="E62" i="2"/>
  <c r="E63" i="2" s="1"/>
  <c r="E222" i="2" s="1"/>
  <c r="E191" i="2"/>
  <c r="C138" i="2"/>
  <c r="C208" i="2" s="1"/>
  <c r="E31" i="2"/>
  <c r="E123" i="2"/>
  <c r="R16" i="19"/>
  <c r="R17" i="19" s="1"/>
  <c r="R18" i="19" s="1"/>
  <c r="R19" i="19" s="1"/>
  <c r="R20" i="19" s="1"/>
  <c r="W33" i="18"/>
  <c r="Q33" i="18" s="1"/>
  <c r="O8" i="19" s="1"/>
  <c r="D63" i="2"/>
  <c r="D222" i="2" s="1"/>
  <c r="W46" i="18"/>
  <c r="Q46" i="18" s="1"/>
  <c r="F53" i="19"/>
  <c r="H31" i="15"/>
  <c r="H25" i="15"/>
  <c r="H33" i="15" s="1"/>
  <c r="E45" i="4"/>
  <c r="H117" i="14"/>
  <c r="H124" i="14" s="1"/>
  <c r="K38" i="12"/>
  <c r="G77" i="12" s="1"/>
  <c r="G87" i="12" s="1"/>
  <c r="F23" i="19"/>
  <c r="I43" i="15"/>
  <c r="E110" i="4"/>
  <c r="J24" i="8" s="1"/>
  <c r="H14" i="1"/>
  <c r="T16" i="19" s="1"/>
  <c r="T17" i="19" s="1"/>
  <c r="T18" i="19" s="1"/>
  <c r="T19" i="19" s="1"/>
  <c r="T20" i="19" s="1"/>
  <c r="E43" i="2"/>
  <c r="E67" i="2" s="1"/>
  <c r="G166" i="4"/>
  <c r="E26" i="21"/>
  <c r="E12" i="4"/>
  <c r="E168" i="2"/>
  <c r="D23" i="8" s="1"/>
  <c r="K48" i="16"/>
  <c r="K31" i="16"/>
  <c r="K87" i="16"/>
  <c r="I119" i="15"/>
  <c r="I127" i="15" s="1"/>
  <c r="K69" i="16"/>
  <c r="J115" i="15"/>
  <c r="J117" i="15" s="1"/>
  <c r="K15" i="16"/>
  <c r="K38" i="16"/>
  <c r="K61" i="16"/>
  <c r="E48" i="2"/>
  <c r="D11" i="8" s="1"/>
  <c r="H41" i="15"/>
  <c r="I41" i="15"/>
  <c r="E224" i="4"/>
  <c r="J42" i="8" s="1"/>
  <c r="E16" i="4"/>
  <c r="J8" i="8" s="1"/>
  <c r="H14" i="16"/>
  <c r="U16" i="19" s="1"/>
  <c r="E103" i="2"/>
  <c r="E93" i="2"/>
  <c r="E91" i="2"/>
  <c r="H48" i="11"/>
  <c r="K48" i="1"/>
  <c r="F48" i="11"/>
  <c r="H83" i="19"/>
  <c r="Q87" i="19"/>
  <c r="G115" i="4"/>
  <c r="R14" i="19"/>
  <c r="R30" i="19" s="1"/>
  <c r="D142" i="2"/>
  <c r="E16" i="21"/>
  <c r="E62" i="4"/>
  <c r="J16" i="8" s="1"/>
  <c r="G15" i="2"/>
  <c r="G145" i="2" s="1"/>
  <c r="E122" i="4"/>
  <c r="J26" i="8" s="1"/>
  <c r="E210" i="4"/>
  <c r="J40" i="8" s="1"/>
  <c r="E115" i="4"/>
  <c r="J25" i="8" s="1"/>
  <c r="D72" i="2"/>
  <c r="E171" i="4"/>
  <c r="J33" i="8" s="1"/>
  <c r="D14" i="22"/>
  <c r="D7" i="22"/>
  <c r="E3" i="22"/>
  <c r="E7" i="22" s="1"/>
  <c r="D8" i="22"/>
  <c r="D12" i="22"/>
  <c r="D13" i="22"/>
  <c r="D15" i="22"/>
  <c r="D9" i="22"/>
  <c r="D16" i="22"/>
  <c r="J24" i="22" s="1"/>
  <c r="D10" i="22"/>
  <c r="G21" i="22" s="1"/>
  <c r="E31" i="21"/>
  <c r="G41" i="4"/>
  <c r="D81" i="4"/>
  <c r="D162" i="4"/>
  <c r="G16" i="4"/>
  <c r="G85" i="4" s="1"/>
  <c r="G196" i="4"/>
  <c r="E186" i="4"/>
  <c r="J36" i="8" s="1"/>
  <c r="E78" i="2"/>
  <c r="D14" i="8" s="1"/>
  <c r="E81" i="2"/>
  <c r="G22" i="22"/>
  <c r="S25" i="18"/>
  <c r="E203" i="4"/>
  <c r="J39" i="8" s="1"/>
  <c r="E48" i="4"/>
  <c r="J14" i="8" s="1"/>
  <c r="E108" i="2"/>
  <c r="D17" i="8" s="1"/>
  <c r="E173" i="2"/>
  <c r="H18" i="8"/>
  <c r="H31" i="8" s="1"/>
  <c r="H44" i="8" s="1"/>
  <c r="H46" i="8" s="1"/>
  <c r="G30" i="1"/>
  <c r="H17" i="19"/>
  <c r="H18" i="19" s="1"/>
  <c r="H19" i="19" s="1"/>
  <c r="H20" i="19" s="1"/>
  <c r="E19" i="19"/>
  <c r="E20" i="19" s="1"/>
  <c r="P23" i="18"/>
  <c r="N62" i="19" s="1"/>
  <c r="N63" i="19" s="1"/>
  <c r="F28" i="1"/>
  <c r="H100" i="15"/>
  <c r="H133" i="15" s="1"/>
  <c r="J79" i="15"/>
  <c r="J81" i="15" s="1"/>
  <c r="I173" i="15"/>
  <c r="J174" i="15"/>
  <c r="K175" i="15"/>
  <c r="I165" i="15"/>
  <c r="J165" i="15" s="1"/>
  <c r="K165" i="15" s="1"/>
  <c r="F170" i="15"/>
  <c r="F200" i="15" s="1"/>
  <c r="G171" i="15"/>
  <c r="G201" i="15" s="1"/>
  <c r="H172" i="15"/>
  <c r="H202" i="15" s="1"/>
  <c r="F165" i="15"/>
  <c r="G165" i="15" s="1"/>
  <c r="H165" i="15" s="1"/>
  <c r="L165" i="15"/>
  <c r="M165" i="15" s="1"/>
  <c r="L176" i="15"/>
  <c r="M177" i="15"/>
  <c r="B165" i="15"/>
  <c r="B166" i="15"/>
  <c r="B196" i="15" s="1"/>
  <c r="C165" i="15"/>
  <c r="D165" i="15" s="1"/>
  <c r="E165" i="15" s="1"/>
  <c r="C167" i="15"/>
  <c r="C197" i="15" s="1"/>
  <c r="D168" i="15"/>
  <c r="D198" i="15" s="1"/>
  <c r="E169" i="15"/>
  <c r="E199" i="15" s="1"/>
  <c r="C35" i="15"/>
  <c r="I81" i="15"/>
  <c r="H98" i="16"/>
  <c r="W36" i="18"/>
  <c r="E41" i="2"/>
  <c r="W29" i="18"/>
  <c r="P29" i="18" s="1"/>
  <c r="W28" i="18"/>
  <c r="O28" i="18" s="1"/>
  <c r="W26" i="18"/>
  <c r="I26" i="18" s="1"/>
  <c r="G68" i="19" s="1"/>
  <c r="G69" i="19" s="1"/>
  <c r="H47" i="11"/>
  <c r="W24" i="18"/>
  <c r="I24" i="18" s="1"/>
  <c r="G64" i="19" s="1"/>
  <c r="G65" i="19" s="1"/>
  <c r="L20" i="18"/>
  <c r="J56" i="19" s="1"/>
  <c r="J57" i="19" s="1"/>
  <c r="I80" i="19"/>
  <c r="H80" i="19"/>
  <c r="H142" i="15"/>
  <c r="H156" i="15" s="1"/>
  <c r="H135" i="15"/>
  <c r="I97" i="15"/>
  <c r="M99" i="15"/>
  <c r="H111" i="1"/>
  <c r="F133" i="14"/>
  <c r="H115" i="14"/>
  <c r="I113" i="14"/>
  <c r="I115" i="14" s="1"/>
  <c r="I99" i="14"/>
  <c r="I107" i="14" s="1"/>
  <c r="I97" i="14"/>
  <c r="H97" i="14"/>
  <c r="I22" i="18"/>
  <c r="G60" i="19" s="1"/>
  <c r="G61" i="19" s="1"/>
  <c r="N22" i="18"/>
  <c r="L60" i="19" s="1"/>
  <c r="L61" i="19" s="1"/>
  <c r="R22" i="18"/>
  <c r="P60" i="19" s="1"/>
  <c r="P61" i="19" s="1"/>
  <c r="K22" i="18"/>
  <c r="I60" i="19" s="1"/>
  <c r="I61" i="19" s="1"/>
  <c r="V27" i="18"/>
  <c r="H79" i="16"/>
  <c r="E166" i="4"/>
  <c r="J32" i="8" s="1"/>
  <c r="J22" i="18"/>
  <c r="H60" i="19" s="1"/>
  <c r="H61" i="19" s="1"/>
  <c r="V22" i="18"/>
  <c r="M22" i="18"/>
  <c r="K60" i="19" s="1"/>
  <c r="K61" i="19" s="1"/>
  <c r="Q22" i="18"/>
  <c r="O60" i="19" s="1"/>
  <c r="O61" i="19" s="1"/>
  <c r="L22" i="18"/>
  <c r="J60" i="19" s="1"/>
  <c r="J61" i="19" s="1"/>
  <c r="H22" i="18"/>
  <c r="F60" i="19" s="1"/>
  <c r="F61" i="19" s="1"/>
  <c r="E77" i="4"/>
  <c r="H111" i="16"/>
  <c r="H74" i="16"/>
  <c r="K48" i="12" s="1"/>
  <c r="H69" i="16"/>
  <c r="H41" i="16"/>
  <c r="H34" i="14"/>
  <c r="G34" i="14"/>
  <c r="I34" i="14"/>
  <c r="O22" i="18"/>
  <c r="M60" i="19" s="1"/>
  <c r="M61" i="19" s="1"/>
  <c r="P22" i="18"/>
  <c r="N60" i="19" s="1"/>
  <c r="N61" i="19" s="1"/>
  <c r="J80" i="19"/>
  <c r="H27" i="16"/>
  <c r="H26" i="16" s="1"/>
  <c r="G26" i="16"/>
  <c r="W50" i="18" s="1"/>
  <c r="H41" i="14"/>
  <c r="H43" i="14" s="1"/>
  <c r="R30" i="15"/>
  <c r="R31" i="15" s="1"/>
  <c r="U164" i="15" s="1"/>
  <c r="U165" i="15"/>
  <c r="O30" i="15"/>
  <c r="O31" i="15" s="1"/>
  <c r="L164" i="15" s="1"/>
  <c r="N178" i="15"/>
  <c r="W30" i="15"/>
  <c r="W31" i="15" s="1"/>
  <c r="AJ164" i="15" s="1"/>
  <c r="AJ182" i="15" s="1"/>
  <c r="AJ165" i="15"/>
  <c r="AK165" i="15" s="1"/>
  <c r="AL165" i="15" s="1"/>
  <c r="S30" i="15"/>
  <c r="S31" i="15" s="1"/>
  <c r="X164" i="15" s="1"/>
  <c r="X165" i="15"/>
  <c r="L30" i="15"/>
  <c r="L31" i="15" s="1"/>
  <c r="C164" i="15" s="1"/>
  <c r="T30" i="15"/>
  <c r="T31" i="15" s="1"/>
  <c r="AA164" i="15" s="1"/>
  <c r="AA165" i="15"/>
  <c r="Q30" i="15"/>
  <c r="Q31" i="15" s="1"/>
  <c r="R164" i="15" s="1"/>
  <c r="R165" i="15"/>
  <c r="N30" i="15"/>
  <c r="N31" i="15" s="1"/>
  <c r="I164" i="15" s="1"/>
  <c r="M30" i="15"/>
  <c r="M31" i="15" s="1"/>
  <c r="F164" i="15" s="1"/>
  <c r="V30" i="15"/>
  <c r="V31" i="15" s="1"/>
  <c r="AG164" i="15" s="1"/>
  <c r="AG182" i="15" s="1"/>
  <c r="AG165" i="15"/>
  <c r="AH165" i="15" s="1"/>
  <c r="AI165" i="15" s="1"/>
  <c r="U30" i="15"/>
  <c r="U31" i="15" s="1"/>
  <c r="AD164" i="15" s="1"/>
  <c r="AD165" i="15"/>
  <c r="AE165" i="15" s="1"/>
  <c r="AF165" i="15" s="1"/>
  <c r="P30" i="15"/>
  <c r="P31" i="15" s="1"/>
  <c r="O164" i="15" s="1"/>
  <c r="O165" i="15"/>
  <c r="G65" i="15"/>
  <c r="G68" i="15" s="1"/>
  <c r="F59" i="16" s="1"/>
  <c r="D35" i="15"/>
  <c r="K31" i="15"/>
  <c r="B164" i="15" s="1"/>
  <c r="E35" i="15"/>
  <c r="I91" i="15"/>
  <c r="E83" i="2"/>
  <c r="E18" i="2"/>
  <c r="D8" i="8" s="1"/>
  <c r="B13" i="8"/>
  <c r="B20" i="8" s="1"/>
  <c r="B27" i="8" s="1"/>
  <c r="B30" i="8" s="1"/>
  <c r="P28" i="14"/>
  <c r="P29" i="14" s="1"/>
  <c r="O162" i="14" s="1"/>
  <c r="O180" i="14" s="1"/>
  <c r="O163" i="14"/>
  <c r="Y163" i="14"/>
  <c r="S163" i="14"/>
  <c r="AB163" i="14"/>
  <c r="AC163" i="14" s="1"/>
  <c r="M163" i="14"/>
  <c r="D163" i="14"/>
  <c r="V163" i="14"/>
  <c r="G163" i="14"/>
  <c r="J163" i="14"/>
  <c r="O28" i="14"/>
  <c r="O29" i="14" s="1"/>
  <c r="L162" i="14" s="1"/>
  <c r="M175" i="14"/>
  <c r="N176" i="14"/>
  <c r="L174" i="14"/>
  <c r="N28" i="14"/>
  <c r="N29" i="14" s="1"/>
  <c r="I162" i="14" s="1"/>
  <c r="K173" i="14"/>
  <c r="J172" i="14"/>
  <c r="I171" i="14"/>
  <c r="H170" i="14"/>
  <c r="F168" i="14"/>
  <c r="G169" i="14"/>
  <c r="L28" i="14"/>
  <c r="L29" i="14" s="1"/>
  <c r="C162" i="14" s="1"/>
  <c r="E167" i="14"/>
  <c r="E197" i="14" s="1"/>
  <c r="D166" i="14"/>
  <c r="D196" i="14" s="1"/>
  <c r="C165" i="14"/>
  <c r="C195" i="14" s="1"/>
  <c r="Q28" i="14"/>
  <c r="Q29" i="14" s="1"/>
  <c r="R162" i="14" s="1"/>
  <c r="T28" i="14"/>
  <c r="T29" i="14" s="1"/>
  <c r="AA162" i="14" s="1"/>
  <c r="S28" i="14"/>
  <c r="S29" i="14" s="1"/>
  <c r="X162" i="14" s="1"/>
  <c r="W28" i="14"/>
  <c r="W29" i="14" s="1"/>
  <c r="AJ162" i="14" s="1"/>
  <c r="V28" i="14"/>
  <c r="V29" i="14" s="1"/>
  <c r="AG162" i="14" s="1"/>
  <c r="R28" i="14"/>
  <c r="R29" i="14" s="1"/>
  <c r="U162" i="14" s="1"/>
  <c r="M28" i="14"/>
  <c r="M29" i="14" s="1"/>
  <c r="F162" i="14" s="1"/>
  <c r="U28" i="14"/>
  <c r="U29" i="14" s="1"/>
  <c r="AD162" i="14" s="1"/>
  <c r="I40" i="14"/>
  <c r="I43" i="14" s="1"/>
  <c r="J95" i="14"/>
  <c r="H106" i="14"/>
  <c r="G179" i="14"/>
  <c r="G81" i="14"/>
  <c r="J116" i="14"/>
  <c r="H77" i="14"/>
  <c r="K28" i="14"/>
  <c r="K29" i="14" s="1"/>
  <c r="H79" i="1"/>
  <c r="R20" i="18"/>
  <c r="P56" i="19" s="1"/>
  <c r="P57" i="19" s="1"/>
  <c r="Q20" i="18"/>
  <c r="O56" i="19" s="1"/>
  <c r="O57" i="19" s="1"/>
  <c r="H102" i="16"/>
  <c r="E65" i="2"/>
  <c r="E135" i="2" s="1"/>
  <c r="E205" i="2" s="1"/>
  <c r="K98" i="1"/>
  <c r="K38" i="1"/>
  <c r="E162" i="4"/>
  <c r="E196" i="4"/>
  <c r="J38" i="8" s="1"/>
  <c r="E69" i="4"/>
  <c r="J17" i="8" s="1"/>
  <c r="E163" i="2"/>
  <c r="E231" i="4"/>
  <c r="J43" i="8" s="1"/>
  <c r="F3" i="14"/>
  <c r="F5" i="14" s="1"/>
  <c r="G3" i="14" s="1"/>
  <c r="G5" i="14" s="1"/>
  <c r="V20" i="18"/>
  <c r="L83" i="19"/>
  <c r="G83" i="19"/>
  <c r="P83" i="19"/>
  <c r="P47" i="18"/>
  <c r="H95" i="1"/>
  <c r="J82" i="19"/>
  <c r="N82" i="19"/>
  <c r="P91" i="19"/>
  <c r="L91" i="19"/>
  <c r="O20" i="18"/>
  <c r="M56" i="19" s="1"/>
  <c r="M57" i="19" s="1"/>
  <c r="H15" i="16"/>
  <c r="S17" i="19"/>
  <c r="S18" i="19" s="1"/>
  <c r="S19" i="19" s="1"/>
  <c r="S20" i="19" s="1"/>
  <c r="I20" i="18"/>
  <c r="G56" i="19" s="1"/>
  <c r="G57" i="19" s="1"/>
  <c r="K20" i="18"/>
  <c r="I56" i="19" s="1"/>
  <c r="I57" i="19" s="1"/>
  <c r="F80" i="19"/>
  <c r="J20" i="18"/>
  <c r="H56" i="19" s="1"/>
  <c r="H57" i="19" s="1"/>
  <c r="H89" i="16"/>
  <c r="K47" i="12" s="1"/>
  <c r="H20" i="18"/>
  <c r="F56" i="19" s="1"/>
  <c r="F57" i="19" s="1"/>
  <c r="E80" i="19"/>
  <c r="G48" i="16"/>
  <c r="H48" i="16"/>
  <c r="K27" i="18"/>
  <c r="I70" i="19" s="1"/>
  <c r="I71" i="19" s="1"/>
  <c r="H106" i="16"/>
  <c r="H15" i="1"/>
  <c r="K50" i="1"/>
  <c r="K102" i="1"/>
  <c r="K31" i="1"/>
  <c r="K41" i="1"/>
  <c r="K89" i="1"/>
  <c r="K74" i="1"/>
  <c r="K34" i="18"/>
  <c r="I9" i="19" s="1"/>
  <c r="N34" i="18"/>
  <c r="L9" i="19" s="1"/>
  <c r="G34" i="18"/>
  <c r="E9" i="19" s="1"/>
  <c r="P34" i="18"/>
  <c r="N9" i="19" s="1"/>
  <c r="J34" i="18"/>
  <c r="H9" i="19" s="1"/>
  <c r="H34" i="18"/>
  <c r="F9" i="19" s="1"/>
  <c r="L34" i="18"/>
  <c r="J9" i="19" s="1"/>
  <c r="M34" i="18"/>
  <c r="K9" i="19" s="1"/>
  <c r="H41" i="1"/>
  <c r="I27" i="18"/>
  <c r="G70" i="19" s="1"/>
  <c r="G71" i="19" s="1"/>
  <c r="J27" i="18"/>
  <c r="H70" i="19" s="1"/>
  <c r="H71" i="19" s="1"/>
  <c r="N83" i="19"/>
  <c r="O83" i="19"/>
  <c r="N81" i="19"/>
  <c r="P27" i="18"/>
  <c r="N70" i="19" s="1"/>
  <c r="N71" i="19" s="1"/>
  <c r="E193" i="2"/>
  <c r="E181" i="2"/>
  <c r="K106" i="1"/>
  <c r="K79" i="1"/>
  <c r="K95" i="1"/>
  <c r="E12" i="2"/>
  <c r="K63" i="1"/>
  <c r="K69" i="1"/>
  <c r="K87" i="1"/>
  <c r="K38" i="11"/>
  <c r="K15" i="1"/>
  <c r="K61" i="1"/>
  <c r="M27" i="18"/>
  <c r="K70" i="19" s="1"/>
  <c r="K71" i="19" s="1"/>
  <c r="E81" i="19"/>
  <c r="E41" i="4"/>
  <c r="J13" i="8" s="1"/>
  <c r="T83" i="19"/>
  <c r="J83" i="19"/>
  <c r="G27" i="18"/>
  <c r="E70" i="19" s="1"/>
  <c r="H102" i="1"/>
  <c r="H27" i="18"/>
  <c r="F70" i="19" s="1"/>
  <c r="F71" i="19" s="1"/>
  <c r="F83" i="19"/>
  <c r="U24" i="18"/>
  <c r="R27" i="18"/>
  <c r="P70" i="19" s="1"/>
  <c r="P71" i="19" s="1"/>
  <c r="M83" i="19"/>
  <c r="J81" i="19"/>
  <c r="D75" i="4"/>
  <c r="D156" i="4" s="1"/>
  <c r="D237" i="4" s="1"/>
  <c r="N27" i="18"/>
  <c r="L70" i="19" s="1"/>
  <c r="L71" i="19" s="1"/>
  <c r="I83" i="19"/>
  <c r="E83" i="19"/>
  <c r="K83" i="19"/>
  <c r="L27" i="18"/>
  <c r="J70" i="19" s="1"/>
  <c r="J71" i="19" s="1"/>
  <c r="K82" i="19"/>
  <c r="O81" i="19"/>
  <c r="T81" i="19"/>
  <c r="I82" i="19"/>
  <c r="P82" i="19"/>
  <c r="E91" i="19"/>
  <c r="E86" i="19" s="1"/>
  <c r="M82" i="19"/>
  <c r="M91" i="19"/>
  <c r="I91" i="19"/>
  <c r="K91" i="19"/>
  <c r="K81" i="19"/>
  <c r="E57" i="14"/>
  <c r="J91" i="19"/>
  <c r="E82" i="19"/>
  <c r="H91" i="19"/>
  <c r="F91" i="19"/>
  <c r="L81" i="19"/>
  <c r="H81" i="19"/>
  <c r="N91" i="19"/>
  <c r="G82" i="19"/>
  <c r="E50" i="14"/>
  <c r="M81" i="19"/>
  <c r="O82" i="19"/>
  <c r="F82" i="19"/>
  <c r="G91" i="19"/>
  <c r="H82" i="19"/>
  <c r="T82" i="19"/>
  <c r="P80" i="19"/>
  <c r="Q47" i="18"/>
  <c r="M20" i="18"/>
  <c r="K56" i="19" s="1"/>
  <c r="K57" i="19" s="1"/>
  <c r="N20" i="18"/>
  <c r="L56" i="19" s="1"/>
  <c r="L57" i="19" s="1"/>
  <c r="L80" i="19"/>
  <c r="G20" i="18"/>
  <c r="E56" i="19" s="1"/>
  <c r="P81" i="19"/>
  <c r="G81" i="19"/>
  <c r="F81" i="19"/>
  <c r="G80" i="19"/>
  <c r="O80" i="19"/>
  <c r="K80" i="19"/>
  <c r="P20" i="18"/>
  <c r="N56" i="19" s="1"/>
  <c r="N57" i="19" s="1"/>
  <c r="O47" i="18"/>
  <c r="M47" i="18"/>
  <c r="L47" i="18"/>
  <c r="H47" i="18"/>
  <c r="I47" i="18"/>
  <c r="R47" i="18"/>
  <c r="G47" i="18"/>
  <c r="J47" i="18"/>
  <c r="K47" i="18"/>
  <c r="E161" i="2"/>
  <c r="E158" i="2"/>
  <c r="D22" i="8" s="1"/>
  <c r="E151" i="2"/>
  <c r="E148" i="2"/>
  <c r="D21" i="8" s="1"/>
  <c r="E118" i="2"/>
  <c r="D18" i="8" s="1"/>
  <c r="E121" i="2"/>
  <c r="H89" i="1"/>
  <c r="K47" i="11" s="1"/>
  <c r="H106" i="1"/>
  <c r="H98" i="1"/>
  <c r="E58" i="15"/>
  <c r="E51" i="15"/>
  <c r="G61" i="15"/>
  <c r="F7" i="15" s="1"/>
  <c r="F9" i="15" s="1"/>
  <c r="G7" i="15" s="1"/>
  <c r="G45" i="15"/>
  <c r="F43" i="12"/>
  <c r="F128" i="16"/>
  <c r="E81" i="12" s="1"/>
  <c r="F124" i="16"/>
  <c r="D76" i="4"/>
  <c r="D157" i="4" s="1"/>
  <c r="D238" i="4" s="1"/>
  <c r="D158" i="4"/>
  <c r="D239" i="4" s="1"/>
  <c r="H44" i="12" s="1"/>
  <c r="Q34" i="18"/>
  <c r="O9" i="19" s="1"/>
  <c r="I34" i="18"/>
  <c r="G9" i="19" s="1"/>
  <c r="E65" i="12"/>
  <c r="R34" i="18"/>
  <c r="P9" i="19" s="1"/>
  <c r="H26" i="14"/>
  <c r="G60" i="14"/>
  <c r="F7" i="14" s="1"/>
  <c r="F9" i="14" s="1"/>
  <c r="I26" i="14"/>
  <c r="G43" i="14"/>
  <c r="G26" i="14"/>
  <c r="G49" i="15"/>
  <c r="G32" i="15"/>
  <c r="G35" i="15" s="1"/>
  <c r="I27" i="15"/>
  <c r="E40" i="17"/>
  <c r="E62" i="17"/>
  <c r="E84" i="17" s="1"/>
  <c r="H28" i="16" s="1"/>
  <c r="G14" i="17"/>
  <c r="G44" i="17" s="1"/>
  <c r="C86" i="17"/>
  <c r="F33" i="16" s="1"/>
  <c r="D84" i="17"/>
  <c r="G28" i="1" s="1"/>
  <c r="E85" i="17"/>
  <c r="Q92" i="19"/>
  <c r="F28" i="16"/>
  <c r="Q90" i="19"/>
  <c r="E11" i="17"/>
  <c r="K40" i="11" s="1"/>
  <c r="E50" i="17"/>
  <c r="H47" i="1"/>
  <c r="Q88" i="19"/>
  <c r="H40" i="11"/>
  <c r="H40" i="12"/>
  <c r="H65" i="17"/>
  <c r="H44" i="17"/>
  <c r="H34" i="17"/>
  <c r="H55" i="17"/>
  <c r="H75" i="17"/>
  <c r="H24" i="17"/>
  <c r="G59" i="16" l="1"/>
  <c r="H46" i="12" s="1"/>
  <c r="K84" i="19"/>
  <c r="N50" i="18"/>
  <c r="H50" i="18"/>
  <c r="G50" i="18"/>
  <c r="H7" i="19"/>
  <c r="H23" i="19" s="1"/>
  <c r="J17" i="18"/>
  <c r="K6" i="18"/>
  <c r="G2" i="22" s="1"/>
  <c r="G17" i="22" s="1"/>
  <c r="E219" i="2"/>
  <c r="D29" i="8"/>
  <c r="E217" i="2"/>
  <c r="E224" i="2"/>
  <c r="G75" i="2"/>
  <c r="G23" i="19"/>
  <c r="G43" i="19"/>
  <c r="E137" i="2"/>
  <c r="E207" i="2" s="1"/>
  <c r="E221" i="2" s="1"/>
  <c r="E15" i="22"/>
  <c r="E16" i="22"/>
  <c r="K24" i="22" s="1"/>
  <c r="D44" i="19"/>
  <c r="G133" i="14"/>
  <c r="I18" i="8"/>
  <c r="I31" i="8" s="1"/>
  <c r="I44" i="8" s="1"/>
  <c r="I46" i="8" s="1"/>
  <c r="K115" i="15"/>
  <c r="K117" i="15" s="1"/>
  <c r="H45" i="15"/>
  <c r="H35" i="15"/>
  <c r="O10" i="19"/>
  <c r="O11" i="19" s="1"/>
  <c r="J33" i="18"/>
  <c r="H8" i="19" s="1"/>
  <c r="H10" i="19" s="1"/>
  <c r="H11" i="19" s="1"/>
  <c r="H33" i="18"/>
  <c r="F8" i="19" s="1"/>
  <c r="F10" i="19" s="1"/>
  <c r="F14" i="19" s="1"/>
  <c r="K33" i="18"/>
  <c r="I8" i="19" s="1"/>
  <c r="I10" i="19" s="1"/>
  <c r="I14" i="19" s="1"/>
  <c r="H41" i="12"/>
  <c r="V11" i="18" s="1"/>
  <c r="F26" i="21"/>
  <c r="H166" i="4"/>
  <c r="H115" i="4"/>
  <c r="F31" i="21"/>
  <c r="E81" i="4"/>
  <c r="H196" i="4"/>
  <c r="H41" i="4"/>
  <c r="K41" i="11"/>
  <c r="N33" i="18"/>
  <c r="L8" i="19" s="1"/>
  <c r="L10" i="19" s="1"/>
  <c r="L14" i="19" s="1"/>
  <c r="P33" i="18"/>
  <c r="N8" i="19" s="1"/>
  <c r="N10" i="19" s="1"/>
  <c r="N12" i="19" s="1"/>
  <c r="R33" i="18"/>
  <c r="P8" i="19" s="1"/>
  <c r="P10" i="19" s="1"/>
  <c r="P14" i="19" s="1"/>
  <c r="O33" i="18"/>
  <c r="M8" i="19" s="1"/>
  <c r="M10" i="19" s="1"/>
  <c r="M14" i="19" s="1"/>
  <c r="I33" i="18"/>
  <c r="G8" i="19" s="1"/>
  <c r="G10" i="19" s="1"/>
  <c r="G14" i="19" s="1"/>
  <c r="G33" i="18"/>
  <c r="E8" i="19" s="1"/>
  <c r="E10" i="19" s="1"/>
  <c r="M33" i="18"/>
  <c r="K8" i="19" s="1"/>
  <c r="K10" i="19" s="1"/>
  <c r="K12" i="19" s="1"/>
  <c r="L33" i="18"/>
  <c r="J8" i="19" s="1"/>
  <c r="J10" i="19" s="1"/>
  <c r="J11" i="19" s="1"/>
  <c r="E60" i="2"/>
  <c r="D68" i="2"/>
  <c r="D138" i="2" s="1"/>
  <c r="D208" i="2" s="1"/>
  <c r="H44" i="11" s="1"/>
  <c r="E68" i="2"/>
  <c r="E138" i="2" s="1"/>
  <c r="E208" i="2" s="1"/>
  <c r="K44" i="11" s="1"/>
  <c r="F44" i="11"/>
  <c r="C136" i="2"/>
  <c r="C206" i="2" s="1"/>
  <c r="C218" i="2" s="1"/>
  <c r="C220" i="2" s="1"/>
  <c r="M46" i="18"/>
  <c r="J46" i="18"/>
  <c r="O46" i="18"/>
  <c r="N46" i="18"/>
  <c r="H46" i="18"/>
  <c r="K46" i="18"/>
  <c r="I46" i="18"/>
  <c r="L46" i="18"/>
  <c r="R46" i="18"/>
  <c r="P46" i="18"/>
  <c r="G46" i="18"/>
  <c r="G6" i="14"/>
  <c r="C13" i="8"/>
  <c r="C20" i="8" s="1"/>
  <c r="C27" i="8" s="1"/>
  <c r="C30" i="8" s="1"/>
  <c r="H16" i="4"/>
  <c r="H85" i="4" s="1"/>
  <c r="J119" i="15"/>
  <c r="J128" i="15" s="1"/>
  <c r="I45" i="15"/>
  <c r="F42" i="12"/>
  <c r="F129" i="16" s="1"/>
  <c r="F130" i="16" s="1"/>
  <c r="E158" i="4"/>
  <c r="E239" i="4" s="1"/>
  <c r="K44" i="12" s="1"/>
  <c r="C58" i="15"/>
  <c r="E61" i="15"/>
  <c r="C57" i="14"/>
  <c r="E60" i="14"/>
  <c r="K24" i="11" s="1"/>
  <c r="K48" i="11"/>
  <c r="F20" i="22"/>
  <c r="H22" i="22"/>
  <c r="I29" i="18"/>
  <c r="K29" i="18"/>
  <c r="N29" i="18"/>
  <c r="I23" i="22"/>
  <c r="E11" i="22"/>
  <c r="V24" i="18"/>
  <c r="E14" i="22"/>
  <c r="E8" i="22"/>
  <c r="E12" i="22"/>
  <c r="E13" i="22"/>
  <c r="F3" i="22"/>
  <c r="E10" i="22"/>
  <c r="E9" i="22"/>
  <c r="L50" i="18"/>
  <c r="I50" i="18"/>
  <c r="F84" i="19"/>
  <c r="G84" i="19"/>
  <c r="N84" i="19"/>
  <c r="P84" i="19"/>
  <c r="M84" i="19"/>
  <c r="T84" i="19"/>
  <c r="R50" i="18"/>
  <c r="J50" i="18"/>
  <c r="O84" i="19"/>
  <c r="H23" i="18"/>
  <c r="F62" i="19" s="1"/>
  <c r="F63" i="19" s="1"/>
  <c r="Q66" i="19"/>
  <c r="E67" i="19"/>
  <c r="K79" i="15"/>
  <c r="K81" i="15" s="1"/>
  <c r="J83" i="15"/>
  <c r="J92" i="15" s="1"/>
  <c r="G29" i="18"/>
  <c r="L29" i="18"/>
  <c r="N23" i="18"/>
  <c r="L62" i="19" s="1"/>
  <c r="L63" i="19" s="1"/>
  <c r="R23" i="18"/>
  <c r="P62" i="19" s="1"/>
  <c r="P63" i="19" s="1"/>
  <c r="I23" i="18"/>
  <c r="G62" i="19" s="1"/>
  <c r="G63" i="19" s="1"/>
  <c r="O23" i="18"/>
  <c r="M62" i="19" s="1"/>
  <c r="M63" i="19" s="1"/>
  <c r="Q23" i="18"/>
  <c r="O62" i="19" s="1"/>
  <c r="O63" i="19" s="1"/>
  <c r="G26" i="18"/>
  <c r="E68" i="19" s="1"/>
  <c r="E69" i="19" s="1"/>
  <c r="L23" i="18"/>
  <c r="J62" i="19" s="1"/>
  <c r="J63" i="19" s="1"/>
  <c r="J23" i="18"/>
  <c r="H62" i="19" s="1"/>
  <c r="H63" i="19" s="1"/>
  <c r="G23" i="18"/>
  <c r="E62" i="19" s="1"/>
  <c r="E63" i="19" s="1"/>
  <c r="R26" i="18"/>
  <c r="P68" i="19" s="1"/>
  <c r="P69" i="19" s="1"/>
  <c r="M23" i="18"/>
  <c r="K62" i="19" s="1"/>
  <c r="K63" i="19" s="1"/>
  <c r="V23" i="18"/>
  <c r="K23" i="18"/>
  <c r="I62" i="19" s="1"/>
  <c r="I63" i="19" s="1"/>
  <c r="L84" i="19"/>
  <c r="Q50" i="18"/>
  <c r="K50" i="18"/>
  <c r="P50" i="18"/>
  <c r="H84" i="19"/>
  <c r="I84" i="19"/>
  <c r="O50" i="18"/>
  <c r="M50" i="18"/>
  <c r="J84" i="19"/>
  <c r="P28" i="18"/>
  <c r="V28" i="18"/>
  <c r="R28" i="18"/>
  <c r="H28" i="18"/>
  <c r="G28" i="18"/>
  <c r="L28" i="18"/>
  <c r="J29" i="18"/>
  <c r="V29" i="18"/>
  <c r="M29" i="18"/>
  <c r="R29" i="18"/>
  <c r="O29" i="18"/>
  <c r="J26" i="18"/>
  <c r="H68" i="19" s="1"/>
  <c r="H69" i="19" s="1"/>
  <c r="G30" i="16"/>
  <c r="P26" i="18"/>
  <c r="N68" i="19" s="1"/>
  <c r="N69" i="19" s="1"/>
  <c r="V26" i="18"/>
  <c r="K26" i="18"/>
  <c r="I68" i="19" s="1"/>
  <c r="I69" i="19" s="1"/>
  <c r="Q26" i="18"/>
  <c r="O68" i="19" s="1"/>
  <c r="O69" i="19" s="1"/>
  <c r="O26" i="18"/>
  <c r="M68" i="19" s="1"/>
  <c r="M69" i="19" s="1"/>
  <c r="L26" i="18"/>
  <c r="J68" i="19" s="1"/>
  <c r="J69" i="19" s="1"/>
  <c r="M26" i="18"/>
  <c r="K68" i="19" s="1"/>
  <c r="K69" i="19" s="1"/>
  <c r="W35" i="18"/>
  <c r="I101" i="15"/>
  <c r="I135" i="15" s="1"/>
  <c r="I100" i="15"/>
  <c r="I133" i="15" s="1"/>
  <c r="I117" i="14"/>
  <c r="I125" i="14" s="1"/>
  <c r="R24" i="18"/>
  <c r="P64" i="19" s="1"/>
  <c r="P65" i="19" s="1"/>
  <c r="O24" i="18"/>
  <c r="M64" i="19" s="1"/>
  <c r="M65" i="19" s="1"/>
  <c r="H24" i="18"/>
  <c r="F64" i="19" s="1"/>
  <c r="F65" i="19" s="1"/>
  <c r="J24" i="18"/>
  <c r="H64" i="19" s="1"/>
  <c r="H65" i="19" s="1"/>
  <c r="K24" i="18"/>
  <c r="I64" i="19" s="1"/>
  <c r="I65" i="19" s="1"/>
  <c r="Q24" i="18"/>
  <c r="O64" i="19" s="1"/>
  <c r="O65" i="19" s="1"/>
  <c r="L24" i="18"/>
  <c r="J64" i="19" s="1"/>
  <c r="J65" i="19" s="1"/>
  <c r="G24" i="18"/>
  <c r="E64" i="19" s="1"/>
  <c r="E65" i="19" s="1"/>
  <c r="B182" i="15"/>
  <c r="B183" i="15" s="1"/>
  <c r="C163" i="15"/>
  <c r="D163" i="15" s="1"/>
  <c r="J97" i="15"/>
  <c r="J101" i="15" s="1"/>
  <c r="I181" i="15"/>
  <c r="G164" i="15"/>
  <c r="F182" i="15"/>
  <c r="L182" i="15"/>
  <c r="M164" i="15"/>
  <c r="M182" i="15" s="1"/>
  <c r="J164" i="15"/>
  <c r="I182" i="15"/>
  <c r="C182" i="15"/>
  <c r="D164" i="15"/>
  <c r="L36" i="18"/>
  <c r="J25" i="19" s="1"/>
  <c r="O36" i="18"/>
  <c r="M25" i="19" s="1"/>
  <c r="K36" i="18"/>
  <c r="I25" i="19" s="1"/>
  <c r="Q36" i="18"/>
  <c r="O25" i="19" s="1"/>
  <c r="J36" i="18"/>
  <c r="H25" i="19" s="1"/>
  <c r="R36" i="18"/>
  <c r="P25" i="19" s="1"/>
  <c r="H36" i="18"/>
  <c r="F25" i="19" s="1"/>
  <c r="P36" i="18"/>
  <c r="N25" i="19" s="1"/>
  <c r="G36" i="18"/>
  <c r="I36" i="18"/>
  <c r="G25" i="19" s="1"/>
  <c r="N36" i="18"/>
  <c r="L25" i="19" s="1"/>
  <c r="M36" i="18"/>
  <c r="K25" i="19" s="1"/>
  <c r="Q29" i="18"/>
  <c r="H29" i="18"/>
  <c r="P24" i="18"/>
  <c r="N64" i="19" s="1"/>
  <c r="N65" i="19" s="1"/>
  <c r="N24" i="18"/>
  <c r="L64" i="19" s="1"/>
  <c r="L65" i="19" s="1"/>
  <c r="M24" i="18"/>
  <c r="K64" i="19" s="1"/>
  <c r="K65" i="19" s="1"/>
  <c r="F198" i="14"/>
  <c r="K28" i="18"/>
  <c r="M28" i="18"/>
  <c r="I28" i="18"/>
  <c r="J28" i="18"/>
  <c r="Q28" i="18"/>
  <c r="N28" i="18"/>
  <c r="H26" i="18"/>
  <c r="F68" i="19" s="1"/>
  <c r="F69" i="19" s="1"/>
  <c r="N26" i="18"/>
  <c r="L68" i="19" s="1"/>
  <c r="L69" i="19" s="1"/>
  <c r="N99" i="15"/>
  <c r="O99" i="15" s="1"/>
  <c r="F3" i="15"/>
  <c r="F5" i="15" s="1"/>
  <c r="J113" i="14"/>
  <c r="J115" i="14" s="1"/>
  <c r="J99" i="14"/>
  <c r="J108" i="14" s="1"/>
  <c r="J97" i="14"/>
  <c r="S22" i="18"/>
  <c r="F10" i="14"/>
  <c r="Q60" i="19"/>
  <c r="H59" i="16"/>
  <c r="K46" i="12" s="1"/>
  <c r="F36" i="1"/>
  <c r="AH164" i="15"/>
  <c r="AH182" i="15" s="1"/>
  <c r="P165" i="15"/>
  <c r="S165" i="15"/>
  <c r="U182" i="15"/>
  <c r="V164" i="15"/>
  <c r="Y165" i="15"/>
  <c r="Z165" i="15" s="1"/>
  <c r="P164" i="15"/>
  <c r="O182" i="15"/>
  <c r="AB165" i="15"/>
  <c r="AC165" i="15" s="1"/>
  <c r="AA182" i="15"/>
  <c r="AB164" i="15"/>
  <c r="S164" i="15"/>
  <c r="R182" i="15"/>
  <c r="AD182" i="15"/>
  <c r="AE164" i="15"/>
  <c r="V165" i="15"/>
  <c r="X182" i="15"/>
  <c r="Y164" i="15"/>
  <c r="AK164" i="15"/>
  <c r="AK182" i="15" s="1"/>
  <c r="G27" i="15"/>
  <c r="I35" i="15"/>
  <c r="H27" i="15"/>
  <c r="K119" i="15"/>
  <c r="L115" i="15"/>
  <c r="L117" i="15" s="1"/>
  <c r="C180" i="14"/>
  <c r="D162" i="14"/>
  <c r="S162" i="14"/>
  <c r="R180" i="14"/>
  <c r="AE162" i="14"/>
  <c r="AD180" i="14"/>
  <c r="P162" i="14"/>
  <c r="W163" i="14"/>
  <c r="T163" i="14"/>
  <c r="G162" i="14"/>
  <c r="F180" i="14"/>
  <c r="L180" i="14"/>
  <c r="M162" i="14"/>
  <c r="AB162" i="14"/>
  <c r="AA180" i="14"/>
  <c r="V162" i="14"/>
  <c r="U180" i="14"/>
  <c r="K163" i="14"/>
  <c r="E163" i="14"/>
  <c r="Z163" i="14"/>
  <c r="B164" i="14"/>
  <c r="B194" i="14" s="1"/>
  <c r="B163" i="14"/>
  <c r="AH162" i="14"/>
  <c r="AG180" i="14"/>
  <c r="AK162" i="14"/>
  <c r="AJ180" i="14"/>
  <c r="J162" i="14"/>
  <c r="I180" i="14"/>
  <c r="H163" i="14"/>
  <c r="N163" i="14"/>
  <c r="P163" i="14"/>
  <c r="Y162" i="14"/>
  <c r="X180" i="14"/>
  <c r="AL176" i="14"/>
  <c r="B162" i="14"/>
  <c r="B180" i="14" s="1"/>
  <c r="K95" i="14"/>
  <c r="G87" i="14"/>
  <c r="H78" i="14"/>
  <c r="H132" i="14" s="1"/>
  <c r="H179" i="14"/>
  <c r="H81" i="14"/>
  <c r="K116" i="14"/>
  <c r="F6" i="14"/>
  <c r="H43" i="19"/>
  <c r="I7" i="19"/>
  <c r="L6" i="18"/>
  <c r="H30" i="1"/>
  <c r="F36" i="16"/>
  <c r="U17" i="19"/>
  <c r="U18" i="19" s="1"/>
  <c r="H47" i="16"/>
  <c r="G47" i="16"/>
  <c r="F33" i="1"/>
  <c r="F29" i="1" s="1"/>
  <c r="Q83" i="19"/>
  <c r="K40" i="12"/>
  <c r="E75" i="4"/>
  <c r="E156" i="4" s="1"/>
  <c r="E237" i="4" s="1"/>
  <c r="E76" i="4"/>
  <c r="E157" i="4" s="1"/>
  <c r="E238" i="4" s="1"/>
  <c r="S27" i="18"/>
  <c r="Q82" i="19"/>
  <c r="U25" i="18"/>
  <c r="Q91" i="19"/>
  <c r="T14" i="19"/>
  <c r="T30" i="19" s="1"/>
  <c r="G86" i="11"/>
  <c r="G77" i="11" s="1"/>
  <c r="F9" i="21"/>
  <c r="H15" i="2"/>
  <c r="E72" i="2"/>
  <c r="E142" i="2"/>
  <c r="F16" i="21"/>
  <c r="Q81" i="19"/>
  <c r="S34" i="18"/>
  <c r="S47" i="18"/>
  <c r="Q80" i="19"/>
  <c r="Q9" i="19"/>
  <c r="S20" i="18"/>
  <c r="G44" i="12"/>
  <c r="G48" i="12"/>
  <c r="G47" i="12"/>
  <c r="H43" i="12"/>
  <c r="F82" i="12" s="1"/>
  <c r="E27" i="21" s="1"/>
  <c r="G124" i="16"/>
  <c r="G128" i="16"/>
  <c r="F81" i="12" s="1"/>
  <c r="E82" i="12"/>
  <c r="D27" i="21" s="1"/>
  <c r="E78" i="12"/>
  <c r="H3" i="14"/>
  <c r="F10" i="15"/>
  <c r="G34" i="17"/>
  <c r="G24" i="17"/>
  <c r="G65" i="17"/>
  <c r="G9" i="15"/>
  <c r="G55" i="17"/>
  <c r="G75" i="17"/>
  <c r="G7" i="14"/>
  <c r="E32" i="19"/>
  <c r="E33" i="19" s="1"/>
  <c r="H32" i="19"/>
  <c r="H33" i="19" s="1"/>
  <c r="F29" i="16"/>
  <c r="E86" i="17"/>
  <c r="H33" i="16" s="1"/>
  <c r="H28" i="1"/>
  <c r="G28" i="16"/>
  <c r="D86" i="17"/>
  <c r="G33" i="16" s="1"/>
  <c r="Q70" i="19"/>
  <c r="E71" i="19"/>
  <c r="E57" i="19"/>
  <c r="Q56" i="19"/>
  <c r="K17" i="18" l="1"/>
  <c r="H53" i="19"/>
  <c r="E61" i="2"/>
  <c r="E216" i="2"/>
  <c r="J23" i="22"/>
  <c r="V8" i="18"/>
  <c r="G8" i="18" s="1"/>
  <c r="G39" i="18"/>
  <c r="M39" i="18"/>
  <c r="I39" i="18"/>
  <c r="J39" i="18"/>
  <c r="K39" i="18"/>
  <c r="O39" i="18"/>
  <c r="H39" i="18"/>
  <c r="P39" i="18"/>
  <c r="Q39" i="18"/>
  <c r="R39" i="18"/>
  <c r="L39" i="18"/>
  <c r="N39" i="18"/>
  <c r="N164" i="14"/>
  <c r="B181" i="14"/>
  <c r="C182" i="14"/>
  <c r="H133" i="14"/>
  <c r="O14" i="19"/>
  <c r="O12" i="19"/>
  <c r="O13" i="19" s="1"/>
  <c r="J18" i="8"/>
  <c r="J31" i="8" s="1"/>
  <c r="J44" i="8" s="1"/>
  <c r="J46" i="8" s="1"/>
  <c r="M11" i="19"/>
  <c r="M12" i="19"/>
  <c r="K41" i="12"/>
  <c r="E66" i="2"/>
  <c r="E69" i="2" s="1"/>
  <c r="S33" i="18"/>
  <c r="C139" i="2"/>
  <c r="S46" i="18"/>
  <c r="D13" i="8"/>
  <c r="D20" i="8" s="1"/>
  <c r="D27" i="8" s="1"/>
  <c r="D30" i="8" s="1"/>
  <c r="D60" i="2"/>
  <c r="I109" i="15"/>
  <c r="I203" i="15" s="1"/>
  <c r="K23" i="11"/>
  <c r="L79" i="15"/>
  <c r="L81" i="15" s="1"/>
  <c r="K83" i="15"/>
  <c r="K93" i="15" s="1"/>
  <c r="H21" i="22"/>
  <c r="J135" i="15"/>
  <c r="G20" i="22"/>
  <c r="F11" i="22"/>
  <c r="F12" i="22"/>
  <c r="F15" i="22"/>
  <c r="F7" i="22"/>
  <c r="G3" i="22"/>
  <c r="F14" i="22"/>
  <c r="F9" i="22"/>
  <c r="F8" i="22"/>
  <c r="F13" i="22"/>
  <c r="F10" i="22"/>
  <c r="F16" i="22"/>
  <c r="L24" i="22" s="1"/>
  <c r="I22" i="22"/>
  <c r="Q62" i="19"/>
  <c r="Q84" i="19"/>
  <c r="S23" i="18"/>
  <c r="S50" i="18"/>
  <c r="S29" i="18"/>
  <c r="K97" i="15"/>
  <c r="K100" i="15" s="1"/>
  <c r="K133" i="15" s="1"/>
  <c r="J117" i="14"/>
  <c r="J126" i="14" s="1"/>
  <c r="J181" i="15"/>
  <c r="J100" i="15"/>
  <c r="J133" i="15" s="1"/>
  <c r="H124" i="16"/>
  <c r="G78" i="12" s="1"/>
  <c r="S24" i="18"/>
  <c r="Q68" i="19"/>
  <c r="E163" i="15"/>
  <c r="E164" i="15"/>
  <c r="E182" i="15" s="1"/>
  <c r="D182" i="15"/>
  <c r="D185" i="15" s="1"/>
  <c r="K164" i="15"/>
  <c r="K182" i="15" s="1"/>
  <c r="J182" i="15"/>
  <c r="C184" i="15"/>
  <c r="H164" i="15"/>
  <c r="H182" i="15" s="1"/>
  <c r="G182" i="15"/>
  <c r="E25" i="19"/>
  <c r="Q25" i="19" s="1"/>
  <c r="S36" i="18"/>
  <c r="Q64" i="19"/>
  <c r="S28" i="18"/>
  <c r="S26" i="18"/>
  <c r="N35" i="18"/>
  <c r="L24" i="19" s="1"/>
  <c r="L26" i="19" s="1"/>
  <c r="K35" i="18"/>
  <c r="M35" i="18"/>
  <c r="M40" i="18" s="1"/>
  <c r="G35" i="18"/>
  <c r="E24" i="19" s="1"/>
  <c r="R35" i="18"/>
  <c r="P35" i="18"/>
  <c r="J35" i="18"/>
  <c r="Q35" i="18"/>
  <c r="I35" i="18"/>
  <c r="H35" i="18"/>
  <c r="L35" i="18"/>
  <c r="L37" i="18" s="1"/>
  <c r="O35" i="18"/>
  <c r="P99" i="15"/>
  <c r="G3" i="15"/>
  <c r="G5" i="15" s="1"/>
  <c r="F6" i="15"/>
  <c r="G199" i="14"/>
  <c r="G139" i="14"/>
  <c r="G153" i="14" s="1"/>
  <c r="H79" i="14"/>
  <c r="H131" i="14" s="1"/>
  <c r="K113" i="14"/>
  <c r="K115" i="14" s="1"/>
  <c r="K99" i="14"/>
  <c r="K109" i="14" s="1"/>
  <c r="K97" i="14"/>
  <c r="K24" i="12"/>
  <c r="K23" i="12" s="1"/>
  <c r="AG171" i="14"/>
  <c r="AI175" i="15"/>
  <c r="AL178" i="15"/>
  <c r="Q164" i="15"/>
  <c r="Q182" i="15" s="1"/>
  <c r="P182" i="15"/>
  <c r="W164" i="15"/>
  <c r="W182" i="15" s="1"/>
  <c r="V182" i="15"/>
  <c r="Q165" i="15"/>
  <c r="W165" i="15"/>
  <c r="AH174" i="15" s="1"/>
  <c r="T164" i="15"/>
  <c r="S182" i="15"/>
  <c r="AF164" i="15"/>
  <c r="AE182" i="15"/>
  <c r="AB182" i="15"/>
  <c r="AC164" i="15"/>
  <c r="AC182" i="15" s="1"/>
  <c r="N165" i="15"/>
  <c r="AI164" i="15"/>
  <c r="AI182" i="15" s="1"/>
  <c r="AL164" i="15"/>
  <c r="N164" i="15"/>
  <c r="AJ176" i="15"/>
  <c r="AK177" i="15"/>
  <c r="T165" i="15"/>
  <c r="Y182" i="15"/>
  <c r="Z164" i="15"/>
  <c r="G10" i="15"/>
  <c r="F46" i="12"/>
  <c r="J110" i="15"/>
  <c r="J204" i="15" s="1"/>
  <c r="M115" i="15"/>
  <c r="M117" i="15" s="1"/>
  <c r="L119" i="15"/>
  <c r="K129" i="15"/>
  <c r="AD168" i="14"/>
  <c r="O165" i="14"/>
  <c r="AJ174" i="14"/>
  <c r="Q163" i="14"/>
  <c r="AA165" i="14" s="1"/>
  <c r="AL162" i="14"/>
  <c r="AK180" i="14"/>
  <c r="P166" i="14"/>
  <c r="Q162" i="14"/>
  <c r="Q180" i="14" s="1"/>
  <c r="P180" i="14"/>
  <c r="N162" i="14"/>
  <c r="M180" i="14"/>
  <c r="AI162" i="14"/>
  <c r="AI180" i="14" s="1"/>
  <c r="AH180" i="14"/>
  <c r="H162" i="14"/>
  <c r="H180" i="14" s="1"/>
  <c r="G180" i="14"/>
  <c r="AF162" i="14"/>
  <c r="AE180" i="14"/>
  <c r="W162" i="14"/>
  <c r="W180" i="14" s="1"/>
  <c r="V180" i="14"/>
  <c r="AE169" i="14"/>
  <c r="AC167" i="14"/>
  <c r="T162" i="14"/>
  <c r="S180" i="14"/>
  <c r="Z162" i="14"/>
  <c r="Y180" i="14"/>
  <c r="D180" i="14"/>
  <c r="E162" i="14"/>
  <c r="E180" i="14" s="1"/>
  <c r="K162" i="14"/>
  <c r="K180" i="14" s="1"/>
  <c r="J180" i="14"/>
  <c r="AK175" i="14"/>
  <c r="AI173" i="14"/>
  <c r="AC162" i="14"/>
  <c r="AC180" i="14" s="1"/>
  <c r="AB180" i="14"/>
  <c r="AH172" i="14"/>
  <c r="AF170" i="14"/>
  <c r="C161" i="14"/>
  <c r="L95" i="14"/>
  <c r="H88" i="14"/>
  <c r="I77" i="14"/>
  <c r="I79" i="14" s="1"/>
  <c r="I131" i="14" s="1"/>
  <c r="L116" i="14"/>
  <c r="N14" i="19"/>
  <c r="N11" i="19"/>
  <c r="N13" i="19" s="1"/>
  <c r="L12" i="19"/>
  <c r="K11" i="19"/>
  <c r="K13" i="19" s="1"/>
  <c r="K14" i="19"/>
  <c r="H2" i="22"/>
  <c r="H17" i="22" s="1"/>
  <c r="M6" i="18"/>
  <c r="L17" i="18"/>
  <c r="J7" i="19"/>
  <c r="L11" i="19"/>
  <c r="I53" i="19"/>
  <c r="I23" i="19"/>
  <c r="I43" i="19"/>
  <c r="H30" i="16"/>
  <c r="H29" i="16" s="1"/>
  <c r="H36" i="16"/>
  <c r="J14" i="19"/>
  <c r="G36" i="1"/>
  <c r="H36" i="1"/>
  <c r="I11" i="19"/>
  <c r="J12" i="19"/>
  <c r="J13" i="19" s="1"/>
  <c r="I12" i="19"/>
  <c r="H12" i="19"/>
  <c r="H13" i="19" s="1"/>
  <c r="U19" i="19"/>
  <c r="U20" i="19" s="1"/>
  <c r="H14" i="19"/>
  <c r="G36" i="16"/>
  <c r="F11" i="19"/>
  <c r="P11" i="19"/>
  <c r="F12" i="19"/>
  <c r="P12" i="19"/>
  <c r="H34" i="19"/>
  <c r="H35" i="19" s="1"/>
  <c r="H36" i="19" s="1"/>
  <c r="F45" i="12" s="1"/>
  <c r="G33" i="1"/>
  <c r="G29" i="1" s="1"/>
  <c r="H33" i="1"/>
  <c r="H29" i="1" s="1"/>
  <c r="G12" i="19"/>
  <c r="G11" i="19"/>
  <c r="Q8" i="19"/>
  <c r="K43" i="12"/>
  <c r="H128" i="16"/>
  <c r="G81" i="12" s="1"/>
  <c r="U26" i="18"/>
  <c r="H145" i="2"/>
  <c r="H75" i="2"/>
  <c r="F78" i="12"/>
  <c r="J48" i="12"/>
  <c r="J44" i="12"/>
  <c r="J46" i="12"/>
  <c r="J47" i="12"/>
  <c r="H42" i="12"/>
  <c r="G129" i="16" s="1"/>
  <c r="G130" i="16" s="1"/>
  <c r="L41" i="18"/>
  <c r="G41" i="18"/>
  <c r="O41" i="18"/>
  <c r="H41" i="18"/>
  <c r="I41" i="18"/>
  <c r="K41" i="18"/>
  <c r="R41" i="18"/>
  <c r="J41" i="18"/>
  <c r="Q41" i="18"/>
  <c r="N41" i="18"/>
  <c r="P41" i="18"/>
  <c r="M41" i="18"/>
  <c r="H5" i="14"/>
  <c r="H6" i="14" s="1"/>
  <c r="H7" i="15"/>
  <c r="G29" i="16"/>
  <c r="G9" i="14"/>
  <c r="T32" i="19"/>
  <c r="U32" i="19"/>
  <c r="S32" i="19"/>
  <c r="R32" i="19"/>
  <c r="E11" i="19"/>
  <c r="E12" i="19"/>
  <c r="Q10" i="19"/>
  <c r="E14" i="19"/>
  <c r="G6" i="15" l="1"/>
  <c r="D61" i="2"/>
  <c r="D216" i="2"/>
  <c r="K33" i="11"/>
  <c r="E35" i="11" s="1"/>
  <c r="C36" i="11" s="1"/>
  <c r="V10" i="18"/>
  <c r="M10" i="18" s="1"/>
  <c r="P8" i="18"/>
  <c r="N8" i="18"/>
  <c r="R8" i="18"/>
  <c r="K8" i="18"/>
  <c r="O8" i="18"/>
  <c r="H8" i="18"/>
  <c r="J8" i="18"/>
  <c r="Q8" i="18"/>
  <c r="M8" i="18"/>
  <c r="I8" i="18"/>
  <c r="L8" i="18"/>
  <c r="E184" i="14"/>
  <c r="G186" i="14"/>
  <c r="F185" i="14"/>
  <c r="K190" i="14"/>
  <c r="H187" i="14"/>
  <c r="M192" i="14"/>
  <c r="L191" i="14"/>
  <c r="I188" i="14"/>
  <c r="J189" i="14"/>
  <c r="M13" i="19"/>
  <c r="D46" i="19"/>
  <c r="E136" i="2"/>
  <c r="E206" i="2" s="1"/>
  <c r="C209" i="2"/>
  <c r="D66" i="2"/>
  <c r="D136" i="2" s="1"/>
  <c r="F128" i="1"/>
  <c r="E81" i="11" s="1"/>
  <c r="F43" i="11"/>
  <c r="F124" i="1"/>
  <c r="E78" i="11" s="1"/>
  <c r="M79" i="15"/>
  <c r="M83" i="15" s="1"/>
  <c r="L83" i="15"/>
  <c r="L94" i="15" s="1"/>
  <c r="I143" i="15"/>
  <c r="I157" i="15" s="1"/>
  <c r="I21" i="22"/>
  <c r="H20" i="22"/>
  <c r="H3" i="22"/>
  <c r="G12" i="22"/>
  <c r="G16" i="22"/>
  <c r="M24" i="22" s="1"/>
  <c r="G14" i="22"/>
  <c r="G15" i="22"/>
  <c r="G9" i="22"/>
  <c r="G13" i="22"/>
  <c r="G11" i="22"/>
  <c r="G7" i="22"/>
  <c r="G10" i="22"/>
  <c r="G8" i="22"/>
  <c r="K23" i="22"/>
  <c r="J22" i="22"/>
  <c r="L97" i="15"/>
  <c r="L100" i="15" s="1"/>
  <c r="L133" i="15" s="1"/>
  <c r="K101" i="15"/>
  <c r="K135" i="15" s="1"/>
  <c r="K181" i="15"/>
  <c r="M37" i="18"/>
  <c r="K24" i="19"/>
  <c r="K26" i="19" s="1"/>
  <c r="K27" i="19" s="1"/>
  <c r="F24" i="19"/>
  <c r="F26" i="19" s="1"/>
  <c r="F28" i="19" s="1"/>
  <c r="H40" i="18"/>
  <c r="I24" i="19"/>
  <c r="I26" i="19" s="1"/>
  <c r="I28" i="19" s="1"/>
  <c r="K40" i="18"/>
  <c r="I37" i="18"/>
  <c r="I40" i="18"/>
  <c r="N37" i="18"/>
  <c r="N40" i="18"/>
  <c r="Q37" i="18"/>
  <c r="Q40" i="18"/>
  <c r="J37" i="18"/>
  <c r="J40" i="18"/>
  <c r="N24" i="19"/>
  <c r="N26" i="19" s="1"/>
  <c r="N27" i="19" s="1"/>
  <c r="P40" i="18"/>
  <c r="R37" i="18"/>
  <c r="R40" i="18"/>
  <c r="M24" i="19"/>
  <c r="M26" i="19" s="1"/>
  <c r="M28" i="19" s="1"/>
  <c r="O40" i="18"/>
  <c r="G37" i="18"/>
  <c r="G40" i="18"/>
  <c r="J24" i="19"/>
  <c r="J26" i="19" s="1"/>
  <c r="J27" i="19" s="1"/>
  <c r="L40" i="18"/>
  <c r="G24" i="19"/>
  <c r="G26" i="19" s="1"/>
  <c r="G27" i="19" s="1"/>
  <c r="P37" i="18"/>
  <c r="F163" i="15"/>
  <c r="G163" i="15" s="1"/>
  <c r="H163" i="15" s="1"/>
  <c r="I163" i="15" s="1"/>
  <c r="J163" i="15" s="1"/>
  <c r="K163" i="15" s="1"/>
  <c r="G188" i="15"/>
  <c r="F187" i="15"/>
  <c r="E186" i="15"/>
  <c r="H3" i="15"/>
  <c r="H5" i="15" s="1"/>
  <c r="P24" i="19"/>
  <c r="P26" i="19" s="1"/>
  <c r="H24" i="19"/>
  <c r="H26" i="19" s="1"/>
  <c r="H27" i="19" s="1"/>
  <c r="H37" i="18"/>
  <c r="K37" i="18"/>
  <c r="O37" i="18"/>
  <c r="S35" i="18"/>
  <c r="O24" i="19"/>
  <c r="O26" i="19" s="1"/>
  <c r="O30" i="19" s="1"/>
  <c r="R38" i="18" s="1"/>
  <c r="E44" i="19"/>
  <c r="J144" i="15"/>
  <c r="J158" i="15" s="1"/>
  <c r="Q99" i="15"/>
  <c r="Z166" i="15"/>
  <c r="H200" i="14"/>
  <c r="H140" i="14"/>
  <c r="L113" i="14"/>
  <c r="L115" i="14" s="1"/>
  <c r="K117" i="14"/>
  <c r="L99" i="14"/>
  <c r="L110" i="14" s="1"/>
  <c r="L97" i="14"/>
  <c r="K42" i="12"/>
  <c r="H129" i="16" s="1"/>
  <c r="H130" i="16" s="1"/>
  <c r="K35" i="12"/>
  <c r="W14" i="18"/>
  <c r="K35" i="11"/>
  <c r="G46" i="12"/>
  <c r="E83" i="12"/>
  <c r="G45" i="12"/>
  <c r="H7" i="14"/>
  <c r="H9" i="14" s="1"/>
  <c r="AG173" i="15"/>
  <c r="X176" i="15"/>
  <c r="O167" i="15"/>
  <c r="H189" i="15"/>
  <c r="S171" i="15"/>
  <c r="AB168" i="15"/>
  <c r="Z178" i="15"/>
  <c r="R170" i="15"/>
  <c r="L193" i="15"/>
  <c r="AA167" i="15"/>
  <c r="T172" i="15"/>
  <c r="I190" i="15"/>
  <c r="AE171" i="15"/>
  <c r="AC169" i="15"/>
  <c r="K192" i="15"/>
  <c r="Y177" i="15"/>
  <c r="W175" i="15"/>
  <c r="M194" i="15"/>
  <c r="V174" i="15"/>
  <c r="U173" i="15"/>
  <c r="P168" i="15"/>
  <c r="N166" i="15"/>
  <c r="Q169" i="15"/>
  <c r="AD170" i="15"/>
  <c r="J191" i="15"/>
  <c r="AF172" i="15"/>
  <c r="L130" i="15"/>
  <c r="M119" i="15"/>
  <c r="N115" i="15"/>
  <c r="S169" i="14"/>
  <c r="Z164" i="14"/>
  <c r="T170" i="14"/>
  <c r="V172" i="14"/>
  <c r="Q167" i="14"/>
  <c r="W173" i="14"/>
  <c r="Y175" i="14"/>
  <c r="D183" i="14"/>
  <c r="U171" i="14"/>
  <c r="M95" i="14"/>
  <c r="AB166" i="14"/>
  <c r="Z176" i="14"/>
  <c r="R168" i="14"/>
  <c r="X174" i="14"/>
  <c r="D161" i="14"/>
  <c r="E161" i="14" s="1"/>
  <c r="F161" i="14" s="1"/>
  <c r="G161" i="14" s="1"/>
  <c r="H161" i="14" s="1"/>
  <c r="I161" i="14" s="1"/>
  <c r="J161" i="14" s="1"/>
  <c r="K161" i="14" s="1"/>
  <c r="L161" i="14" s="1"/>
  <c r="M161" i="14" s="1"/>
  <c r="J77" i="14"/>
  <c r="J79" i="14" s="1"/>
  <c r="J131" i="14" s="1"/>
  <c r="I179" i="14"/>
  <c r="I81" i="14"/>
  <c r="M116" i="14"/>
  <c r="I13" i="19"/>
  <c r="L13" i="19"/>
  <c r="J53" i="19"/>
  <c r="J43" i="19"/>
  <c r="J23" i="19"/>
  <c r="N6" i="18"/>
  <c r="I2" i="22"/>
  <c r="I17" i="22" s="1"/>
  <c r="M17" i="18"/>
  <c r="K7" i="19"/>
  <c r="P13" i="19"/>
  <c r="F13" i="19"/>
  <c r="U33" i="19"/>
  <c r="U34" i="19" s="1"/>
  <c r="U35" i="19" s="1"/>
  <c r="S33" i="19"/>
  <c r="S34" i="19" s="1"/>
  <c r="S35" i="19" s="1"/>
  <c r="S36" i="19" s="1"/>
  <c r="E34" i="19"/>
  <c r="Q14" i="19"/>
  <c r="G13" i="19"/>
  <c r="Q12" i="19"/>
  <c r="R33" i="19"/>
  <c r="R34" i="19" s="1"/>
  <c r="R35" i="19" s="1"/>
  <c r="R36" i="19" s="1"/>
  <c r="T33" i="19"/>
  <c r="T34" i="19" s="1"/>
  <c r="T35" i="19" s="1"/>
  <c r="S39" i="18"/>
  <c r="L44" i="12"/>
  <c r="L46" i="12"/>
  <c r="L47" i="12"/>
  <c r="L48" i="12"/>
  <c r="G82" i="12"/>
  <c r="F27" i="21" s="1"/>
  <c r="U27" i="18"/>
  <c r="S41" i="18"/>
  <c r="G10" i="14"/>
  <c r="H9" i="15"/>
  <c r="F49" i="12"/>
  <c r="Q11" i="19"/>
  <c r="E13" i="19"/>
  <c r="L28" i="19"/>
  <c r="L27" i="19"/>
  <c r="L30" i="19"/>
  <c r="O38" i="18" s="1"/>
  <c r="E26" i="19"/>
  <c r="H6" i="15" l="1"/>
  <c r="M19" i="18"/>
  <c r="J44" i="19"/>
  <c r="J45" i="19" s="1"/>
  <c r="P44" i="19"/>
  <c r="P45" i="19" s="1"/>
  <c r="N44" i="19"/>
  <c r="N45" i="19" s="1"/>
  <c r="G44" i="19"/>
  <c r="G45" i="19" s="1"/>
  <c r="O44" i="19"/>
  <c r="O45" i="19" s="1"/>
  <c r="H44" i="19"/>
  <c r="H45" i="19" s="1"/>
  <c r="L44" i="19"/>
  <c r="L45" i="19" s="1"/>
  <c r="F44" i="19"/>
  <c r="F45" i="19" s="1"/>
  <c r="M44" i="19"/>
  <c r="M45" i="19" s="1"/>
  <c r="K44" i="19"/>
  <c r="K45" i="19" s="1"/>
  <c r="I44" i="19"/>
  <c r="I45" i="19" s="1"/>
  <c r="E209" i="2"/>
  <c r="E218" i="2"/>
  <c r="E220" i="2" s="1"/>
  <c r="N10" i="18"/>
  <c r="J4" i="22" s="1"/>
  <c r="O10" i="18"/>
  <c r="M46" i="19" s="1"/>
  <c r="P10" i="18"/>
  <c r="L4" i="22" s="1"/>
  <c r="J10" i="18"/>
  <c r="F4" i="22" s="1"/>
  <c r="L10" i="18"/>
  <c r="H4" i="22" s="1"/>
  <c r="K10" i="18"/>
  <c r="G4" i="22" s="1"/>
  <c r="Q10" i="18"/>
  <c r="M4" i="22" s="1"/>
  <c r="G10" i="18"/>
  <c r="G19" i="18" s="1"/>
  <c r="R10" i="18"/>
  <c r="N4" i="22" s="1"/>
  <c r="I10" i="18"/>
  <c r="E4" i="22" s="1"/>
  <c r="H10" i="18"/>
  <c r="F46" i="19" s="1"/>
  <c r="E45" i="19"/>
  <c r="S8" i="18"/>
  <c r="I133" i="14"/>
  <c r="H154" i="14"/>
  <c r="M81" i="15"/>
  <c r="N79" i="15"/>
  <c r="N80" i="15" s="1"/>
  <c r="N81" i="15" s="1"/>
  <c r="E139" i="2"/>
  <c r="E82" i="11"/>
  <c r="D10" i="21"/>
  <c r="D139" i="2"/>
  <c r="D206" i="2"/>
  <c r="D218" i="2" s="1"/>
  <c r="D220" i="2" s="1"/>
  <c r="D69" i="2"/>
  <c r="G48" i="11"/>
  <c r="G44" i="11"/>
  <c r="G47" i="11"/>
  <c r="F42" i="11"/>
  <c r="F129" i="1" s="1"/>
  <c r="F130" i="1" s="1"/>
  <c r="F133" i="1" s="1"/>
  <c r="K111" i="15"/>
  <c r="K205" i="15" s="1"/>
  <c r="M97" i="15"/>
  <c r="M181" i="15" s="1"/>
  <c r="L101" i="15"/>
  <c r="L135" i="15" s="1"/>
  <c r="L181" i="15"/>
  <c r="L117" i="14"/>
  <c r="L128" i="14" s="1"/>
  <c r="J21" i="22"/>
  <c r="G28" i="19"/>
  <c r="G29" i="19" s="1"/>
  <c r="I32" i="18" s="1"/>
  <c r="F30" i="19"/>
  <c r="I38" i="18" s="1"/>
  <c r="H28" i="19"/>
  <c r="H29" i="19" s="1"/>
  <c r="J32" i="18" s="1"/>
  <c r="K22" i="22"/>
  <c r="L23" i="22"/>
  <c r="I20" i="22"/>
  <c r="H12" i="22"/>
  <c r="H14" i="22"/>
  <c r="H10" i="22"/>
  <c r="H8" i="22"/>
  <c r="H13" i="22"/>
  <c r="H16" i="22"/>
  <c r="N24" i="22" s="1"/>
  <c r="H7" i="22"/>
  <c r="H15" i="22"/>
  <c r="I3" i="22"/>
  <c r="H11" i="22"/>
  <c r="H9" i="22"/>
  <c r="K43" i="11"/>
  <c r="H124" i="1"/>
  <c r="F27" i="19"/>
  <c r="F29" i="19" s="1"/>
  <c r="H32" i="18" s="1"/>
  <c r="H128" i="1"/>
  <c r="G81" i="11" s="1"/>
  <c r="G30" i="19"/>
  <c r="J38" i="18" s="1"/>
  <c r="M27" i="19"/>
  <c r="M29" i="19" s="1"/>
  <c r="O32" i="18" s="1"/>
  <c r="M30" i="19"/>
  <c r="P38" i="18" s="1"/>
  <c r="N28" i="19"/>
  <c r="N29" i="19" s="1"/>
  <c r="P32" i="18" s="1"/>
  <c r="K30" i="19"/>
  <c r="N38" i="18" s="1"/>
  <c r="K28" i="19"/>
  <c r="K29" i="19" s="1"/>
  <c r="M32" i="18" s="1"/>
  <c r="I27" i="19"/>
  <c r="I29" i="19" s="1"/>
  <c r="K32" i="18" s="1"/>
  <c r="I30" i="19"/>
  <c r="L38" i="18" s="1"/>
  <c r="U36" i="19"/>
  <c r="K45" i="12" s="1"/>
  <c r="T36" i="19"/>
  <c r="K45" i="11" s="1"/>
  <c r="H45" i="11"/>
  <c r="E35" i="19"/>
  <c r="E36" i="19" s="1"/>
  <c r="G49" i="12"/>
  <c r="D32" i="21" s="1"/>
  <c r="S40" i="18"/>
  <c r="N30" i="19"/>
  <c r="Q38" i="18" s="1"/>
  <c r="J30" i="19"/>
  <c r="M38" i="18" s="1"/>
  <c r="J28" i="19"/>
  <c r="J29" i="19" s="1"/>
  <c r="L32" i="18" s="1"/>
  <c r="Q24" i="19"/>
  <c r="L163" i="15"/>
  <c r="M163" i="15" s="1"/>
  <c r="N163" i="15" s="1"/>
  <c r="O163" i="15" s="1"/>
  <c r="P163" i="15" s="1"/>
  <c r="Q163" i="15" s="1"/>
  <c r="R163" i="15" s="1"/>
  <c r="S163" i="15" s="1"/>
  <c r="T163" i="15" s="1"/>
  <c r="U163" i="15" s="1"/>
  <c r="V163" i="15" s="1"/>
  <c r="W163" i="15" s="1"/>
  <c r="X163" i="15" s="1"/>
  <c r="Y163" i="15" s="1"/>
  <c r="Z163" i="15" s="1"/>
  <c r="AA163" i="15" s="1"/>
  <c r="AB163" i="15" s="1"/>
  <c r="AC163" i="15" s="1"/>
  <c r="AD163" i="15" s="1"/>
  <c r="AE163" i="15" s="1"/>
  <c r="AF163" i="15" s="1"/>
  <c r="AG163" i="15" s="1"/>
  <c r="AH163" i="15" s="1"/>
  <c r="AI163" i="15" s="1"/>
  <c r="AJ163" i="15" s="1"/>
  <c r="AK163" i="15" s="1"/>
  <c r="AL163" i="15" s="1"/>
  <c r="S37" i="18"/>
  <c r="O27" i="19"/>
  <c r="H30" i="19"/>
  <c r="K38" i="18" s="1"/>
  <c r="O28" i="19"/>
  <c r="R99" i="15"/>
  <c r="N116" i="15"/>
  <c r="O115" i="15" s="1"/>
  <c r="O117" i="15" s="1"/>
  <c r="K127" i="14"/>
  <c r="M113" i="14"/>
  <c r="M115" i="14" s="1"/>
  <c r="M99" i="14"/>
  <c r="M111" i="14" s="1"/>
  <c r="M97" i="14"/>
  <c r="K46" i="19"/>
  <c r="K54" i="19" s="1"/>
  <c r="I4" i="22"/>
  <c r="K33" i="12"/>
  <c r="N14" i="18"/>
  <c r="S14" i="18" s="1"/>
  <c r="H10" i="14"/>
  <c r="H10" i="15"/>
  <c r="N95" i="14"/>
  <c r="N96" i="14" s="1"/>
  <c r="N119" i="15"/>
  <c r="M131" i="15"/>
  <c r="M95" i="15"/>
  <c r="N161" i="14"/>
  <c r="O161" i="14" s="1"/>
  <c r="P161" i="14" s="1"/>
  <c r="Q161" i="14" s="1"/>
  <c r="R161" i="14" s="1"/>
  <c r="S161" i="14" s="1"/>
  <c r="T161" i="14" s="1"/>
  <c r="U161" i="14" s="1"/>
  <c r="V161" i="14" s="1"/>
  <c r="W161" i="14" s="1"/>
  <c r="X161" i="14" s="1"/>
  <c r="Y161" i="14" s="1"/>
  <c r="I89" i="14"/>
  <c r="J81" i="14"/>
  <c r="J179" i="14"/>
  <c r="K77" i="14"/>
  <c r="K79" i="14" s="1"/>
  <c r="K131" i="14" s="1"/>
  <c r="N116" i="14"/>
  <c r="O6" i="18"/>
  <c r="J2" i="22"/>
  <c r="J17" i="22" s="1"/>
  <c r="N17" i="18"/>
  <c r="L7" i="19"/>
  <c r="K53" i="19"/>
  <c r="K43" i="19"/>
  <c r="K23" i="19"/>
  <c r="Q13" i="19"/>
  <c r="I45" i="12"/>
  <c r="H45" i="12"/>
  <c r="U28" i="18"/>
  <c r="P28" i="19"/>
  <c r="P27" i="19"/>
  <c r="P30" i="19"/>
  <c r="E30" i="19"/>
  <c r="E28" i="19"/>
  <c r="E27" i="19"/>
  <c r="Q26" i="19"/>
  <c r="L29" i="19"/>
  <c r="N32" i="18" s="1"/>
  <c r="O19" i="18" l="1"/>
  <c r="H19" i="18"/>
  <c r="R19" i="18"/>
  <c r="J19" i="18"/>
  <c r="I19" i="18"/>
  <c r="Q19" i="18"/>
  <c r="K19" i="18"/>
  <c r="L19" i="18"/>
  <c r="N19" i="18"/>
  <c r="P19" i="18"/>
  <c r="M54" i="19"/>
  <c r="L46" i="19"/>
  <c r="L54" i="19" s="1"/>
  <c r="Q44" i="19"/>
  <c r="C4" i="22"/>
  <c r="C5" i="22" s="1"/>
  <c r="C18" i="22" s="1"/>
  <c r="C25" i="22" s="1"/>
  <c r="G12" i="18" s="1"/>
  <c r="G15" i="18" s="1"/>
  <c r="F54" i="19"/>
  <c r="K4" i="22"/>
  <c r="I46" i="19"/>
  <c r="I54" i="19" s="1"/>
  <c r="H46" i="19"/>
  <c r="H54" i="19" s="1"/>
  <c r="E46" i="19"/>
  <c r="E54" i="19" s="1"/>
  <c r="N46" i="19"/>
  <c r="N54" i="19" s="1"/>
  <c r="J46" i="19"/>
  <c r="J54" i="19" s="1"/>
  <c r="G46" i="19"/>
  <c r="G54" i="19" s="1"/>
  <c r="P46" i="19"/>
  <c r="P54" i="19" s="1"/>
  <c r="O46" i="19"/>
  <c r="O54" i="19" s="1"/>
  <c r="D4" i="22"/>
  <c r="D5" i="22" s="1"/>
  <c r="D18" i="22" s="1"/>
  <c r="S10" i="18"/>
  <c r="J133" i="14"/>
  <c r="G78" i="11"/>
  <c r="E35" i="12"/>
  <c r="C36" i="12" s="1"/>
  <c r="N83" i="15"/>
  <c r="N84" i="15" s="1"/>
  <c r="N97" i="15"/>
  <c r="N101" i="15" s="1"/>
  <c r="G82" i="11"/>
  <c r="F10" i="21"/>
  <c r="L112" i="15"/>
  <c r="L206" i="15" s="1"/>
  <c r="F50" i="12" s="1"/>
  <c r="Q45" i="19"/>
  <c r="K47" i="19"/>
  <c r="K49" i="19" s="1"/>
  <c r="M47" i="19"/>
  <c r="M49" i="19" s="1"/>
  <c r="F47" i="19"/>
  <c r="F49" i="19" s="1"/>
  <c r="G128" i="1"/>
  <c r="F81" i="11" s="1"/>
  <c r="G124" i="1"/>
  <c r="F78" i="11" s="1"/>
  <c r="D209" i="2"/>
  <c r="H43" i="11"/>
  <c r="E10" i="21" s="1"/>
  <c r="M101" i="15"/>
  <c r="M135" i="15" s="1"/>
  <c r="K145" i="15"/>
  <c r="K159" i="15" s="1"/>
  <c r="M100" i="15"/>
  <c r="M133" i="15" s="1"/>
  <c r="L44" i="11"/>
  <c r="L47" i="11"/>
  <c r="L48" i="11"/>
  <c r="K42" i="11"/>
  <c r="H129" i="1" s="1"/>
  <c r="H130" i="1" s="1"/>
  <c r="H133" i="1" s="1"/>
  <c r="L45" i="11"/>
  <c r="J20" i="22"/>
  <c r="K21" i="22"/>
  <c r="M23" i="22"/>
  <c r="I15" i="22"/>
  <c r="I9" i="22"/>
  <c r="I7" i="22"/>
  <c r="I8" i="22"/>
  <c r="I12" i="22"/>
  <c r="I10" i="22"/>
  <c r="I13" i="22"/>
  <c r="I11" i="22"/>
  <c r="I14" i="22"/>
  <c r="J3" i="22"/>
  <c r="I16" i="22"/>
  <c r="L22" i="22"/>
  <c r="L45" i="12"/>
  <c r="G83" i="12"/>
  <c r="K49" i="12"/>
  <c r="L49" i="12" s="1"/>
  <c r="F32" i="21" s="1"/>
  <c r="F45" i="11"/>
  <c r="G45" i="11" s="1"/>
  <c r="G83" i="11"/>
  <c r="F83" i="11"/>
  <c r="O29" i="19"/>
  <c r="Q32" i="18" s="1"/>
  <c r="M117" i="14"/>
  <c r="M129" i="14" s="1"/>
  <c r="N113" i="14"/>
  <c r="N114" i="14" s="1"/>
  <c r="O113" i="14" s="1"/>
  <c r="O115" i="14" s="1"/>
  <c r="N117" i="15"/>
  <c r="S99" i="15"/>
  <c r="I201" i="14"/>
  <c r="I141" i="14"/>
  <c r="I155" i="14" s="1"/>
  <c r="O95" i="14"/>
  <c r="P95" i="14" s="1"/>
  <c r="I5" i="22"/>
  <c r="I18" i="22" s="1"/>
  <c r="H5" i="22"/>
  <c r="H18" i="22" s="1"/>
  <c r="F5" i="22"/>
  <c r="F18" i="22" s="1"/>
  <c r="E5" i="22"/>
  <c r="E18" i="22" s="1"/>
  <c r="G5" i="22"/>
  <c r="G18" i="22" s="1"/>
  <c r="J45" i="12"/>
  <c r="N99" i="14"/>
  <c r="N120" i="15"/>
  <c r="N132" i="15"/>
  <c r="O119" i="15"/>
  <c r="P115" i="15"/>
  <c r="P117" i="15" s="1"/>
  <c r="O79" i="15"/>
  <c r="O81" i="15" s="1"/>
  <c r="Z161" i="14"/>
  <c r="AA161" i="14" s="1"/>
  <c r="AB161" i="14" s="1"/>
  <c r="AC161" i="14" s="1"/>
  <c r="AD161" i="14" s="1"/>
  <c r="AE161" i="14" s="1"/>
  <c r="AF161" i="14" s="1"/>
  <c r="AG161" i="14" s="1"/>
  <c r="AH161" i="14" s="1"/>
  <c r="AI161" i="14" s="1"/>
  <c r="AJ161" i="14" s="1"/>
  <c r="AK161" i="14" s="1"/>
  <c r="J90" i="14"/>
  <c r="K81" i="14"/>
  <c r="K179" i="14"/>
  <c r="L77" i="14"/>
  <c r="L79" i="14" s="1"/>
  <c r="L131" i="14" s="1"/>
  <c r="O116" i="14"/>
  <c r="L23" i="19"/>
  <c r="L53" i="19"/>
  <c r="L43" i="19"/>
  <c r="K2" i="22"/>
  <c r="K17" i="22" s="1"/>
  <c r="P6" i="18"/>
  <c r="M7" i="19"/>
  <c r="O17" i="18"/>
  <c r="F83" i="12"/>
  <c r="H49" i="12"/>
  <c r="U29" i="18"/>
  <c r="P29" i="19"/>
  <c r="R32" i="18" s="1"/>
  <c r="Q27" i="19"/>
  <c r="E29" i="19"/>
  <c r="Q28" i="19"/>
  <c r="Q30" i="19"/>
  <c r="H38" i="18"/>
  <c r="L47" i="19" l="1"/>
  <c r="L49" i="19" s="1"/>
  <c r="S19" i="18"/>
  <c r="E47" i="19"/>
  <c r="E49" i="19" s="1"/>
  <c r="N96" i="15"/>
  <c r="P47" i="19"/>
  <c r="P49" i="19" s="1"/>
  <c r="G47" i="19"/>
  <c r="G49" i="19" s="1"/>
  <c r="I47" i="19"/>
  <c r="I49" i="19" s="1"/>
  <c r="H47" i="19"/>
  <c r="H49" i="19" s="1"/>
  <c r="O47" i="19"/>
  <c r="O49" i="19" s="1"/>
  <c r="N47" i="19"/>
  <c r="N49" i="19" s="1"/>
  <c r="J47" i="19"/>
  <c r="J49" i="19" s="1"/>
  <c r="Q46" i="19"/>
  <c r="N181" i="15"/>
  <c r="N98" i="15"/>
  <c r="N100" i="15" s="1"/>
  <c r="N133" i="15" s="1"/>
  <c r="K133" i="14"/>
  <c r="N135" i="15"/>
  <c r="L146" i="15"/>
  <c r="L160" i="15" s="1"/>
  <c r="M113" i="15"/>
  <c r="M207" i="15" s="1"/>
  <c r="F82" i="11"/>
  <c r="J48" i="11"/>
  <c r="J44" i="11"/>
  <c r="H42" i="11"/>
  <c r="G129" i="1" s="1"/>
  <c r="G130" i="1" s="1"/>
  <c r="G133" i="1" s="1"/>
  <c r="J47" i="11"/>
  <c r="J45" i="11"/>
  <c r="F22" i="16"/>
  <c r="N23" i="22"/>
  <c r="M22" i="22"/>
  <c r="K20" i="22"/>
  <c r="J9" i="22"/>
  <c r="J15" i="22"/>
  <c r="J7" i="22"/>
  <c r="J8" i="22"/>
  <c r="K3" i="22"/>
  <c r="J16" i="22"/>
  <c r="J14" i="22"/>
  <c r="J12" i="22"/>
  <c r="J11" i="22"/>
  <c r="J13" i="22"/>
  <c r="J10" i="22"/>
  <c r="J5" i="22"/>
  <c r="L21" i="22"/>
  <c r="N117" i="14"/>
  <c r="N130" i="14" s="1"/>
  <c r="E83" i="11"/>
  <c r="J49" i="12"/>
  <c r="E32" i="21" s="1"/>
  <c r="N97" i="14"/>
  <c r="T99" i="15"/>
  <c r="U99" i="15" s="1"/>
  <c r="J202" i="14"/>
  <c r="J142" i="14"/>
  <c r="J156" i="14" s="1"/>
  <c r="N115" i="14"/>
  <c r="P99" i="14"/>
  <c r="P97" i="14"/>
  <c r="O99" i="14"/>
  <c r="O101" i="14" s="1"/>
  <c r="O97" i="14"/>
  <c r="G6" i="22"/>
  <c r="H19" i="22" s="1"/>
  <c r="H25" i="22" s="1"/>
  <c r="L12" i="18" s="1"/>
  <c r="L15" i="18" s="1"/>
  <c r="I6" i="22"/>
  <c r="J19" i="22" s="1"/>
  <c r="H6" i="22"/>
  <c r="I19" i="22" s="1"/>
  <c r="I25" i="22" s="1"/>
  <c r="M12" i="18" s="1"/>
  <c r="M15" i="18" s="1"/>
  <c r="E6" i="22"/>
  <c r="F19" i="22" s="1"/>
  <c r="F25" i="22" s="1"/>
  <c r="J12" i="18" s="1"/>
  <c r="J15" i="18" s="1"/>
  <c r="F6" i="22"/>
  <c r="G19" i="22" s="1"/>
  <c r="G25" i="22" s="1"/>
  <c r="K12" i="18" s="1"/>
  <c r="K15" i="18" s="1"/>
  <c r="C6" i="22"/>
  <c r="D19" i="22" s="1"/>
  <c r="D25" i="22" s="1"/>
  <c r="H12" i="18" s="1"/>
  <c r="H15" i="18" s="1"/>
  <c r="D6" i="22"/>
  <c r="E19" i="22" s="1"/>
  <c r="E25" i="22" s="1"/>
  <c r="I12" i="18" s="1"/>
  <c r="I15" i="18" s="1"/>
  <c r="N112" i="14"/>
  <c r="N100" i="14"/>
  <c r="O121" i="15"/>
  <c r="P119" i="15"/>
  <c r="Q115" i="15"/>
  <c r="Q117" i="15" s="1"/>
  <c r="N114" i="15"/>
  <c r="N208" i="15" s="1"/>
  <c r="G50" i="12" s="1"/>
  <c r="N102" i="15"/>
  <c r="N196" i="15" s="1"/>
  <c r="O97" i="15"/>
  <c r="O100" i="15" s="1"/>
  <c r="O133" i="15" s="1"/>
  <c r="O83" i="15"/>
  <c r="P79" i="15"/>
  <c r="P81" i="15" s="1"/>
  <c r="AL161" i="14"/>
  <c r="K91" i="14"/>
  <c r="L81" i="14"/>
  <c r="L179" i="14"/>
  <c r="M77" i="14"/>
  <c r="M79" i="14" s="1"/>
  <c r="M131" i="14" s="1"/>
  <c r="P116" i="14"/>
  <c r="O117" i="14"/>
  <c r="P113" i="14"/>
  <c r="P115" i="14" s="1"/>
  <c r="Q95" i="14"/>
  <c r="N7" i="19"/>
  <c r="Q6" i="18"/>
  <c r="P17" i="18"/>
  <c r="L2" i="22"/>
  <c r="L17" i="22" s="1"/>
  <c r="M53" i="19"/>
  <c r="M23" i="19"/>
  <c r="M43" i="19"/>
  <c r="U30" i="18"/>
  <c r="B31" i="18"/>
  <c r="Q29" i="19"/>
  <c r="G32" i="18"/>
  <c r="S38" i="18"/>
  <c r="Q47" i="19" l="1"/>
  <c r="N134" i="15"/>
  <c r="N182" i="15"/>
  <c r="R187" i="15" s="1"/>
  <c r="L133" i="14"/>
  <c r="P102" i="14"/>
  <c r="M147" i="15"/>
  <c r="M161" i="15" s="1"/>
  <c r="Q49" i="19"/>
  <c r="N118" i="14"/>
  <c r="M21" i="22"/>
  <c r="L20" i="22"/>
  <c r="N22" i="22"/>
  <c r="K15" i="22"/>
  <c r="K16" i="22"/>
  <c r="K13" i="22"/>
  <c r="K5" i="22"/>
  <c r="K12" i="22"/>
  <c r="K9" i="22"/>
  <c r="K14" i="22"/>
  <c r="L3" i="22"/>
  <c r="K8" i="22"/>
  <c r="K10" i="22"/>
  <c r="K7" i="22"/>
  <c r="K11" i="22"/>
  <c r="J6" i="22"/>
  <c r="K19" i="22" s="1"/>
  <c r="J18" i="22"/>
  <c r="J25" i="22" s="1"/>
  <c r="N12" i="18" s="1"/>
  <c r="N15" i="18" s="1"/>
  <c r="N136" i="15"/>
  <c r="N148" i="15"/>
  <c r="V99" i="15"/>
  <c r="O181" i="15"/>
  <c r="K203" i="14"/>
  <c r="K143" i="14"/>
  <c r="K157" i="14" s="1"/>
  <c r="Q99" i="14"/>
  <c r="Q103" i="14" s="1"/>
  <c r="Q97" i="14"/>
  <c r="Q119" i="15"/>
  <c r="R115" i="15"/>
  <c r="R117" i="15" s="1"/>
  <c r="P122" i="15"/>
  <c r="P83" i="15"/>
  <c r="Q79" i="15"/>
  <c r="Q81" i="15" s="1"/>
  <c r="O101" i="15"/>
  <c r="O135" i="15" s="1"/>
  <c r="P97" i="15"/>
  <c r="P100" i="15" s="1"/>
  <c r="P133" i="15" s="1"/>
  <c r="O85" i="15"/>
  <c r="O119" i="14"/>
  <c r="L92" i="14"/>
  <c r="M81" i="14"/>
  <c r="M179" i="14"/>
  <c r="N77" i="14"/>
  <c r="Q116" i="14"/>
  <c r="P117" i="14"/>
  <c r="Q113" i="14"/>
  <c r="Q115" i="14" s="1"/>
  <c r="R95" i="14"/>
  <c r="O7" i="19"/>
  <c r="M2" i="22"/>
  <c r="M17" i="22" s="1"/>
  <c r="R6" i="18"/>
  <c r="Q17" i="18"/>
  <c r="N53" i="19"/>
  <c r="N43" i="19"/>
  <c r="N23" i="19"/>
  <c r="B32" i="18"/>
  <c r="U31" i="18"/>
  <c r="S32" i="18"/>
  <c r="O184" i="15" l="1"/>
  <c r="N183" i="15"/>
  <c r="N162" i="15"/>
  <c r="N150" i="15"/>
  <c r="N195" i="15"/>
  <c r="F62" i="12" s="1"/>
  <c r="S188" i="15"/>
  <c r="Q186" i="15"/>
  <c r="P185" i="15"/>
  <c r="M3" i="22"/>
  <c r="L10" i="22"/>
  <c r="L15" i="22"/>
  <c r="L16" i="22"/>
  <c r="L12" i="22"/>
  <c r="L13" i="22"/>
  <c r="L8" i="22"/>
  <c r="L11" i="22"/>
  <c r="L9" i="22"/>
  <c r="L14" i="22"/>
  <c r="L5" i="22"/>
  <c r="L7" i="22"/>
  <c r="K18" i="22"/>
  <c r="K25" i="22" s="1"/>
  <c r="O12" i="18" s="1"/>
  <c r="O15" i="18" s="1"/>
  <c r="K6" i="22"/>
  <c r="L19" i="22" s="1"/>
  <c r="N21" i="22"/>
  <c r="M20" i="22"/>
  <c r="F20" i="16"/>
  <c r="F23" i="16" s="1"/>
  <c r="F21" i="16"/>
  <c r="W99" i="15"/>
  <c r="P181" i="15"/>
  <c r="M93" i="14"/>
  <c r="M133" i="14"/>
  <c r="L204" i="14"/>
  <c r="L144" i="14"/>
  <c r="L158" i="14" s="1"/>
  <c r="R99" i="14"/>
  <c r="R104" i="14" s="1"/>
  <c r="R97" i="14"/>
  <c r="P86" i="15"/>
  <c r="P101" i="15"/>
  <c r="P135" i="15" s="1"/>
  <c r="Q97" i="15"/>
  <c r="Q100" i="15" s="1"/>
  <c r="Q133" i="15" s="1"/>
  <c r="R119" i="15"/>
  <c r="S115" i="15"/>
  <c r="S117" i="15" s="1"/>
  <c r="Q123" i="15"/>
  <c r="O103" i="15"/>
  <c r="R79" i="15"/>
  <c r="R81" i="15" s="1"/>
  <c r="Q83" i="15"/>
  <c r="P120" i="14"/>
  <c r="N78" i="14"/>
  <c r="N81" i="14"/>
  <c r="N179" i="14"/>
  <c r="R116" i="14"/>
  <c r="Q117" i="14"/>
  <c r="R113" i="14"/>
  <c r="R115" i="14" s="1"/>
  <c r="S95" i="14"/>
  <c r="R17" i="18"/>
  <c r="P7" i="19"/>
  <c r="N2" i="22"/>
  <c r="N17" i="22" s="1"/>
  <c r="O23" i="19"/>
  <c r="O43" i="19"/>
  <c r="O53" i="19"/>
  <c r="U32" i="18"/>
  <c r="B38" i="18"/>
  <c r="N133" i="14" l="1"/>
  <c r="N82" i="14"/>
  <c r="N20" i="22"/>
  <c r="L6" i="22"/>
  <c r="M19" i="22" s="1"/>
  <c r="L18" i="22"/>
  <c r="L25" i="22" s="1"/>
  <c r="P12" i="18" s="1"/>
  <c r="P15" i="18" s="1"/>
  <c r="M12" i="22"/>
  <c r="M13" i="22"/>
  <c r="M8" i="22"/>
  <c r="M9" i="22"/>
  <c r="M11" i="22"/>
  <c r="M16" i="22"/>
  <c r="M14" i="22"/>
  <c r="M10" i="22"/>
  <c r="M15" i="22"/>
  <c r="N3" i="22"/>
  <c r="M5" i="22"/>
  <c r="M7" i="22"/>
  <c r="O197" i="15"/>
  <c r="O137" i="15"/>
  <c r="O151" i="15" s="1"/>
  <c r="X99" i="15"/>
  <c r="Q181" i="15"/>
  <c r="M205" i="14"/>
  <c r="M145" i="14"/>
  <c r="M159" i="14" s="1"/>
  <c r="N79" i="14"/>
  <c r="N131" i="14" s="1"/>
  <c r="F22" i="1" s="1"/>
  <c r="W48" i="18" s="1"/>
  <c r="N132" i="14"/>
  <c r="S99" i="14"/>
  <c r="S105" i="14" s="1"/>
  <c r="S97" i="14"/>
  <c r="R83" i="15"/>
  <c r="S79" i="15"/>
  <c r="S81" i="15" s="1"/>
  <c r="P104" i="15"/>
  <c r="S119" i="15"/>
  <c r="T115" i="15"/>
  <c r="R124" i="15"/>
  <c r="Q87" i="15"/>
  <c r="R97" i="15"/>
  <c r="R100" i="15" s="1"/>
  <c r="R133" i="15" s="1"/>
  <c r="Q101" i="15"/>
  <c r="Q135" i="15" s="1"/>
  <c r="N94" i="14"/>
  <c r="N180" i="14"/>
  <c r="Q121" i="14"/>
  <c r="O77" i="14"/>
  <c r="S116" i="14"/>
  <c r="R117" i="14"/>
  <c r="S113" i="14"/>
  <c r="S115" i="14" s="1"/>
  <c r="T95" i="14"/>
  <c r="P43" i="19"/>
  <c r="P53" i="19"/>
  <c r="P23" i="19"/>
  <c r="B39" i="18"/>
  <c r="U38" i="18"/>
  <c r="F13" i="15" l="1"/>
  <c r="F2" i="15" s="1"/>
  <c r="F54" i="12" s="1"/>
  <c r="N181" i="14"/>
  <c r="N193" i="14"/>
  <c r="N15" i="22"/>
  <c r="N9" i="22"/>
  <c r="N5" i="22"/>
  <c r="N18" i="22" s="1"/>
  <c r="N7" i="22"/>
  <c r="N8" i="22"/>
  <c r="N16" i="22"/>
  <c r="N13" i="22"/>
  <c r="N10" i="22"/>
  <c r="N11" i="22"/>
  <c r="N14" i="22"/>
  <c r="N12" i="22"/>
  <c r="M18" i="22"/>
  <c r="M25" i="22" s="1"/>
  <c r="Q12" i="18" s="1"/>
  <c r="Q15" i="18" s="1"/>
  <c r="M6" i="22"/>
  <c r="N19" i="22" s="1"/>
  <c r="P198" i="15"/>
  <c r="P138" i="15"/>
  <c r="P152" i="15" s="1"/>
  <c r="Y99" i="15"/>
  <c r="R181" i="15"/>
  <c r="T116" i="15"/>
  <c r="U115" i="15" s="1"/>
  <c r="U117" i="15" s="1"/>
  <c r="N194" i="14"/>
  <c r="N134" i="14"/>
  <c r="N148" i="14" s="1"/>
  <c r="N206" i="14"/>
  <c r="F27" i="14" s="1"/>
  <c r="N146" i="14"/>
  <c r="N160" i="14" s="1"/>
  <c r="O179" i="14"/>
  <c r="O79" i="14"/>
  <c r="O131" i="14" s="1"/>
  <c r="F50" i="11"/>
  <c r="F62" i="11"/>
  <c r="F13" i="14" s="1"/>
  <c r="F2" i="14" s="1"/>
  <c r="F54" i="11" s="1"/>
  <c r="G54" i="11" s="1"/>
  <c r="T79" i="15"/>
  <c r="S83" i="15"/>
  <c r="T119" i="15"/>
  <c r="R88" i="15"/>
  <c r="S125" i="15"/>
  <c r="Q105" i="15"/>
  <c r="R101" i="15"/>
  <c r="R135" i="15" s="1"/>
  <c r="S97" i="15"/>
  <c r="S100" i="15" s="1"/>
  <c r="S133" i="15" s="1"/>
  <c r="O182" i="14"/>
  <c r="Q184" i="14"/>
  <c r="R185" i="14"/>
  <c r="S186" i="14"/>
  <c r="P183" i="14"/>
  <c r="P77" i="14"/>
  <c r="O81" i="14"/>
  <c r="R122" i="14"/>
  <c r="T99" i="14"/>
  <c r="T96" i="14"/>
  <c r="U95" i="14" s="1"/>
  <c r="T116" i="14"/>
  <c r="S117" i="14"/>
  <c r="T113" i="14"/>
  <c r="B40" i="18"/>
  <c r="U39" i="18"/>
  <c r="G54" i="12" l="1"/>
  <c r="F51" i="12"/>
  <c r="F14" i="15"/>
  <c r="G11" i="15"/>
  <c r="G11" i="14"/>
  <c r="F14" i="14"/>
  <c r="O133" i="14"/>
  <c r="O83" i="14"/>
  <c r="F20" i="1"/>
  <c r="F23" i="1" s="1"/>
  <c r="N6" i="22"/>
  <c r="N25" i="22"/>
  <c r="R12" i="18" s="1"/>
  <c r="F21" i="1"/>
  <c r="T117" i="15"/>
  <c r="Q199" i="15"/>
  <c r="Q139" i="15"/>
  <c r="Q153" i="15" s="1"/>
  <c r="Z99" i="15"/>
  <c r="AA99" i="15" s="1"/>
  <c r="T80" i="15"/>
  <c r="T81" i="15" s="1"/>
  <c r="S181" i="15"/>
  <c r="T114" i="14"/>
  <c r="T115" i="14" s="1"/>
  <c r="U99" i="14"/>
  <c r="U107" i="14" s="1"/>
  <c r="U97" i="14"/>
  <c r="T97" i="14"/>
  <c r="P81" i="14"/>
  <c r="P79" i="14"/>
  <c r="P131" i="14" s="1"/>
  <c r="G50" i="11"/>
  <c r="U119" i="15"/>
  <c r="V115" i="15"/>
  <c r="V117" i="15" s="1"/>
  <c r="S89" i="15"/>
  <c r="R106" i="15"/>
  <c r="T83" i="15"/>
  <c r="T126" i="15"/>
  <c r="T97" i="15"/>
  <c r="S101" i="15"/>
  <c r="S135" i="15" s="1"/>
  <c r="P179" i="14"/>
  <c r="Q77" i="14"/>
  <c r="S123" i="14"/>
  <c r="T106" i="14"/>
  <c r="U116" i="14"/>
  <c r="T117" i="14"/>
  <c r="V95" i="14"/>
  <c r="U40" i="18"/>
  <c r="B41" i="18"/>
  <c r="F119" i="16" l="1"/>
  <c r="F120" i="16" s="1"/>
  <c r="F122" i="16" s="1"/>
  <c r="G51" i="12"/>
  <c r="F53" i="12"/>
  <c r="E90" i="12"/>
  <c r="E94" i="12"/>
  <c r="P133" i="14"/>
  <c r="P84" i="14"/>
  <c r="R15" i="18"/>
  <c r="S15" i="18" s="1"/>
  <c r="S12" i="18"/>
  <c r="T181" i="15"/>
  <c r="U113" i="14"/>
  <c r="U115" i="14" s="1"/>
  <c r="R200" i="15"/>
  <c r="R140" i="15"/>
  <c r="R154" i="15" s="1"/>
  <c r="AB99" i="15"/>
  <c r="O195" i="14"/>
  <c r="O135" i="14"/>
  <c r="O149" i="14" s="1"/>
  <c r="V99" i="14"/>
  <c r="V108" i="14" s="1"/>
  <c r="V97" i="14"/>
  <c r="Q81" i="14"/>
  <c r="Q79" i="14"/>
  <c r="Q131" i="14" s="1"/>
  <c r="T98" i="15"/>
  <c r="T134" i="15" s="1"/>
  <c r="S107" i="15"/>
  <c r="T90" i="15"/>
  <c r="U79" i="15"/>
  <c r="U81" i="15" s="1"/>
  <c r="W115" i="15"/>
  <c r="W117" i="15" s="1"/>
  <c r="V119" i="15"/>
  <c r="T101" i="15"/>
  <c r="T135" i="15" s="1"/>
  <c r="U127" i="15"/>
  <c r="Q179" i="14"/>
  <c r="R77" i="14"/>
  <c r="T124" i="14"/>
  <c r="V116" i="14"/>
  <c r="W95" i="14"/>
  <c r="B42" i="18"/>
  <c r="U41" i="18"/>
  <c r="F59" i="12" l="1"/>
  <c r="G53" i="12"/>
  <c r="F121" i="16"/>
  <c r="D28" i="21" s="1"/>
  <c r="F125" i="16"/>
  <c r="Q133" i="14"/>
  <c r="Q85" i="14"/>
  <c r="V113" i="14"/>
  <c r="V115" i="14" s="1"/>
  <c r="U117" i="14"/>
  <c r="U125" i="14" s="1"/>
  <c r="T100" i="15"/>
  <c r="T133" i="15" s="1"/>
  <c r="S201" i="15"/>
  <c r="S141" i="15"/>
  <c r="S155" i="15" s="1"/>
  <c r="T182" i="15"/>
  <c r="Y194" i="15" s="1"/>
  <c r="AC99" i="15"/>
  <c r="P196" i="14"/>
  <c r="P136" i="14"/>
  <c r="P150" i="14" s="1"/>
  <c r="S77" i="14"/>
  <c r="S79" i="14" s="1"/>
  <c r="S131" i="14" s="1"/>
  <c r="R79" i="14"/>
  <c r="R131" i="14" s="1"/>
  <c r="W99" i="14"/>
  <c r="W109" i="14" s="1"/>
  <c r="W97" i="14"/>
  <c r="U83" i="15"/>
  <c r="V79" i="15"/>
  <c r="V81" i="15" s="1"/>
  <c r="U97" i="15"/>
  <c r="U100" i="15" s="1"/>
  <c r="U133" i="15" s="1"/>
  <c r="T108" i="15"/>
  <c r="W119" i="15"/>
  <c r="X115" i="15"/>
  <c r="X117" i="15" s="1"/>
  <c r="V128" i="15"/>
  <c r="R179" i="14"/>
  <c r="R81" i="14"/>
  <c r="W116" i="14"/>
  <c r="X95" i="14"/>
  <c r="U42" i="18"/>
  <c r="B43" i="18"/>
  <c r="E79" i="12" l="1"/>
  <c r="F126" i="16"/>
  <c r="E80" i="12" s="1"/>
  <c r="F60" i="12"/>
  <c r="G60" i="12" s="1"/>
  <c r="G59" i="12"/>
  <c r="R86" i="14"/>
  <c r="W113" i="14"/>
  <c r="W115" i="14" s="1"/>
  <c r="V117" i="14"/>
  <c r="V126" i="14" s="1"/>
  <c r="U190" i="15"/>
  <c r="W192" i="15"/>
  <c r="T189" i="15"/>
  <c r="V191" i="15"/>
  <c r="T202" i="15"/>
  <c r="T142" i="15"/>
  <c r="T156" i="15" s="1"/>
  <c r="X193" i="15"/>
  <c r="AD99" i="15"/>
  <c r="U181" i="15"/>
  <c r="R133" i="14"/>
  <c r="Q197" i="14"/>
  <c r="Q137" i="14"/>
  <c r="Q151" i="14" s="1"/>
  <c r="S179" i="14"/>
  <c r="S81" i="14"/>
  <c r="T77" i="14"/>
  <c r="T179" i="14" s="1"/>
  <c r="X99" i="14"/>
  <c r="X110" i="14" s="1"/>
  <c r="X97" i="14"/>
  <c r="U91" i="15"/>
  <c r="U101" i="15"/>
  <c r="U135" i="15" s="1"/>
  <c r="V97" i="15"/>
  <c r="V100" i="15" s="1"/>
  <c r="V133" i="15" s="1"/>
  <c r="W79" i="15"/>
  <c r="W81" i="15" s="1"/>
  <c r="V83" i="15"/>
  <c r="W129" i="15"/>
  <c r="X119" i="15"/>
  <c r="Y115" i="15"/>
  <c r="Y117" i="15" s="1"/>
  <c r="X116" i="14"/>
  <c r="Y95" i="14"/>
  <c r="B44" i="18"/>
  <c r="U43" i="18"/>
  <c r="S133" i="14" l="1"/>
  <c r="S87" i="14"/>
  <c r="S199" i="14" s="1"/>
  <c r="W117" i="14"/>
  <c r="X113" i="14"/>
  <c r="X115" i="14" s="1"/>
  <c r="AE99" i="15"/>
  <c r="V181" i="15"/>
  <c r="T81" i="14"/>
  <c r="T78" i="14"/>
  <c r="T132" i="14" s="1"/>
  <c r="R198" i="14"/>
  <c r="R138" i="14"/>
  <c r="R152" i="14" s="1"/>
  <c r="Y99" i="14"/>
  <c r="Y111" i="14" s="1"/>
  <c r="Y97" i="14"/>
  <c r="W83" i="15"/>
  <c r="X79" i="15"/>
  <c r="X81" i="15" s="1"/>
  <c r="X130" i="15"/>
  <c r="V92" i="15"/>
  <c r="Z115" i="15"/>
  <c r="Y119" i="15"/>
  <c r="U109" i="15"/>
  <c r="W97" i="15"/>
  <c r="W100" i="15" s="1"/>
  <c r="W133" i="15" s="1"/>
  <c r="V101" i="15"/>
  <c r="V135" i="15" s="1"/>
  <c r="W127" i="14"/>
  <c r="Y116" i="14"/>
  <c r="Z95" i="14"/>
  <c r="U44" i="18"/>
  <c r="B45" i="18"/>
  <c r="X117" i="14" l="1"/>
  <c r="Y113" i="14"/>
  <c r="Y115" i="14" s="1"/>
  <c r="T133" i="14"/>
  <c r="T88" i="14"/>
  <c r="T200" i="14" s="1"/>
  <c r="T79" i="14"/>
  <c r="T131" i="14" s="1"/>
  <c r="S139" i="14"/>
  <c r="S153" i="14" s="1"/>
  <c r="T180" i="14"/>
  <c r="V189" i="14" s="1"/>
  <c r="U77" i="14"/>
  <c r="U79" i="14" s="1"/>
  <c r="U131" i="14" s="1"/>
  <c r="U203" i="15"/>
  <c r="U143" i="15"/>
  <c r="U157" i="15" s="1"/>
  <c r="AF99" i="15"/>
  <c r="AG99" i="15" s="1"/>
  <c r="W181" i="15"/>
  <c r="Z116" i="15"/>
  <c r="Y131" i="15"/>
  <c r="V110" i="15"/>
  <c r="Z119" i="15"/>
  <c r="X83" i="15"/>
  <c r="Y79" i="15"/>
  <c r="Y81" i="15" s="1"/>
  <c r="W101" i="15"/>
  <c r="W135" i="15" s="1"/>
  <c r="X97" i="15"/>
  <c r="X100" i="15" s="1"/>
  <c r="X133" i="15" s="1"/>
  <c r="W93" i="15"/>
  <c r="X128" i="14"/>
  <c r="Z99" i="14"/>
  <c r="Z96" i="14"/>
  <c r="AA95" i="14" s="1"/>
  <c r="Z116" i="14"/>
  <c r="B46" i="18"/>
  <c r="U45" i="18"/>
  <c r="Y117" i="14" l="1"/>
  <c r="Y129" i="14" s="1"/>
  <c r="Z113" i="14"/>
  <c r="Z114" i="14" s="1"/>
  <c r="AA113" i="14" s="1"/>
  <c r="AA115" i="14" s="1"/>
  <c r="U188" i="14"/>
  <c r="T140" i="14"/>
  <c r="T154" i="14" s="1"/>
  <c r="V77" i="14"/>
  <c r="V79" i="14" s="1"/>
  <c r="V131" i="14" s="1"/>
  <c r="U179" i="14"/>
  <c r="U81" i="14"/>
  <c r="T187" i="14"/>
  <c r="X191" i="14"/>
  <c r="W190" i="14"/>
  <c r="Y192" i="14"/>
  <c r="AA115" i="15"/>
  <c r="AA117" i="15" s="1"/>
  <c r="V204" i="15"/>
  <c r="V144" i="15"/>
  <c r="V158" i="15" s="1"/>
  <c r="Z117" i="15"/>
  <c r="AH99" i="15"/>
  <c r="X181" i="15"/>
  <c r="AA99" i="14"/>
  <c r="AA101" i="14" s="1"/>
  <c r="AA97" i="14"/>
  <c r="Z97" i="14"/>
  <c r="Z132" i="15"/>
  <c r="Z120" i="15"/>
  <c r="X101" i="15"/>
  <c r="X135" i="15" s="1"/>
  <c r="Y97" i="15"/>
  <c r="Y100" i="15" s="1"/>
  <c r="Y133" i="15" s="1"/>
  <c r="W111" i="15"/>
  <c r="Y83" i="15"/>
  <c r="Z79" i="15"/>
  <c r="X94" i="15"/>
  <c r="Z112" i="14"/>
  <c r="Z100" i="14"/>
  <c r="AA116" i="14"/>
  <c r="Z117" i="14"/>
  <c r="AB95" i="14"/>
  <c r="U46" i="18"/>
  <c r="B47" i="18"/>
  <c r="U133" i="14" l="1"/>
  <c r="U89" i="14"/>
  <c r="U201" i="14" s="1"/>
  <c r="AA119" i="15"/>
  <c r="AA121" i="15" s="1"/>
  <c r="AB115" i="15"/>
  <c r="AB117" i="15" s="1"/>
  <c r="W77" i="14"/>
  <c r="W79" i="14" s="1"/>
  <c r="W131" i="14" s="1"/>
  <c r="V179" i="14"/>
  <c r="V81" i="14"/>
  <c r="W205" i="15"/>
  <c r="W145" i="15"/>
  <c r="W159" i="15" s="1"/>
  <c r="AI99" i="15"/>
  <c r="Z80" i="15"/>
  <c r="Y181" i="15"/>
  <c r="Z115" i="14"/>
  <c r="AB99" i="14"/>
  <c r="AB102" i="14" s="1"/>
  <c r="AB97" i="14"/>
  <c r="X112" i="15"/>
  <c r="Z83" i="15"/>
  <c r="Y95" i="15"/>
  <c r="Z97" i="15"/>
  <c r="Y101" i="15"/>
  <c r="Y135" i="15" s="1"/>
  <c r="Z130" i="14"/>
  <c r="Z118" i="14"/>
  <c r="AB116" i="14"/>
  <c r="AA117" i="14"/>
  <c r="AB113" i="14"/>
  <c r="AB115" i="14" s="1"/>
  <c r="AC95" i="14"/>
  <c r="U47" i="18"/>
  <c r="B48" i="18"/>
  <c r="V133" i="14" l="1"/>
  <c r="V90" i="14"/>
  <c r="X77" i="14"/>
  <c r="X79" i="14" s="1"/>
  <c r="X131" i="14" s="1"/>
  <c r="AC115" i="15"/>
  <c r="AC117" i="15" s="1"/>
  <c r="AB119" i="15"/>
  <c r="AB122" i="15" s="1"/>
  <c r="W81" i="14"/>
  <c r="W179" i="14"/>
  <c r="V142" i="14"/>
  <c r="V156" i="14" s="1"/>
  <c r="Z81" i="15"/>
  <c r="U141" i="14"/>
  <c r="U155" i="14" s="1"/>
  <c r="AA79" i="15"/>
  <c r="AA81" i="15" s="1"/>
  <c r="X206" i="15"/>
  <c r="X146" i="15"/>
  <c r="X160" i="15" s="1"/>
  <c r="AJ99" i="15"/>
  <c r="Z181" i="15"/>
  <c r="AC99" i="14"/>
  <c r="AC103" i="14" s="1"/>
  <c r="AC97" i="14"/>
  <c r="Z98" i="15"/>
  <c r="Z134" i="15" s="1"/>
  <c r="Y113" i="15"/>
  <c r="Z84" i="15"/>
  <c r="Z96" i="15"/>
  <c r="Z101" i="15"/>
  <c r="Z135" i="15" s="1"/>
  <c r="AA119" i="14"/>
  <c r="AC116" i="14"/>
  <c r="AB117" i="14"/>
  <c r="AC113" i="14"/>
  <c r="AC115" i="14" s="1"/>
  <c r="AD95" i="14"/>
  <c r="U48" i="18"/>
  <c r="B49" i="18"/>
  <c r="W133" i="14" l="1"/>
  <c r="W91" i="14"/>
  <c r="W143" i="14" s="1"/>
  <c r="W157" i="14" s="1"/>
  <c r="X179" i="14"/>
  <c r="AD115" i="15"/>
  <c r="AD117" i="15" s="1"/>
  <c r="AC119" i="15"/>
  <c r="AC123" i="15" s="1"/>
  <c r="Y77" i="14"/>
  <c r="Y79" i="14" s="1"/>
  <c r="Y131" i="14" s="1"/>
  <c r="X81" i="14"/>
  <c r="V202" i="14"/>
  <c r="Z100" i="15"/>
  <c r="Z133" i="15" s="1"/>
  <c r="G22" i="16"/>
  <c r="AB79" i="15"/>
  <c r="AB81" i="15" s="1"/>
  <c r="AA83" i="15"/>
  <c r="AA85" i="15" s="1"/>
  <c r="Y207" i="15"/>
  <c r="Y147" i="15"/>
  <c r="Y161" i="15" s="1"/>
  <c r="AK99" i="15"/>
  <c r="AD99" i="14"/>
  <c r="AD104" i="14" s="1"/>
  <c r="AD97" i="14"/>
  <c r="AA97" i="15"/>
  <c r="AA100" i="15" s="1"/>
  <c r="AA133" i="15" s="1"/>
  <c r="Z182" i="15"/>
  <c r="Z114" i="15"/>
  <c r="Z148" i="15" s="1"/>
  <c r="Z162" i="15" s="1"/>
  <c r="Z102" i="15"/>
  <c r="AB120" i="14"/>
  <c r="AD116" i="14"/>
  <c r="AC117" i="14"/>
  <c r="AD113" i="14"/>
  <c r="AD115" i="14" s="1"/>
  <c r="AE95" i="14"/>
  <c r="U49" i="18"/>
  <c r="B50" i="18"/>
  <c r="AD119" i="15" l="1"/>
  <c r="AE115" i="15"/>
  <c r="AE117" i="15" s="1"/>
  <c r="X133" i="14"/>
  <c r="X92" i="14"/>
  <c r="X204" i="14" s="1"/>
  <c r="W203" i="14"/>
  <c r="Z77" i="14"/>
  <c r="Z179" i="14" s="1"/>
  <c r="Y81" i="14"/>
  <c r="Y179" i="14"/>
  <c r="AB83" i="15"/>
  <c r="AB86" i="15" s="1"/>
  <c r="AC79" i="15"/>
  <c r="AC81" i="15" s="1"/>
  <c r="Z196" i="15"/>
  <c r="Z136" i="15"/>
  <c r="Z150" i="15" s="1"/>
  <c r="Z208" i="15"/>
  <c r="H50" i="12" s="1"/>
  <c r="G20" i="16"/>
  <c r="G23" i="16" s="1"/>
  <c r="AL99" i="15"/>
  <c r="AD124" i="15"/>
  <c r="AA181" i="15"/>
  <c r="AE99" i="14"/>
  <c r="AE105" i="14" s="1"/>
  <c r="AE97" i="14"/>
  <c r="AB97" i="15"/>
  <c r="AB100" i="15" s="1"/>
  <c r="AB133" i="15" s="1"/>
  <c r="AA101" i="15"/>
  <c r="Z183" i="15"/>
  <c r="AB185" i="15"/>
  <c r="AD187" i="15"/>
  <c r="AC186" i="15"/>
  <c r="AE188" i="15"/>
  <c r="Z195" i="15"/>
  <c r="H62" i="12" s="1"/>
  <c r="AA184" i="15"/>
  <c r="AC121" i="14"/>
  <c r="AE116" i="14"/>
  <c r="AD117" i="14"/>
  <c r="AE113" i="14"/>
  <c r="AE115" i="14" s="1"/>
  <c r="AF95" i="14"/>
  <c r="U50" i="18"/>
  <c r="B51" i="18"/>
  <c r="AF115" i="15" l="1"/>
  <c r="AE119" i="15"/>
  <c r="Z81" i="14"/>
  <c r="Z133" i="14" s="1"/>
  <c r="Y133" i="14"/>
  <c r="Y93" i="14"/>
  <c r="Y205" i="14" s="1"/>
  <c r="Z78" i="14"/>
  <c r="AA77" i="14" s="1"/>
  <c r="X144" i="14"/>
  <c r="X158" i="14" s="1"/>
  <c r="AD79" i="15"/>
  <c r="AD81" i="15" s="1"/>
  <c r="AC83" i="15"/>
  <c r="AC87" i="15" s="1"/>
  <c r="J50" i="12"/>
  <c r="G21" i="16"/>
  <c r="AA103" i="15"/>
  <c r="AA135" i="15"/>
  <c r="AE125" i="15"/>
  <c r="AB181" i="15"/>
  <c r="AF116" i="15"/>
  <c r="AD122" i="14"/>
  <c r="AC97" i="15"/>
  <c r="AC100" i="15" s="1"/>
  <c r="AC133" i="15" s="1"/>
  <c r="AB101" i="15"/>
  <c r="AF119" i="15"/>
  <c r="AF99" i="14"/>
  <c r="AF106" i="14" s="1"/>
  <c r="AF96" i="14"/>
  <c r="AG95" i="14" s="1"/>
  <c r="AF116" i="14"/>
  <c r="AE117" i="14"/>
  <c r="AF113" i="14"/>
  <c r="U51" i="18"/>
  <c r="B52" i="18"/>
  <c r="U52" i="18" s="1"/>
  <c r="Z82" i="14" l="1"/>
  <c r="Z134" i="14" s="1"/>
  <c r="Z94" i="14"/>
  <c r="Z206" i="14" s="1"/>
  <c r="H50" i="11" s="1"/>
  <c r="Z79" i="14"/>
  <c r="Z131" i="14" s="1"/>
  <c r="G22" i="1" s="1"/>
  <c r="Z132" i="14"/>
  <c r="Z180" i="14"/>
  <c r="AC184" i="14" s="1"/>
  <c r="Y145" i="14"/>
  <c r="Y159" i="14" s="1"/>
  <c r="AD83" i="15"/>
  <c r="AD88" i="15" s="1"/>
  <c r="AE79" i="15"/>
  <c r="AE81" i="15" s="1"/>
  <c r="R48" i="18"/>
  <c r="L48" i="18"/>
  <c r="AF117" i="15"/>
  <c r="AG115" i="15"/>
  <c r="AG117" i="15" s="1"/>
  <c r="AB104" i="15"/>
  <c r="AB135" i="15"/>
  <c r="AA197" i="15"/>
  <c r="AA137" i="15"/>
  <c r="AA151" i="15" s="1"/>
  <c r="AC181" i="15"/>
  <c r="AF126" i="15"/>
  <c r="AD97" i="15"/>
  <c r="AE123" i="14"/>
  <c r="AF114" i="14"/>
  <c r="AG113" i="14" s="1"/>
  <c r="AG115" i="14" s="1"/>
  <c r="AG99" i="14"/>
  <c r="AG107" i="14" s="1"/>
  <c r="AG97" i="14"/>
  <c r="AA81" i="14"/>
  <c r="AA79" i="14"/>
  <c r="AA131" i="14" s="1"/>
  <c r="AF97" i="14"/>
  <c r="AC101" i="15"/>
  <c r="AC135" i="15" s="1"/>
  <c r="AB77" i="14"/>
  <c r="AA179" i="14"/>
  <c r="AG116" i="14"/>
  <c r="AF117" i="14"/>
  <c r="AH95" i="14"/>
  <c r="G13" i="15" l="1"/>
  <c r="G2" i="15" s="1"/>
  <c r="H54" i="12" s="1"/>
  <c r="Z194" i="14"/>
  <c r="Z148" i="14"/>
  <c r="Z146" i="14"/>
  <c r="Z160" i="14" s="1"/>
  <c r="G20" i="1" s="1"/>
  <c r="G23" i="1" s="1"/>
  <c r="AA182" i="14"/>
  <c r="AB183" i="14"/>
  <c r="Z193" i="14"/>
  <c r="H62" i="11" s="1"/>
  <c r="G13" i="14" s="1"/>
  <c r="G2" i="14" s="1"/>
  <c r="H54" i="11" s="1"/>
  <c r="J54" i="11" s="1"/>
  <c r="Z181" i="14"/>
  <c r="AE186" i="14"/>
  <c r="AD185" i="14"/>
  <c r="AH115" i="15"/>
  <c r="AH117" i="15" s="1"/>
  <c r="AG119" i="15"/>
  <c r="AG127" i="15" s="1"/>
  <c r="G85" i="19"/>
  <c r="G79" i="19" s="1"/>
  <c r="P85" i="19"/>
  <c r="P79" i="19" s="1"/>
  <c r="H85" i="19"/>
  <c r="H79" i="19" s="1"/>
  <c r="E85" i="19"/>
  <c r="N85" i="19"/>
  <c r="N79" i="19" s="1"/>
  <c r="U79" i="19"/>
  <c r="W30" i="18" s="1"/>
  <c r="J85" i="19"/>
  <c r="J79" i="19" s="1"/>
  <c r="F85" i="19"/>
  <c r="F79" i="19" s="1"/>
  <c r="I85" i="19"/>
  <c r="I79" i="19" s="1"/>
  <c r="T85" i="19"/>
  <c r="T79" i="19" s="1"/>
  <c r="K85" i="19"/>
  <c r="K79" i="19" s="1"/>
  <c r="M85" i="19"/>
  <c r="M79" i="19" s="1"/>
  <c r="O85" i="19"/>
  <c r="O79" i="19" s="1"/>
  <c r="L85" i="19"/>
  <c r="L79" i="19" s="1"/>
  <c r="L86" i="19"/>
  <c r="P86" i="19"/>
  <c r="I86" i="19"/>
  <c r="M86" i="19"/>
  <c r="J86" i="19"/>
  <c r="G86" i="19"/>
  <c r="F86" i="19"/>
  <c r="N86" i="19"/>
  <c r="O86" i="19"/>
  <c r="K86" i="19"/>
  <c r="H86" i="19"/>
  <c r="AF79" i="15"/>
  <c r="AF80" i="15" s="1"/>
  <c r="AF81" i="15" s="1"/>
  <c r="AE83" i="15"/>
  <c r="AE89" i="15" s="1"/>
  <c r="S48" i="18"/>
  <c r="AD101" i="15"/>
  <c r="AD135" i="15" s="1"/>
  <c r="AD100" i="15"/>
  <c r="AD133" i="15" s="1"/>
  <c r="G21" i="1"/>
  <c r="W44" i="18" s="1"/>
  <c r="L44" i="18" s="1"/>
  <c r="AC105" i="15"/>
  <c r="AC199" i="15" s="1"/>
  <c r="J50" i="11"/>
  <c r="AB198" i="15"/>
  <c r="AB138" i="15"/>
  <c r="AB152" i="15" s="1"/>
  <c r="AD181" i="15"/>
  <c r="AE97" i="15"/>
  <c r="AA83" i="14"/>
  <c r="AA133" i="14"/>
  <c r="AF124" i="14"/>
  <c r="AF115" i="14"/>
  <c r="AH99" i="14"/>
  <c r="AH108" i="14" s="1"/>
  <c r="AH97" i="14"/>
  <c r="AB81" i="14"/>
  <c r="AB133" i="14" s="1"/>
  <c r="AB79" i="14"/>
  <c r="AB131" i="14" s="1"/>
  <c r="AC77" i="14"/>
  <c r="AB179" i="14"/>
  <c r="AH116" i="14"/>
  <c r="AG117" i="14"/>
  <c r="AH113" i="14"/>
  <c r="AH115" i="14" s="1"/>
  <c r="AI95" i="14"/>
  <c r="J54" i="12" l="1"/>
  <c r="H51" i="12"/>
  <c r="H53" i="12" s="1"/>
  <c r="H11" i="15"/>
  <c r="H13" i="15" s="1"/>
  <c r="G14" i="15"/>
  <c r="G14" i="14"/>
  <c r="H11" i="14"/>
  <c r="AI115" i="15"/>
  <c r="AI117" i="15" s="1"/>
  <c r="AH119" i="15"/>
  <c r="AH128" i="15" s="1"/>
  <c r="E79" i="19"/>
  <c r="Q79" i="19" s="1"/>
  <c r="Q85" i="19"/>
  <c r="I30" i="18"/>
  <c r="G72" i="19" s="1"/>
  <c r="G73" i="19" s="1"/>
  <c r="Q30" i="18"/>
  <c r="O72" i="19" s="1"/>
  <c r="O73" i="19" s="1"/>
  <c r="M30" i="18"/>
  <c r="K72" i="19" s="1"/>
  <c r="K73" i="19" s="1"/>
  <c r="L30" i="18"/>
  <c r="J72" i="19" s="1"/>
  <c r="J73" i="19" s="1"/>
  <c r="J30" i="18"/>
  <c r="H72" i="19" s="1"/>
  <c r="H73" i="19" s="1"/>
  <c r="P30" i="18"/>
  <c r="N72" i="19" s="1"/>
  <c r="N73" i="19" s="1"/>
  <c r="N30" i="18"/>
  <c r="L72" i="19" s="1"/>
  <c r="L73" i="19" s="1"/>
  <c r="G30" i="18"/>
  <c r="O30" i="18"/>
  <c r="M72" i="19" s="1"/>
  <c r="M73" i="19" s="1"/>
  <c r="V30" i="18"/>
  <c r="R30" i="18"/>
  <c r="P72" i="19" s="1"/>
  <c r="P73" i="19" s="1"/>
  <c r="K30" i="18"/>
  <c r="I72" i="19" s="1"/>
  <c r="I73" i="19" s="1"/>
  <c r="H30" i="18"/>
  <c r="F72" i="19" s="1"/>
  <c r="F73" i="19" s="1"/>
  <c r="Q94" i="19"/>
  <c r="Q86" i="19" s="1"/>
  <c r="AF83" i="15"/>
  <c r="AF90" i="15" s="1"/>
  <c r="AD106" i="15"/>
  <c r="AD140" i="15" s="1"/>
  <c r="AD154" i="15" s="1"/>
  <c r="AF97" i="15"/>
  <c r="AF101" i="15" s="1"/>
  <c r="AE100" i="15"/>
  <c r="AE133" i="15" s="1"/>
  <c r="R44" i="18"/>
  <c r="AC139" i="15"/>
  <c r="AC153" i="15" s="1"/>
  <c r="AE181" i="15"/>
  <c r="AE101" i="15"/>
  <c r="AB84" i="14"/>
  <c r="AB136" i="14" s="1"/>
  <c r="AB150" i="14" s="1"/>
  <c r="AG125" i="14"/>
  <c r="AA195" i="14"/>
  <c r="AA135" i="14"/>
  <c r="AA149" i="14" s="1"/>
  <c r="AD77" i="14"/>
  <c r="AD79" i="14" s="1"/>
  <c r="AD131" i="14" s="1"/>
  <c r="AC79" i="14"/>
  <c r="AC131" i="14" s="1"/>
  <c r="AI99" i="14"/>
  <c r="AI109" i="14" s="1"/>
  <c r="AI97" i="14"/>
  <c r="AG79" i="15"/>
  <c r="AG81" i="15" s="1"/>
  <c r="AC179" i="14"/>
  <c r="AC81" i="14"/>
  <c r="AI116" i="14"/>
  <c r="AH117" i="14"/>
  <c r="AI113" i="14"/>
  <c r="AI115" i="14" s="1"/>
  <c r="AJ95" i="14"/>
  <c r="H14" i="15" l="1"/>
  <c r="H2" i="15"/>
  <c r="K54" i="12" s="1"/>
  <c r="L54" i="12" s="1"/>
  <c r="G119" i="16"/>
  <c r="G120" i="16" s="1"/>
  <c r="G122" i="16" s="1"/>
  <c r="F94" i="12"/>
  <c r="J51" i="12"/>
  <c r="F90" i="12"/>
  <c r="AJ115" i="15"/>
  <c r="AJ117" i="15" s="1"/>
  <c r="AI119" i="15"/>
  <c r="S43" i="18"/>
  <c r="E72" i="19"/>
  <c r="S30" i="18"/>
  <c r="AF135" i="15"/>
  <c r="AF98" i="15"/>
  <c r="AF134" i="15" s="1"/>
  <c r="S44" i="18"/>
  <c r="AF181" i="15"/>
  <c r="AD200" i="15"/>
  <c r="AB196" i="14"/>
  <c r="AE107" i="15"/>
  <c r="AE135" i="15"/>
  <c r="AI129" i="15"/>
  <c r="AD179" i="14"/>
  <c r="AC85" i="14"/>
  <c r="AC133" i="14"/>
  <c r="AH126" i="14"/>
  <c r="AE77" i="14"/>
  <c r="AE79" i="14" s="1"/>
  <c r="AE131" i="14" s="1"/>
  <c r="AD81" i="14"/>
  <c r="AD133" i="14" s="1"/>
  <c r="AJ99" i="14"/>
  <c r="AJ110" i="14" s="1"/>
  <c r="AJ97" i="14"/>
  <c r="AF108" i="15"/>
  <c r="AH79" i="15"/>
  <c r="AH81" i="15" s="1"/>
  <c r="AG83" i="15"/>
  <c r="AJ116" i="14"/>
  <c r="AI117" i="14"/>
  <c r="AJ113" i="14"/>
  <c r="AJ115" i="14" s="1"/>
  <c r="AK95" i="14"/>
  <c r="AK115" i="15" l="1"/>
  <c r="AK117" i="15" s="1"/>
  <c r="AJ119" i="15"/>
  <c r="H59" i="12"/>
  <c r="J53" i="12"/>
  <c r="G125" i="16"/>
  <c r="G121" i="16"/>
  <c r="E28" i="21" s="1"/>
  <c r="AG97" i="15"/>
  <c r="AG100" i="15" s="1"/>
  <c r="AG133" i="15" s="1"/>
  <c r="AF182" i="15"/>
  <c r="AJ193" i="15" s="1"/>
  <c r="AF100" i="15"/>
  <c r="AF133" i="15" s="1"/>
  <c r="Q72" i="19"/>
  <c r="E73" i="19"/>
  <c r="AF202" i="15"/>
  <c r="AF142" i="15"/>
  <c r="AF156" i="15" s="1"/>
  <c r="AE201" i="15"/>
  <c r="AE141" i="15"/>
  <c r="AE155" i="15" s="1"/>
  <c r="AJ130" i="15"/>
  <c r="AE179" i="14"/>
  <c r="AI127" i="14"/>
  <c r="AD86" i="14"/>
  <c r="AF77" i="14"/>
  <c r="AF179" i="14" s="1"/>
  <c r="AC197" i="14"/>
  <c r="AC137" i="14"/>
  <c r="AC151" i="14" s="1"/>
  <c r="AE81" i="14"/>
  <c r="AK99" i="14"/>
  <c r="AK111" i="14" s="1"/>
  <c r="AK97" i="14"/>
  <c r="AH83" i="15"/>
  <c r="AH92" i="15" s="1"/>
  <c r="AI79" i="15"/>
  <c r="AI81" i="15" s="1"/>
  <c r="AK119" i="15"/>
  <c r="AL115" i="15"/>
  <c r="AG91" i="15"/>
  <c r="AK116" i="14"/>
  <c r="AJ117" i="14"/>
  <c r="AK113" i="14"/>
  <c r="AK115" i="14" s="1"/>
  <c r="AL95" i="14"/>
  <c r="F79" i="12" l="1"/>
  <c r="G126" i="16"/>
  <c r="F80" i="12" s="1"/>
  <c r="AH97" i="15"/>
  <c r="AH100" i="15" s="1"/>
  <c r="AH133" i="15" s="1"/>
  <c r="H60" i="12"/>
  <c r="J60" i="12" s="1"/>
  <c r="J59" i="12"/>
  <c r="AG181" i="15"/>
  <c r="AI192" i="15"/>
  <c r="AF189" i="15"/>
  <c r="AG101" i="15"/>
  <c r="AG135" i="15" s="1"/>
  <c r="AG190" i="15"/>
  <c r="AK194" i="15"/>
  <c r="AH191" i="15"/>
  <c r="AK131" i="15"/>
  <c r="AH181" i="15"/>
  <c r="AL116" i="15"/>
  <c r="AD198" i="14"/>
  <c r="AD138" i="14"/>
  <c r="AD152" i="14" s="1"/>
  <c r="AF81" i="14"/>
  <c r="AF78" i="14"/>
  <c r="AG77" i="14" s="1"/>
  <c r="AG79" i="14" s="1"/>
  <c r="AG131" i="14" s="1"/>
  <c r="AJ128" i="14"/>
  <c r="AE87" i="14"/>
  <c r="AE133" i="14"/>
  <c r="AL119" i="15"/>
  <c r="AH101" i="15"/>
  <c r="AJ79" i="15"/>
  <c r="AJ81" i="15" s="1"/>
  <c r="AI83" i="15"/>
  <c r="AI93" i="15" s="1"/>
  <c r="AL99" i="14"/>
  <c r="AL112" i="14" s="1"/>
  <c r="AL96" i="14"/>
  <c r="AL97" i="14" s="1"/>
  <c r="AL116" i="14"/>
  <c r="AK117" i="14"/>
  <c r="AL113" i="14"/>
  <c r="K62" i="12" l="1"/>
  <c r="AI97" i="15"/>
  <c r="AI100" i="15" s="1"/>
  <c r="AI133" i="15" s="1"/>
  <c r="AG109" i="15"/>
  <c r="AG143" i="15" s="1"/>
  <c r="AG157" i="15" s="1"/>
  <c r="AH110" i="15"/>
  <c r="AH135" i="15"/>
  <c r="AL117" i="15"/>
  <c r="AI181" i="15"/>
  <c r="AL132" i="15"/>
  <c r="AE199" i="14"/>
  <c r="AE139" i="14"/>
  <c r="AE153" i="14" s="1"/>
  <c r="AF79" i="14"/>
  <c r="AF131" i="14" s="1"/>
  <c r="AF132" i="14"/>
  <c r="AF88" i="14"/>
  <c r="AF133" i="14"/>
  <c r="AF180" i="14"/>
  <c r="AK129" i="14"/>
  <c r="AL114" i="14"/>
  <c r="AJ83" i="15"/>
  <c r="AJ94" i="15" s="1"/>
  <c r="AK79" i="15"/>
  <c r="AK81" i="15" s="1"/>
  <c r="AJ97" i="15"/>
  <c r="AJ100" i="15" s="1"/>
  <c r="AJ133" i="15" s="1"/>
  <c r="AI101" i="15"/>
  <c r="AL117" i="14"/>
  <c r="AG179" i="14"/>
  <c r="AG81" i="14"/>
  <c r="AH77" i="14"/>
  <c r="AH79" i="14" s="1"/>
  <c r="AH131" i="14" s="1"/>
  <c r="AG203" i="15" l="1"/>
  <c r="AI111" i="15"/>
  <c r="AI135" i="15"/>
  <c r="AH204" i="15"/>
  <c r="AH144" i="15"/>
  <c r="AH158" i="15" s="1"/>
  <c r="AJ181" i="15"/>
  <c r="AL130" i="14"/>
  <c r="AH189" i="14"/>
  <c r="AG188" i="14"/>
  <c r="AI190" i="14"/>
  <c r="AJ191" i="14"/>
  <c r="AK192" i="14"/>
  <c r="AF187" i="14"/>
  <c r="AG89" i="14"/>
  <c r="AG133" i="14"/>
  <c r="AF200" i="14"/>
  <c r="AF140" i="14"/>
  <c r="AF154" i="14" s="1"/>
  <c r="AL115" i="14"/>
  <c r="AK83" i="15"/>
  <c r="AK95" i="15" s="1"/>
  <c r="AL79" i="15"/>
  <c r="AJ101" i="15"/>
  <c r="AK97" i="15"/>
  <c r="AK100" i="15" s="1"/>
  <c r="AK133" i="15" s="1"/>
  <c r="AH81" i="14"/>
  <c r="AH179" i="14"/>
  <c r="AI77" i="14"/>
  <c r="AI79" i="14" s="1"/>
  <c r="AI131" i="14" s="1"/>
  <c r="AJ112" i="15" l="1"/>
  <c r="AJ135" i="15"/>
  <c r="AI205" i="15"/>
  <c r="AI145" i="15"/>
  <c r="AI159" i="15" s="1"/>
  <c r="AL80" i="15"/>
  <c r="AK181" i="15"/>
  <c r="AH90" i="14"/>
  <c r="AH133" i="14"/>
  <c r="AG201" i="14"/>
  <c r="AG141" i="14"/>
  <c r="AG155" i="14" s="1"/>
  <c r="AK101" i="15"/>
  <c r="AL97" i="15"/>
  <c r="AL83" i="15"/>
  <c r="AL96" i="15" s="1"/>
  <c r="AI81" i="14"/>
  <c r="AI179" i="14"/>
  <c r="AJ77" i="14"/>
  <c r="AJ79" i="14" s="1"/>
  <c r="AJ131" i="14" s="1"/>
  <c r="AL98" i="15" l="1"/>
  <c r="AL100" i="15" s="1"/>
  <c r="AL81" i="15"/>
  <c r="H22" i="16"/>
  <c r="AK113" i="15"/>
  <c r="AK135" i="15"/>
  <c r="AJ206" i="15"/>
  <c r="AJ146" i="15"/>
  <c r="AJ160" i="15" s="1"/>
  <c r="AL181" i="15"/>
  <c r="AI91" i="14"/>
  <c r="AI133" i="14"/>
  <c r="AH202" i="14"/>
  <c r="AH142" i="14"/>
  <c r="AH156" i="14" s="1"/>
  <c r="AL101" i="15"/>
  <c r="AJ81" i="14"/>
  <c r="AJ179" i="14"/>
  <c r="AK77" i="14"/>
  <c r="AK79" i="14" s="1"/>
  <c r="AK131" i="14" s="1"/>
  <c r="AL134" i="15" l="1"/>
  <c r="AL182" i="15"/>
  <c r="AL195" i="15" s="1"/>
  <c r="H21" i="16"/>
  <c r="AL114" i="15"/>
  <c r="AL135" i="15"/>
  <c r="AK207" i="15"/>
  <c r="AK147" i="15"/>
  <c r="AK161" i="15" s="1"/>
  <c r="AL133" i="15"/>
  <c r="AJ92" i="14"/>
  <c r="AJ133" i="14"/>
  <c r="AI203" i="14"/>
  <c r="AI143" i="14"/>
  <c r="AI157" i="14" s="1"/>
  <c r="AK81" i="14"/>
  <c r="AK179" i="14"/>
  <c r="AL77" i="14"/>
  <c r="AL208" i="15" l="1"/>
  <c r="K50" i="12" s="1"/>
  <c r="AL148" i="15"/>
  <c r="AL162" i="15" s="1"/>
  <c r="H20" i="16"/>
  <c r="H23" i="16" s="1"/>
  <c r="AK93" i="14"/>
  <c r="AK133" i="14"/>
  <c r="AJ204" i="14"/>
  <c r="AJ144" i="14"/>
  <c r="AJ158" i="14" s="1"/>
  <c r="AL78" i="14"/>
  <c r="AL81" i="14"/>
  <c r="AL179" i="14"/>
  <c r="L50" i="12" l="1"/>
  <c r="K51" i="12"/>
  <c r="H119" i="16" s="1"/>
  <c r="H120" i="16" s="1"/>
  <c r="AL94" i="14"/>
  <c r="AL133" i="14"/>
  <c r="AK205" i="14"/>
  <c r="AK145" i="14"/>
  <c r="AK159" i="14" s="1"/>
  <c r="AL180" i="14"/>
  <c r="AL193" i="14" s="1"/>
  <c r="K62" i="11" s="1"/>
  <c r="H13" i="14" s="1"/>
  <c r="AL132" i="14"/>
  <c r="AL79" i="14"/>
  <c r="AL131" i="14" s="1"/>
  <c r="H22" i="1" s="1"/>
  <c r="H14" i="14" l="1"/>
  <c r="H2" i="14"/>
  <c r="K54" i="11" s="1"/>
  <c r="L54" i="11" s="1"/>
  <c r="H122" i="16"/>
  <c r="H125" i="16" s="1"/>
  <c r="L51" i="12"/>
  <c r="G94" i="12"/>
  <c r="K53" i="12"/>
  <c r="G90" i="12"/>
  <c r="AL206" i="14"/>
  <c r="K50" i="11" s="1"/>
  <c r="AL146" i="14"/>
  <c r="H21" i="1" s="1"/>
  <c r="L50" i="11" l="1"/>
  <c r="H121" i="16"/>
  <c r="F28" i="21" s="1"/>
  <c r="G79" i="12"/>
  <c r="H126" i="16"/>
  <c r="G80" i="12" s="1"/>
  <c r="K59" i="12"/>
  <c r="L59" i="12" s="1"/>
  <c r="L53" i="12"/>
  <c r="AL160" i="14"/>
  <c r="H20" i="1" s="1"/>
  <c r="H23" i="1" s="1"/>
  <c r="K60" i="12" l="1"/>
  <c r="L60" i="12" s="1"/>
  <c r="C65" i="14" l="1"/>
  <c r="G65" i="14" s="1"/>
  <c r="G64" i="14"/>
  <c r="G66" i="14" l="1"/>
  <c r="F59" i="1" l="1"/>
  <c r="G59" i="1"/>
  <c r="H59" i="1"/>
  <c r="W21" i="18" l="1"/>
  <c r="M21" i="18" s="1"/>
  <c r="K58" i="19" s="1"/>
  <c r="K59" i="19" s="1"/>
  <c r="H46" i="11"/>
  <c r="J46" i="11" s="1"/>
  <c r="K46" i="11"/>
  <c r="L46" i="11" s="1"/>
  <c r="F46" i="11"/>
  <c r="G46" i="11" s="1"/>
  <c r="Q21" i="18" l="1"/>
  <c r="O58" i="19" s="1"/>
  <c r="O59" i="19" s="1"/>
  <c r="V21" i="18"/>
  <c r="I21" i="18"/>
  <c r="G58" i="19" s="1"/>
  <c r="G59" i="19" s="1"/>
  <c r="P21" i="18"/>
  <c r="N58" i="19" s="1"/>
  <c r="N59" i="19" s="1"/>
  <c r="K21" i="18"/>
  <c r="I58" i="19" s="1"/>
  <c r="I59" i="19" s="1"/>
  <c r="J21" i="18"/>
  <c r="H58" i="19" s="1"/>
  <c r="H59" i="19" s="1"/>
  <c r="R21" i="18"/>
  <c r="P58" i="19" s="1"/>
  <c r="P59" i="19" s="1"/>
  <c r="N21" i="18"/>
  <c r="L58" i="19" s="1"/>
  <c r="L59" i="19" s="1"/>
  <c r="L21" i="18"/>
  <c r="J58" i="19" s="1"/>
  <c r="J59" i="19" s="1"/>
  <c r="O21" i="18"/>
  <c r="M58" i="19" s="1"/>
  <c r="M59" i="19" s="1"/>
  <c r="H21" i="18"/>
  <c r="G21" i="18"/>
  <c r="E58" i="19" s="1"/>
  <c r="H49" i="11"/>
  <c r="F49" i="11"/>
  <c r="G49" i="11" s="1"/>
  <c r="D17" i="21" s="1"/>
  <c r="K49" i="11"/>
  <c r="L49" i="11" s="1"/>
  <c r="F17" i="21" s="1"/>
  <c r="J49" i="11" l="1"/>
  <c r="E17" i="21" s="1"/>
  <c r="F58" i="19"/>
  <c r="F59" i="19" s="1"/>
  <c r="S21" i="18"/>
  <c r="E59" i="19"/>
  <c r="K51" i="11"/>
  <c r="K53" i="11" s="1"/>
  <c r="F51" i="11"/>
  <c r="W45" i="18" s="1"/>
  <c r="H51" i="11"/>
  <c r="H53" i="11" s="1"/>
  <c r="G45" i="18" l="1"/>
  <c r="G51" i="11"/>
  <c r="J51" i="11"/>
  <c r="Q58" i="19"/>
  <c r="H119" i="1"/>
  <c r="H120" i="1" s="1"/>
  <c r="H122" i="1" s="1"/>
  <c r="L51" i="11"/>
  <c r="G119" i="1"/>
  <c r="F89" i="11"/>
  <c r="F93" i="11"/>
  <c r="G89" i="11"/>
  <c r="G93" i="11"/>
  <c r="F119" i="1"/>
  <c r="F120" i="1" s="1"/>
  <c r="F122" i="1" s="1"/>
  <c r="F121" i="1" s="1"/>
  <c r="D11" i="21" s="1"/>
  <c r="E93" i="11"/>
  <c r="E89" i="11"/>
  <c r="F53" i="11"/>
  <c r="H45" i="18" l="1"/>
  <c r="F59" i="11"/>
  <c r="G53" i="11"/>
  <c r="K59" i="11"/>
  <c r="L53" i="11"/>
  <c r="H59" i="11"/>
  <c r="J53" i="11"/>
  <c r="G120" i="1"/>
  <c r="G122" i="1" s="1"/>
  <c r="F125" i="1"/>
  <c r="H125" i="1"/>
  <c r="H121" i="1"/>
  <c r="F11" i="21" s="1"/>
  <c r="I45" i="18" l="1"/>
  <c r="E79" i="11"/>
  <c r="F126" i="1"/>
  <c r="E80" i="11" s="1"/>
  <c r="H60" i="11"/>
  <c r="J60" i="11" s="1"/>
  <c r="J59" i="11"/>
  <c r="K60" i="11"/>
  <c r="L60" i="11" s="1"/>
  <c r="L59" i="11"/>
  <c r="G79" i="11"/>
  <c r="H126" i="1"/>
  <c r="G80" i="11" s="1"/>
  <c r="F60" i="11"/>
  <c r="G60" i="11" s="1"/>
  <c r="G59" i="11"/>
  <c r="G121" i="1"/>
  <c r="E11" i="21" s="1"/>
  <c r="G125" i="1"/>
  <c r="J45" i="18" l="1"/>
  <c r="F79" i="11"/>
  <c r="G126" i="1"/>
  <c r="F80" i="11" s="1"/>
  <c r="K45" i="18" l="1"/>
  <c r="L45" i="18" l="1"/>
  <c r="M45" i="18" l="1"/>
  <c r="N45" i="18" l="1"/>
  <c r="O45" i="18" l="1"/>
  <c r="P45" i="18" l="1"/>
  <c r="Q45" i="18" l="1"/>
  <c r="R45" i="18" l="1"/>
  <c r="S45" i="18" l="1"/>
  <c r="G18" i="18" l="1"/>
  <c r="G53" i="18" s="1"/>
  <c r="E55" i="19"/>
  <c r="E74" i="19" s="1"/>
  <c r="E76" i="19" l="1"/>
  <c r="G56" i="18"/>
  <c r="I31" i="18" l="1"/>
  <c r="G57" i="18"/>
  <c r="H7" i="18" l="1"/>
  <c r="J18" i="18"/>
  <c r="P55" i="19"/>
  <c r="P74" i="19" s="1"/>
  <c r="P76" i="19" s="1"/>
  <c r="Q18" i="18"/>
  <c r="O55" i="19"/>
  <c r="O74" i="19" s="1"/>
  <c r="O76" i="19" s="1"/>
  <c r="L18" i="18"/>
  <c r="N55" i="19"/>
  <c r="N74" i="19" s="1"/>
  <c r="N76" i="19" s="1"/>
  <c r="R31" i="18" s="1"/>
  <c r="M18" i="18"/>
  <c r="P18" i="18"/>
  <c r="H55" i="19"/>
  <c r="H74" i="19" s="1"/>
  <c r="H76" i="19" s="1"/>
  <c r="L31" i="18" s="1"/>
  <c r="R18" i="18"/>
  <c r="K18" i="18"/>
  <c r="K55" i="19"/>
  <c r="K74" i="19" s="1"/>
  <c r="K76" i="19" s="1"/>
  <c r="O31" i="18" s="1"/>
  <c r="L55" i="19"/>
  <c r="L74" i="19" s="1"/>
  <c r="L76" i="19" s="1"/>
  <c r="P31" i="18" s="1"/>
  <c r="N18" i="18"/>
  <c r="G55" i="19"/>
  <c r="G74" i="19" s="1"/>
  <c r="G76" i="19" s="1"/>
  <c r="K31" i="18" s="1"/>
  <c r="I55" i="19"/>
  <c r="I74" i="19" s="1"/>
  <c r="I76" i="19" s="1"/>
  <c r="M31" i="18" s="1"/>
  <c r="I18" i="18"/>
  <c r="I53" i="18" s="1"/>
  <c r="M55" i="19"/>
  <c r="M74" i="19" s="1"/>
  <c r="M76" i="19" s="1"/>
  <c r="Q31" i="18" s="1"/>
  <c r="O18" i="18"/>
  <c r="F55" i="19"/>
  <c r="J55" i="19"/>
  <c r="J74" i="19" s="1"/>
  <c r="J76" i="19" s="1"/>
  <c r="N31" i="18" s="1"/>
  <c r="Q54" i="19"/>
  <c r="H18" i="18"/>
  <c r="H53" i="18" s="1"/>
  <c r="L53" i="18" l="1"/>
  <c r="L56" i="18" s="1"/>
  <c r="M53" i="18"/>
  <c r="M56" i="18" s="1"/>
  <c r="N53" i="18"/>
  <c r="N56" i="18" s="1"/>
  <c r="O53" i="18"/>
  <c r="O56" i="18" s="1"/>
  <c r="K53" i="18"/>
  <c r="K56" i="18" s="1"/>
  <c r="Q53" i="18"/>
  <c r="Q56" i="18" s="1"/>
  <c r="R53" i="18"/>
  <c r="R56" i="18" s="1"/>
  <c r="P53" i="18"/>
  <c r="P56" i="18" s="1"/>
  <c r="I56" i="18"/>
  <c r="Q55" i="19"/>
  <c r="H56" i="18"/>
  <c r="S18" i="18"/>
  <c r="F74" i="19"/>
  <c r="F76" i="19" l="1"/>
  <c r="Q74" i="19"/>
  <c r="H57" i="18"/>
  <c r="I7" i="18" l="1"/>
  <c r="I57" i="18"/>
  <c r="J31" i="18"/>
  <c r="J53" i="18" s="1"/>
  <c r="Q76" i="19"/>
  <c r="S31" i="18" l="1"/>
  <c r="J7" i="18"/>
  <c r="J56" i="18" l="1"/>
  <c r="S53" i="18"/>
  <c r="S56" i="18" l="1"/>
  <c r="J57" i="18"/>
  <c r="K7" i="18" l="1"/>
  <c r="K57" i="18"/>
  <c r="L7" i="18" l="1"/>
  <c r="L57" i="18"/>
  <c r="M57" i="18" l="1"/>
  <c r="M7" i="18"/>
  <c r="N57" i="18" l="1"/>
  <c r="N7" i="18"/>
  <c r="O7" i="18" l="1"/>
  <c r="O57" i="18"/>
  <c r="P7" i="18" l="1"/>
  <c r="P57" i="18"/>
  <c r="Q7" i="18" l="1"/>
  <c r="Q57" i="18"/>
  <c r="R57" i="18" l="1"/>
  <c r="R7"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34" authorId="0" shapeId="0" xr:uid="{59B4B172-ABAF-41A4-8E75-5EF7FA67FC0D}">
      <text>
        <r>
          <rPr>
            <sz val="10"/>
            <color indexed="81"/>
            <rFont val="Tahoma"/>
            <family val="2"/>
          </rPr>
          <t xml:space="preserve">Yritystulkin YT5 Aloittavan yrityksen taloussuunnitelman avulla voit arvioida yritystoiminnan kannattavuutta ja hakea rahoitusta. </t>
        </r>
        <r>
          <rPr>
            <sz val="9"/>
            <color indexed="81"/>
            <rFont val="Tahoma"/>
            <family val="2"/>
          </rPr>
          <t xml:space="preserve">
</t>
        </r>
        <r>
          <rPr>
            <b/>
            <sz val="9"/>
            <color indexed="81"/>
            <rFont val="Tahoma"/>
            <family val="2"/>
          </rPr>
          <t>Valitse kahdesta väristä:</t>
        </r>
        <r>
          <rPr>
            <sz val="9"/>
            <color indexed="81"/>
            <rFont val="Tahoma"/>
            <family val="2"/>
          </rPr>
          <t xml:space="preserve">
- </t>
        </r>
        <r>
          <rPr>
            <b/>
            <sz val="9"/>
            <color indexed="81"/>
            <rFont val="Tahoma"/>
            <family val="2"/>
          </rPr>
          <t>keltaiset sivut ovat kuluttajille</t>
        </r>
        <r>
          <rPr>
            <sz val="9"/>
            <color indexed="81"/>
            <rFont val="Tahoma"/>
            <family val="2"/>
          </rPr>
          <t xml:space="preserve"> myytäviä palveluja ja tuotteita varten, joissa
  myytäviin tuotteisiin liittyvät ostot ostetaan Suomesta. 
- </t>
        </r>
        <r>
          <rPr>
            <b/>
            <sz val="9"/>
            <color indexed="81"/>
            <rFont val="Tahoma"/>
            <family val="2"/>
          </rPr>
          <t>siniset sivut ovat yrityksille</t>
        </r>
        <r>
          <rPr>
            <sz val="9"/>
            <color indexed="81"/>
            <rFont val="Tahoma"/>
            <family val="2"/>
          </rPr>
          <t xml:space="preserve"> ja yhteisöille myytäviä palveluita ja tuotteita 
  varten. Soveltuu myös tuonti- ja vientikauppaan.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Yritystulkki</author>
    <author/>
  </authors>
  <commentList>
    <comment ref="E3" authorId="0" shapeId="0" xr:uid="{B4A14672-F4F8-4D1B-9569-C9C4C5A6C2B8}">
      <text>
        <r>
          <rPr>
            <sz val="10"/>
            <color indexed="81"/>
            <rFont val="Tahoma"/>
            <family val="2"/>
          </rPr>
          <t xml:space="preserve">
OHJEITA TILINPÄÄTÖSTILASTON KÄYTTÖÖN JA LUKEMISEEN
</t>
        </r>
        <r>
          <rPr>
            <b/>
            <sz val="10"/>
            <color indexed="81"/>
            <rFont val="Tahoma"/>
            <family val="2"/>
          </rPr>
          <t>TAULUKON KÄYTTÖ</t>
        </r>
        <r>
          <rPr>
            <sz val="10"/>
            <color indexed="81"/>
            <rFont val="Tahoma"/>
            <family val="2"/>
          </rPr>
          <t xml:space="preserve">
Tämän taulukon tiedot siirtyvät K3- ja Y3 Rahoitus -taulukon graafisten pylväsdiagrammien vertailutiedoiksi, jos syötät toimialan järjestysnumeron Rahoitus väilehdelle. 
</t>
        </r>
        <r>
          <rPr>
            <b/>
            <sz val="10"/>
            <color indexed="81"/>
            <rFont val="Tahoma"/>
            <family val="2"/>
          </rPr>
          <t>TAULUKON TIEDOT</t>
        </r>
        <r>
          <rPr>
            <sz val="10"/>
            <color indexed="81"/>
            <rFont val="Tahoma"/>
            <family val="2"/>
          </rPr>
          <t xml:space="preserve">
Taulukko tiedot Finnveran asiakasyrityksiä. 
- Finnveralla on asiakasyrityksessä vastuita (lainaa ja takauksia) yhteensä vähintään 50 000 €.
- Tiedot ovat mediaanilukuja, joka tarkoittaa joukon keskimmäistä lukua (ei keskiarvoa).
</t>
        </r>
        <r>
          <rPr>
            <b/>
            <sz val="10"/>
            <color indexed="81"/>
            <rFont val="Tahoma"/>
            <family val="2"/>
          </rPr>
          <t>TAULUKON LUKEMINEN</t>
        </r>
        <r>
          <rPr>
            <sz val="10"/>
            <color indexed="81"/>
            <rFont val="Tahoma"/>
            <family val="2"/>
          </rPr>
          <t xml:space="preserve">
1. Henkilöt/yritys = Toimialan yritysten henkilökuntamäärä 
2. Liikevaihto/henkilö mukaan lukien myös yrittäjät. 
3. Käyttökate prosentteina liikevaihdosta. Käyttökate kertoo kuinka paljon liikevaihdosta jää katetta 
    toimintakulujen vähentämisen jälkeen. Tunnusluku kertoo yrityksen liiketoiminnan tuloksen ennen 
    poistoja ja rahoituseriä. 
4. Käyttöpääoma prosentteina liikevaihdosta eli luku tarkoittaa kuinka paljon käyttöpääomaa yrityksen 
    toiminta on vaatinut. 
5. Käyttöpääoma euroina eli tämän summan yritys tarvitsee rahaan työntekijää kohden.
6. Vaihto-omaisuus  prosentteina liikevaihdosta.
7. Liikevaihdon muutos edelliseen vuoteen verrattuna.  
</t>
        </r>
      </text>
    </comment>
    <comment ref="G6" authorId="1" shapeId="0" xr:uid="{4A3DA50D-A701-42D4-B6E1-16D962911C17}">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6" authorId="1" shapeId="0" xr:uid="{75C2B190-9D2A-4FE0-9E44-99BD350BF137}">
      <text>
        <r>
          <rPr>
            <sz val="10"/>
            <color indexed="8"/>
            <rFont val="Tahoma"/>
            <family val="2"/>
          </rPr>
          <t>Käyttöpääoman tarve prosentteina liikevaihdosta.</t>
        </r>
      </text>
    </comment>
    <comment ref="I6" authorId="1" shapeId="0" xr:uid="{E477C1F0-88F2-43CA-B163-C541C6FFE935}">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B7" authorId="0" shapeId="0" xr:uid="{60C67791-B209-4B66-9E79-4D167F5D7ED5}">
      <text>
        <r>
          <rPr>
            <b/>
            <sz val="10"/>
            <color indexed="81"/>
            <rFont val="Tahoma"/>
            <family val="2"/>
          </rPr>
          <t>Syötä toimialan numero Tulossuunnitelmaan, jolloin tiedot siirtyvät kaavioihin.</t>
        </r>
      </text>
    </comment>
    <comment ref="C19" authorId="1" shapeId="0" xr:uid="{86814263-8267-46DD-A89B-4B29E4BB8D39}">
      <text>
        <r>
          <rPr>
            <sz val="10"/>
            <color indexed="8"/>
            <rFont val="Tahoma"/>
            <family val="2"/>
          </rPr>
          <t>Mm. nosto- ja siirtolaitteet, pumput, lämmityslaitteet teollisuudelle</t>
        </r>
      </text>
    </comment>
    <comment ref="G26" authorId="1" shapeId="0" xr:uid="{871E089B-312B-4DCD-869F-1042FA04036D}">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26" authorId="1" shapeId="0" xr:uid="{D8BD3F13-6364-407E-90FA-92A40C3F09D6}">
      <text>
        <r>
          <rPr>
            <sz val="10"/>
            <color indexed="8"/>
            <rFont val="Tahoma"/>
            <family val="2"/>
          </rPr>
          <t>Käyttöpääoman tarve prosentteina liikevaihdosta.</t>
        </r>
      </text>
    </comment>
    <comment ref="I26" authorId="1" shapeId="0" xr:uid="{D073A484-E535-4B2F-9490-E400D0AB4213}">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37" authorId="1" shapeId="0" xr:uid="{71866803-7F7B-44DD-B849-21A0BA3BF985}">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37" authorId="1" shapeId="0" xr:uid="{D642CFE0-902E-4ED6-8D3A-3F8546565E3A}">
      <text>
        <r>
          <rPr>
            <sz val="10"/>
            <color indexed="8"/>
            <rFont val="Tahoma"/>
            <family val="2"/>
          </rPr>
          <t>Käyttöpääoman tarve prosentteina liikevaihdosta.</t>
        </r>
      </text>
    </comment>
    <comment ref="I37" authorId="1" shapeId="0" xr:uid="{3F2483B1-F2ED-4E47-858C-128A77F9F5AD}">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52" authorId="1" shapeId="0" xr:uid="{12D5231E-152A-45C5-A3FD-D5B33D80D78B}">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52" authorId="1" shapeId="0" xr:uid="{EC9258B0-F256-4176-8FCD-359F224C6F7C}">
      <text>
        <r>
          <rPr>
            <sz val="10"/>
            <color indexed="8"/>
            <rFont val="Tahoma"/>
            <family val="2"/>
          </rPr>
          <t>Käyttöpääoman tarve prosentteina liikevaihdosta.</t>
        </r>
      </text>
    </comment>
    <comment ref="I52" authorId="1" shapeId="0" xr:uid="{D109F06D-65C0-45F2-A68B-BCF27F5FCB3A}">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Ari Järvinen</author>
  </authors>
  <commentList>
    <comment ref="B46" authorId="0" shapeId="0" xr:uid="{12EDCA19-821C-4A5A-9146-6C843EFC1EB1}">
      <text>
        <r>
          <rPr>
            <sz val="10"/>
            <color indexed="81"/>
            <rFont val="Tahoma"/>
            <family val="2"/>
          </rPr>
          <t>Hankinnat, joista ei voi tehdä poistoja
- tontti, maa-alue
- sähkö-, vesi- yms. Liittymä
- Franchising-, taksikeskus- yms.
  liittymis-/osuusmaksuu</t>
        </r>
      </text>
    </comment>
    <comment ref="B47" authorId="1" shapeId="0" xr:uid="{00000000-0006-0000-0300-000001000000}">
      <text>
        <r>
          <rPr>
            <b/>
            <sz val="9"/>
            <color indexed="81"/>
            <rFont val="Tahoma"/>
            <family val="2"/>
          </rPr>
          <t>Jadelcons:</t>
        </r>
        <r>
          <rPr>
            <sz val="9"/>
            <color indexed="81"/>
            <rFont val="Tahoma"/>
            <family val="2"/>
          </rPr>
          <t xml:space="preserve">
Tarkoitetaan vanhaa kiinteistöä, jonka ostosta ei voida vähentää arvonlisäveroa.</t>
        </r>
      </text>
    </comment>
    <comment ref="B48" authorId="1" shapeId="0" xr:uid="{00000000-0006-0000-0300-000002000000}">
      <text>
        <r>
          <rPr>
            <b/>
            <sz val="9"/>
            <color indexed="81"/>
            <rFont val="Tahoma"/>
            <family val="2"/>
          </rPr>
          <t>Jadelcons:</t>
        </r>
        <r>
          <rPr>
            <sz val="9"/>
            <color indexed="81"/>
            <rFont val="Tahoma"/>
            <family val="2"/>
          </rPr>
          <t xml:space="preserve">
Tarkoitetaan vanhaa tai uutta kiinteistöä, jonka ostosta voidaan vähentää arvonlisävero.</t>
        </r>
      </text>
    </comment>
    <comment ref="E48" authorId="1" shapeId="0" xr:uid="{00000000-0006-0000-0300-000003000000}">
      <text>
        <r>
          <rPr>
            <b/>
            <sz val="9"/>
            <color indexed="81"/>
            <rFont val="Tahoma"/>
            <family val="2"/>
          </rPr>
          <t>Jadelcons:</t>
        </r>
        <r>
          <rPr>
            <sz val="9"/>
            <color indexed="81"/>
            <rFont val="Tahoma"/>
            <family val="2"/>
          </rPr>
          <t xml:space="preserve">
Alv 24 %</t>
        </r>
      </text>
    </comment>
    <comment ref="E52" authorId="2" shapeId="0" xr:uid="{00000000-0006-0000-0300-000004000000}">
      <text>
        <r>
          <rPr>
            <b/>
            <sz val="9"/>
            <color indexed="81"/>
            <rFont val="Tahoma"/>
            <family val="2"/>
          </rPr>
          <t>Ari Järvinen:</t>
        </r>
        <r>
          <rPr>
            <sz val="9"/>
            <color indexed="81"/>
            <rFont val="Tahoma"/>
            <family val="2"/>
          </rPr>
          <t xml:space="preserve">
Korjaa alv-kerroin tarvittaessa.</t>
        </r>
      </text>
    </comment>
    <comment ref="G52" authorId="2" shapeId="0" xr:uid="{00000000-0006-0000-0300-000005000000}">
      <text>
        <r>
          <rPr>
            <b/>
            <sz val="9"/>
            <color indexed="81"/>
            <rFont val="Tahoma"/>
            <family val="2"/>
          </rPr>
          <t>Ari Järvinen:</t>
        </r>
        <r>
          <rPr>
            <sz val="9"/>
            <color indexed="81"/>
            <rFont val="Tahoma"/>
            <family val="2"/>
          </rPr>
          <t xml:space="preserve">
Korjaa alv-kerroin tarvittaessa.</t>
        </r>
      </text>
    </comment>
    <comment ref="C57" authorId="2" shapeId="0" xr:uid="{00000000-0006-0000-0300-000006000000}">
      <text>
        <r>
          <rPr>
            <b/>
            <sz val="9"/>
            <color indexed="81"/>
            <rFont val="Tahoma"/>
            <family val="2"/>
          </rPr>
          <t>Ari Järvinen:</t>
        </r>
        <r>
          <rPr>
            <sz val="9"/>
            <color indexed="81"/>
            <rFont val="Tahoma"/>
            <family val="2"/>
          </rPr>
          <t xml:space="preserve">
Korjaa alv-kerroin tarvittaessa.</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Ari Järvinen</author>
    <author>Jadelcons</author>
    <author>Yritystulkki</author>
  </authors>
  <commentList>
    <comment ref="D12" authorId="0" shapeId="0" xr:uid="{C6EA53EA-21C4-48F6-9213-F777A0DA4288}">
      <text>
        <r>
          <rPr>
            <b/>
            <sz val="9"/>
            <color indexed="81"/>
            <rFont val="Tahoma"/>
            <family val="2"/>
          </rPr>
          <t>Ari Järvinen:</t>
        </r>
        <r>
          <rPr>
            <sz val="9"/>
            <color indexed="81"/>
            <rFont val="Tahoma"/>
            <family val="2"/>
          </rPr>
          <t xml:space="preserve">
YEL-yrittäjän palkasta ei vähennetä TT-vakuutusmaksua.</t>
        </r>
      </text>
    </comment>
    <comment ref="C14" authorId="1" shapeId="0" xr:uid="{00000000-0006-0000-0600-000001000000}">
      <text>
        <r>
          <rPr>
            <sz val="9"/>
            <color indexed="81"/>
            <rFont val="Tahoma"/>
            <family val="2"/>
          </rPr>
          <t xml:space="preserve">
Vero lasketaan rahapalkan ja luontaisetujen yhteissummasta
</t>
        </r>
      </text>
    </comment>
    <comment ref="D14" authorId="0" shapeId="0" xr:uid="{00000000-0006-0000-0600-000002000000}">
      <text>
        <r>
          <rPr>
            <b/>
            <sz val="9"/>
            <color indexed="81"/>
            <rFont val="Tahoma"/>
            <family val="2"/>
          </rPr>
          <t xml:space="preserve"> 2024:
 Sairausvakuutusmaksu 1,16 % .
 Korjaa solun kaavaan.</t>
        </r>
      </text>
    </comment>
    <comment ref="R20" authorId="0" shapeId="0" xr:uid="{00000000-0006-0000-0600-000003000000}">
      <text>
        <r>
          <rPr>
            <b/>
            <sz val="9"/>
            <color indexed="81"/>
            <rFont val="Tahoma"/>
            <family val="2"/>
          </rPr>
          <t>Ari Järvinen:</t>
        </r>
        <r>
          <rPr>
            <sz val="9"/>
            <color indexed="81"/>
            <rFont val="Tahoma"/>
            <family val="2"/>
          </rPr>
          <t xml:space="preserve">
Tuloslaskelmaan lisätään vain sotumaksuosuus.</t>
        </r>
      </text>
    </comment>
    <comment ref="S20" authorId="0" shapeId="0" xr:uid="{00000000-0006-0000-0600-000004000000}">
      <text>
        <r>
          <rPr>
            <b/>
            <sz val="9"/>
            <color indexed="81"/>
            <rFont val="Tahoma"/>
            <family val="2"/>
          </rPr>
          <t>Ari Järvinen:</t>
        </r>
        <r>
          <rPr>
            <sz val="9"/>
            <color indexed="81"/>
            <rFont val="Tahoma"/>
            <family val="2"/>
          </rPr>
          <t xml:space="preserve">
Tuloslaskelmaan lisätään vain sotumaksuosuus.</t>
        </r>
      </text>
    </comment>
    <comment ref="T20" authorId="0" shapeId="0" xr:uid="{00000000-0006-0000-0600-000005000000}">
      <text>
        <r>
          <rPr>
            <b/>
            <sz val="9"/>
            <color indexed="81"/>
            <rFont val="Tahoma"/>
            <family val="2"/>
          </rPr>
          <t>Ari Järvinen:</t>
        </r>
        <r>
          <rPr>
            <sz val="9"/>
            <color indexed="81"/>
            <rFont val="Tahoma"/>
            <family val="2"/>
          </rPr>
          <t xml:space="preserve">
Tuloslaskelmaan lisätään vain sotumaksuosuus.</t>
        </r>
      </text>
    </comment>
    <comment ref="U20" authorId="0" shapeId="0" xr:uid="{00000000-0006-0000-0600-000006000000}">
      <text>
        <r>
          <rPr>
            <b/>
            <sz val="9"/>
            <color indexed="81"/>
            <rFont val="Tahoma"/>
            <family val="2"/>
          </rPr>
          <t>Ari Järvinen:</t>
        </r>
        <r>
          <rPr>
            <sz val="9"/>
            <color indexed="81"/>
            <rFont val="Tahoma"/>
            <family val="2"/>
          </rPr>
          <t xml:space="preserve">
Tuloslaskelmaan lisätään vain sotumaksuosuus.</t>
        </r>
      </text>
    </comment>
    <comment ref="C30" authorId="1" shapeId="0" xr:uid="{00000000-0006-0000-0600-000007000000}">
      <text>
        <r>
          <rPr>
            <sz val="9"/>
            <color indexed="81"/>
            <rFont val="Tahoma"/>
            <family val="2"/>
          </rPr>
          <t xml:space="preserve">
Vero lasketaan rahapalkan ja luontaisetujen yhteissummasta
</t>
        </r>
      </text>
    </comment>
    <comment ref="D30" authorId="0" shapeId="0" xr:uid="{C14980E7-7EB8-4773-A93B-76A8C3C3615C}">
      <text>
        <r>
          <rPr>
            <sz val="9"/>
            <color indexed="81"/>
            <rFont val="Tahoma"/>
            <family val="2"/>
          </rPr>
          <t xml:space="preserve"> 2024
 sairausvakuutusmaksu 1,16 %.
Korjaa solun kaavaan.</t>
        </r>
      </text>
    </comment>
    <comment ref="D35" authorId="0" shapeId="0" xr:uid="{00000000-0006-0000-0600-000009000000}">
      <text>
        <r>
          <rPr>
            <b/>
            <sz val="9"/>
            <color indexed="81"/>
            <rFont val="Tahoma"/>
            <family val="2"/>
          </rPr>
          <t xml:space="preserve">2024: 19,95 % keskimääräiset sosiaalivakuutusmaksut yksitylsellä sektorilla. Palkanlaskijan opas.
2023: 20,2 %, josta
</t>
        </r>
        <r>
          <rPr>
            <sz val="9"/>
            <color indexed="81"/>
            <rFont val="Tahoma"/>
            <family val="2"/>
          </rPr>
          <t>- TyEL yritys 17,39 %
- TT-maksu yritys 0,52 %
- Sairausvakuutusmaksu 1,53 %
- Tapaturma- ja henkivakuutusm. 0,76 %</t>
        </r>
      </text>
    </comment>
    <comment ref="R36" authorId="0" shapeId="0" xr:uid="{00000000-0006-0000-0600-00000A000000}">
      <text>
        <r>
          <rPr>
            <b/>
            <sz val="9"/>
            <color indexed="81"/>
            <rFont val="Tahoma"/>
            <family val="2"/>
          </rPr>
          <t>Ari Järvinen:</t>
        </r>
        <r>
          <rPr>
            <sz val="9"/>
            <color indexed="81"/>
            <rFont val="Tahoma"/>
            <family val="2"/>
          </rPr>
          <t xml:space="preserve">
Tuloslaskelmaan lisätään vain sotumaksuosuus.</t>
        </r>
      </text>
    </comment>
    <comment ref="S36" authorId="0" shapeId="0" xr:uid="{00000000-0006-0000-0600-00000B000000}">
      <text>
        <r>
          <rPr>
            <b/>
            <sz val="9"/>
            <color indexed="81"/>
            <rFont val="Tahoma"/>
            <family val="2"/>
          </rPr>
          <t>Ari Järvinen:</t>
        </r>
        <r>
          <rPr>
            <sz val="9"/>
            <color indexed="81"/>
            <rFont val="Tahoma"/>
            <family val="2"/>
          </rPr>
          <t xml:space="preserve">
Tuloslaskelmaan lisätään vain sotumaksuosuus.</t>
        </r>
      </text>
    </comment>
    <comment ref="T36" authorId="0" shapeId="0" xr:uid="{00000000-0006-0000-0600-00000C000000}">
      <text>
        <r>
          <rPr>
            <b/>
            <sz val="9"/>
            <color indexed="81"/>
            <rFont val="Tahoma"/>
            <family val="2"/>
          </rPr>
          <t>Ari Järvinen:</t>
        </r>
        <r>
          <rPr>
            <sz val="9"/>
            <color indexed="81"/>
            <rFont val="Tahoma"/>
            <family val="2"/>
          </rPr>
          <t xml:space="preserve">
Tuloslaskelmaan lisätään vain sotumaksuosuus.</t>
        </r>
      </text>
    </comment>
    <comment ref="U36" authorId="0" shapeId="0" xr:uid="{00000000-0006-0000-0600-00000D000000}">
      <text>
        <r>
          <rPr>
            <b/>
            <sz val="9"/>
            <color indexed="81"/>
            <rFont val="Tahoma"/>
            <family val="2"/>
          </rPr>
          <t>Ari Järvinen:</t>
        </r>
        <r>
          <rPr>
            <sz val="9"/>
            <color indexed="81"/>
            <rFont val="Tahoma"/>
            <family val="2"/>
          </rPr>
          <t xml:space="preserve">
Tuloslaskelmaan lisätään vain sotumaksuosuus.</t>
        </r>
      </text>
    </comment>
    <comment ref="D44" authorId="2" shapeId="0" xr:uid="{8E6A8C55-DF6F-4DEE-A998-1D1CAECB8767}">
      <text>
        <r>
          <rPr>
            <b/>
            <sz val="9"/>
            <color indexed="81"/>
            <rFont val="Tahoma"/>
            <family val="2"/>
          </rPr>
          <t>Yritystulkki:</t>
        </r>
        <r>
          <rPr>
            <sz val="9"/>
            <color indexed="81"/>
            <rFont val="Tahoma"/>
            <family val="2"/>
          </rPr>
          <t xml:space="preserve">
Laskennallisnen Alv siirtyy AT Myynnin alv-taulukosta.</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E50" authorId="0" shapeId="0" xr:uid="{00000000-0006-0000-0C00-000001000000}">
      <text>
        <r>
          <rPr>
            <b/>
            <sz val="9"/>
            <color indexed="81"/>
            <rFont val="Tahoma"/>
            <family val="2"/>
          </rPr>
          <t>Ari Järvinen:</t>
        </r>
        <r>
          <rPr>
            <sz val="9"/>
            <color indexed="81"/>
            <rFont val="Tahoma"/>
            <family val="2"/>
          </rPr>
          <t xml:space="preserve">
Tarkista kerroin alv:n mukaan.</t>
        </r>
      </text>
    </comment>
    <comment ref="G50" authorId="0" shapeId="0" xr:uid="{00000000-0006-0000-0C00-000002000000}">
      <text>
        <r>
          <rPr>
            <b/>
            <sz val="9"/>
            <color indexed="81"/>
            <rFont val="Tahoma"/>
            <family val="2"/>
          </rPr>
          <t>Ari Järvinen:</t>
        </r>
        <r>
          <rPr>
            <sz val="9"/>
            <color indexed="81"/>
            <rFont val="Tahoma"/>
            <family val="2"/>
          </rPr>
          <t xml:space="preserve">
Tarkista kerroin alv:n mukaan.</t>
        </r>
      </text>
    </comment>
    <comment ref="D53" authorId="0" shapeId="0" xr:uid="{00000000-0006-0000-0C00-000003000000}">
      <text>
        <r>
          <rPr>
            <b/>
            <sz val="9"/>
            <color indexed="81"/>
            <rFont val="Tahoma"/>
            <family val="2"/>
          </rPr>
          <t>Ari Järvinen:</t>
        </r>
        <r>
          <rPr>
            <sz val="9"/>
            <color indexed="81"/>
            <rFont val="Tahoma"/>
            <family val="2"/>
          </rPr>
          <t xml:space="preserve">
Tarkista kerroin alv:n mukaan.</t>
        </r>
      </text>
    </comment>
    <comment ref="D54" authorId="0" shapeId="0" xr:uid="{00000000-0006-0000-0C00-000004000000}">
      <text>
        <r>
          <rPr>
            <b/>
            <sz val="9"/>
            <color indexed="81"/>
            <rFont val="Tahoma"/>
            <family val="2"/>
          </rPr>
          <t>Ari Järvinen:</t>
        </r>
        <r>
          <rPr>
            <sz val="9"/>
            <color indexed="81"/>
            <rFont val="Tahoma"/>
            <family val="2"/>
          </rPr>
          <t xml:space="preserve">
Tarkista kerroin alv:n mukaan.</t>
        </r>
      </text>
    </comment>
    <comment ref="D55" authorId="0" shapeId="0" xr:uid="{00000000-0006-0000-0C00-000005000000}">
      <text>
        <r>
          <rPr>
            <b/>
            <sz val="9"/>
            <color indexed="81"/>
            <rFont val="Tahoma"/>
            <family val="2"/>
          </rPr>
          <t>Ari Järvinen:</t>
        </r>
        <r>
          <rPr>
            <sz val="9"/>
            <color indexed="81"/>
            <rFont val="Tahoma"/>
            <family val="2"/>
          </rPr>
          <t xml:space="preserve">
Tarkista kerroin alv:n mukaan.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B9" authorId="0" shapeId="0" xr:uid="{00000000-0006-0000-0F00-000001000000}">
      <text>
        <r>
          <rPr>
            <b/>
            <sz val="9"/>
            <color indexed="81"/>
            <rFont val="Tahoma"/>
            <family val="2"/>
          </rPr>
          <t>Ari Järvinen:</t>
        </r>
        <r>
          <rPr>
            <sz val="9"/>
            <color indexed="81"/>
            <rFont val="Tahoma"/>
            <family val="2"/>
          </rPr>
          <t xml:space="preserve">
Toimialataulukon vuodet vaihtuvat oikein, kun on vaihdettu taulukon kaikki 3 vuotta.
</t>
        </r>
      </text>
    </comment>
    <comment ref="B10" authorId="0" shapeId="0" xr:uid="{00000000-0006-0000-0F00-000003000000}">
      <text>
        <r>
          <rPr>
            <b/>
            <sz val="9"/>
            <color indexed="81"/>
            <rFont val="Tahoma"/>
            <family val="2"/>
          </rPr>
          <t>Ari Järvinen:</t>
        </r>
        <r>
          <rPr>
            <sz val="9"/>
            <color indexed="81"/>
            <rFont val="Tahoma"/>
            <family val="2"/>
          </rPr>
          <t xml:space="preserve">
Hakufunktion kaavaa ei tarvitse muokata. Tarkista, että rivimäärä taulukossa vastaa kaavan rivilukua. Katso ohje oikealla.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489157CE-D920-4759-B9FF-11AC7EE391AB}">
      <text>
        <r>
          <rPr>
            <sz val="10"/>
            <color indexed="81"/>
            <rFont val="Tahoma"/>
            <family val="2"/>
          </rPr>
          <t>Kassabudjettia varten tarvitaan yrityksen nimi.</t>
        </r>
      </text>
    </comment>
    <comment ref="A11" authorId="0" shapeId="0" xr:uid="{1AEA0A3C-9ECD-4DAE-AFBC-E9B9BE2C1D4A}">
      <text>
        <r>
          <rPr>
            <sz val="9"/>
            <color indexed="81"/>
            <rFont val="Tahoma"/>
            <family val="2"/>
          </rPr>
          <t xml:space="preserve">
</t>
        </r>
        <r>
          <rPr>
            <b/>
            <sz val="9"/>
            <color indexed="81"/>
            <rFont val="Tahoma"/>
            <family val="2"/>
          </rPr>
          <t>Laskentaohjelmassa on neljä taulukkoa, joita täytetään seuraavassa järjestyksessä.</t>
        </r>
        <r>
          <rPr>
            <sz val="9"/>
            <color indexed="81"/>
            <rFont val="Tahoma"/>
            <family val="2"/>
          </rPr>
          <t xml:space="preserve">
</t>
        </r>
        <r>
          <rPr>
            <b/>
            <sz val="9"/>
            <color indexed="81"/>
            <rFont val="Tahoma"/>
            <family val="2"/>
          </rPr>
          <t>1. TOIMINTAKUSTANNUKSET K1</t>
        </r>
        <r>
          <rPr>
            <sz val="9"/>
            <color indexed="81"/>
            <rFont val="Tahoma"/>
            <family val="2"/>
          </rPr>
          <t xml:space="preserve">
Ensin täytetään liiketoiminnasta syntyvät TOIMINTAKUSTANNUKSET. Rivejä on paljon, mutta niin on liiketoiminnassa kustannuksiakin. Tärkeää on, ettei yksikään merkittävä kustannus unohtuisi laskennasta pois. Ohjelma ennustaa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K2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t>
        </r>
        <r>
          <rPr>
            <b/>
            <sz val="9"/>
            <color indexed="81"/>
            <rFont val="Tahoma"/>
            <family val="2"/>
          </rPr>
          <t>3. RAHOITUS K3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keltaisia soluja
- Oikealla olevalle alueelle voit tehdä muistiinpanoja ja omia laskelmia
- Hinnat ja luvut syötetään ilman arvonlisäveroa. Ainoastaan sosiaali- ja terveydenhuoltoala, vakuutus- ja rahoituspalvelut sekä yritykset, joiden liikevaihto alle 15000 euroa laskevat 
  arvonlisäverollisilla hinnoilla. 
- Muista korottaa myyntihintoja vuosittain
- Huomaa myös oikealla olevat solut ja neuvot
- Täytä kustannukset mielellään yläkanttiin ja jätä varoja muihin odottamattomiin kuluihin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jos käytät luetelmaviivaa eli ranskalaista viivaa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soluun
Jos vikaa ei löydy, peruuta/kumoa niin monta kertaa, että vika häviää tai ainahan voit aloittaa alusta. Avaa uusi laskentapohja ja syötä luvut uudestaan. Tallenna/tulosta kuitenkin vanha tekemäsi työ malliksi.
</t>
        </r>
      </text>
    </comment>
    <comment ref="C11" authorId="0" shapeId="0" xr:uid="{D1488B68-ABB5-4399-969E-BF7126656A1D}">
      <text>
        <r>
          <rPr>
            <sz val="10"/>
            <color indexed="81"/>
            <rFont val="Tahoma"/>
            <family val="2"/>
          </rPr>
          <t xml:space="preserve">Laske toimintakustannukset arvonlisäverottomilla hinnoilla. 
Ainoastaan sosiaali- ja terveydenhuoltoala, vakuutus- ja rahoituspalvelut sekä yritykset, joiden liikevaihto alle 15000 euroa, laskevat arvonlisäverollisilla hinnoilla. </t>
        </r>
      </text>
    </comment>
    <comment ref="F12" authorId="0" shapeId="0" xr:uid="{59309571-5302-42B0-A861-DD94B7B4C18D}">
      <text>
        <r>
          <rPr>
            <sz val="10"/>
            <color indexed="81"/>
            <rFont val="Tahoma"/>
            <family val="2"/>
          </rPr>
          <t>Tilikauden päättymisvuosi.</t>
        </r>
      </text>
    </comment>
    <comment ref="F13" authorId="0" shapeId="0" xr:uid="{9E40F8DB-DB4F-4BBD-9729-DAA03416C509}">
      <text>
        <r>
          <rPr>
            <sz val="10"/>
            <color indexed="81"/>
            <rFont val="Tahoma"/>
            <family val="2"/>
          </rPr>
          <t xml:space="preserve">Normaali tilikauden pituus on 12 kk. Ensimmäisen tilikauden pituus voi olla kuitenkin 6 - 18 kk. Jos tilikauden pituus on muu kuin 12 kk, laske ensimmäisen vuoden kustannukset ja myynti vastaamaan tilikauden pituutta. Ohjelma korjaa automaattisesti seuraavat vuodet! </t>
        </r>
      </text>
    </comment>
    <comment ref="B14" authorId="0" shapeId="0" xr:uid="{9BD589B9-332D-4A02-BB7D-EB4190779D6F}">
      <text>
        <r>
          <rPr>
            <b/>
            <sz val="10"/>
            <color indexed="81"/>
            <rFont val="Tahoma"/>
            <family val="2"/>
          </rPr>
          <t xml:space="preserve">Näillä numeroilla löydät ohjeita täyttämiseen Yritystulkista: Aloittava yritys -&gt;Taloussuunnitelmat- sivulta. </t>
        </r>
      </text>
    </comment>
    <comment ref="F16" authorId="0" shapeId="0" xr:uid="{B7F4639C-B9C9-458A-AE81-883812BB4ED7}">
      <text>
        <r>
          <rPr>
            <sz val="10"/>
            <color indexed="81"/>
            <rFont val="Tahoma"/>
            <family val="2"/>
          </rPr>
          <t xml:space="preserve">Toiminimiyrittäjälle ei voi maksaa palkkaa, mutta palkka kannattaa ottaa huomioon laskennassa ilmaisemaan "todellisia" henkilökuluja. </t>
        </r>
      </text>
    </comment>
    <comment ref="J16" authorId="0" shapeId="0" xr:uid="{EFD82930-EDBA-407D-A857-B783D45B8525}">
      <text>
        <r>
          <rPr>
            <sz val="10"/>
            <color indexed="81"/>
            <rFont val="Tahoma"/>
            <family val="2"/>
          </rPr>
          <t>Kustannukset nousevat vuosittain. Muuta lukua tarvittaessa tai kirjoita luku suoraan taulukkoon.</t>
        </r>
      </text>
    </comment>
    <comment ref="F17" authorId="0" shapeId="0" xr:uid="{38BCA4A3-AE04-49D8-82BC-9EC36FF92A5C}">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E03E3C82-6449-4ED0-B635-5841A640AD28}">
      <text>
        <r>
          <rPr>
            <sz val="10"/>
            <color indexed="81"/>
            <rFont val="Tahoma"/>
            <family val="2"/>
          </rPr>
          <t>Aloittavalla yrityksellä 12 kk. Lomakorvaukset lasketaan automaattisesti.</t>
        </r>
      </text>
    </comment>
    <comment ref="G18" authorId="0" shapeId="0" xr:uid="{4D82735B-6EDF-4A9C-B226-43478B368949}">
      <text>
        <r>
          <rPr>
            <sz val="10"/>
            <color indexed="81"/>
            <rFont val="Tahoma"/>
            <family val="2"/>
          </rPr>
          <t>Toimivalla yrityksellä palkanmaksukuukausia on 12,5. Lomakorvaukset lasketaan automaattisesti.</t>
        </r>
      </text>
    </comment>
    <comment ref="F20" authorId="0" shapeId="0" xr:uid="{61B6426E-9C4F-4EB9-8C59-8B1C950ED843}">
      <text>
        <r>
          <rPr>
            <sz val="10"/>
            <color indexed="81"/>
            <rFont val="Tahoma"/>
            <family val="2"/>
          </rPr>
          <t>Tähän soluun et voi kirjoittaa! Solun luvut täydentyvät automaattisesti, kun Rahoitus K3 on täytetty. 
Ohjelma laskee lainan kustannukset siten, että lainaa lyhennetään tasasuuruisina erinä 2 kertaa vuodessa 6 kk välein. Vapaavuodet huomioitu.</t>
        </r>
      </text>
    </comment>
    <comment ref="F21" authorId="0" shapeId="0" xr:uid="{06315E29-AD32-48BE-BB12-FCA4536646D6}">
      <text>
        <r>
          <rPr>
            <sz val="10"/>
            <color indexed="81"/>
            <rFont val="Tahoma"/>
            <family val="2"/>
          </rPr>
          <t xml:space="preserve">Solun luvut täydentyvät automaattisesti myöhemmin, kun Rahoitus K3 on täytetty. </t>
        </r>
      </text>
    </comment>
    <comment ref="D25" authorId="0" shapeId="0" xr:uid="{065FF8CF-EAC6-40DC-A931-794C76C0471B}">
      <text>
        <r>
          <rPr>
            <b/>
            <sz val="10"/>
            <color indexed="81"/>
            <rFont val="Tahoma"/>
            <family val="2"/>
          </rPr>
          <t xml:space="preserve">Kiinteät kulut ovat arvonlisäverottomia kustannuksia tilikaudella. </t>
        </r>
        <r>
          <rPr>
            <sz val="10"/>
            <color indexed="81"/>
            <rFont val="Tahoma"/>
            <family val="2"/>
          </rPr>
          <t xml:space="preserve">Normaali tilikauden pituus on 12 kk. Ensimmäisen tilikauden pituus voi olla kuitenkin 6 - 18 kk. 
Ainoastaan sosiaali- ja terveydenhuoltoala, vakuutus- ja rahoituspalvelut sekä yritykset, joiden liikevaihto alle 15000 euroa, laskevat arvonlisäverollisilla hinnoilla.  </t>
        </r>
      </text>
    </comment>
    <comment ref="F27" authorId="0" shapeId="0" xr:uid="{855F73DF-F463-449F-959C-E2185ABE1AAF}">
      <text>
        <r>
          <rPr>
            <sz val="10"/>
            <color indexed="81"/>
            <rFont val="Tahoma"/>
            <family val="2"/>
          </rPr>
          <t>Tähän soluun et voi kirjoittaa! Solun luvut täydentyvät automaattisesti, kun Rahoitus K3 on täytetty.</t>
        </r>
      </text>
    </comment>
    <comment ref="F28" authorId="0" shapeId="0" xr:uid="{FFAC21B6-2D58-4B7B-AD50-815C26E3E84C}">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37221369-AB2A-49DA-9992-BFDD30A4DE11}">
      <text>
        <r>
          <rPr>
            <b/>
            <sz val="10"/>
            <color indexed="81"/>
            <rFont val="Tahoma"/>
            <family val="2"/>
          </rPr>
          <t xml:space="preserve">Kun ryhdyt yrittäjäksi ensimmäistä kertaa, saat 22 % alennuksen </t>
        </r>
        <r>
          <rPr>
            <sz val="10"/>
            <color indexed="81"/>
            <rFont val="Tahoma"/>
            <family val="2"/>
          </rPr>
          <t>YEL-maksuistasi ensimmäiset neljä vuotta.
- 18 - 52-vuotiaan alennettu 18,8 %, norm. 24,1 %
- 53 - 62 -vuotiaan alennettu 19,9 %, norm. 25,6 %
- 63 -vuotiaan alennettu 18,8 %, norm. 24,1 %</t>
        </r>
      </text>
    </comment>
    <comment ref="F34" authorId="0" shapeId="0" xr:uid="{6099AFE4-4D5B-4998-8508-8A6ACF7310EC}">
      <text>
        <r>
          <rPr>
            <b/>
            <sz val="10"/>
            <color indexed="81"/>
            <rFont val="Tahoma"/>
            <family val="2"/>
          </rPr>
          <t>2024</t>
        </r>
        <r>
          <rPr>
            <sz val="10"/>
            <color indexed="81"/>
            <rFont val="Tahoma"/>
            <family val="2"/>
          </rPr>
          <t xml:space="preserve">
Yritys maksaa vakuutusyhtiölle TyEL-maksua keskimäärin 17,34 % palkoista. </t>
        </r>
      </text>
    </comment>
    <comment ref="F37" authorId="0" shapeId="0" xr:uid="{3AEB8577-09B6-4D3E-88DE-4A24E00D6B2B}">
      <text>
        <r>
          <rPr>
            <b/>
            <sz val="10"/>
            <color indexed="81"/>
            <rFont val="Tahoma"/>
            <family val="2"/>
          </rPr>
          <t>2024 yritys maksaa lakisääteiset:</t>
        </r>
        <r>
          <rPr>
            <sz val="10"/>
            <color indexed="81"/>
            <rFont val="Tahoma"/>
            <family val="2"/>
          </rPr>
          <t xml:space="preserve">
- Työnantajan sairausvakuutusmaksu verottajalle 1,16 %
- </t>
        </r>
        <r>
          <rPr>
            <b/>
            <sz val="10"/>
            <color indexed="81"/>
            <rFont val="Tahoma"/>
            <family val="2"/>
          </rPr>
          <t>Tapaturmavakuutus 0,1 - 7 %</t>
        </r>
        <r>
          <rPr>
            <sz val="10"/>
            <color indexed="81"/>
            <rFont val="Tahoma"/>
            <family val="2"/>
          </rPr>
          <t xml:space="preserve"> vakuutusyhtiölle, 
  keskimäärin 0,57 % (tapaturma-alttiilla aloilla kalliimpi)
- Ryhmähenkivakuutus 0,06 % vakuutusyhtiölle.
- Työttömyysvakuutusta 0,27 % työllisyysrahastolle.
</t>
        </r>
        <r>
          <rPr>
            <b/>
            <sz val="10"/>
            <color indexed="81"/>
            <rFont val="Tahoma"/>
            <family val="2"/>
          </rPr>
          <t xml:space="preserve">Yhteensä keskimäärin 2,06 % </t>
        </r>
        <r>
          <rPr>
            <sz val="10"/>
            <color indexed="81"/>
            <rFont val="Tahoma"/>
            <family val="2"/>
          </rPr>
          <t>(korota tapaturma-alttiilla aloilla).</t>
        </r>
      </text>
    </comment>
    <comment ref="F38" authorId="0" shapeId="0" xr:uid="{CCD894AE-FE59-4166-B7BF-BDE4C808D534}">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703C30A7-F311-4A99-9531-B7BF54176D3B}">
      <text>
        <r>
          <rPr>
            <sz val="10"/>
            <color indexed="81"/>
            <rFont val="Tahoma"/>
            <family val="2"/>
          </rPr>
          <t>Esim. yrityksen työntekijälle ottama henkivakuutus, matkavakuutus tms.</t>
        </r>
      </text>
    </comment>
    <comment ref="F46" authorId="0" shapeId="0" xr:uid="{E486493E-EA92-4807-AB5F-49BEB734021F}">
      <text>
        <r>
          <rPr>
            <sz val="10"/>
            <color indexed="81"/>
            <rFont val="Tahoma"/>
            <family val="2"/>
          </rPr>
          <t>Henkilökunnan ruokaetu, ruokailu ja kahvitus, henkilökunnan koulutus, rekrytointi yms.</t>
        </r>
      </text>
    </comment>
    <comment ref="F57" authorId="0" shapeId="0" xr:uid="{424F4FDF-71D5-4AE6-809B-D93C3FE6A43A}">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68B2B777-DE7F-4340-A1AB-3ABDF6974600}">
      <text>
        <r>
          <rPr>
            <sz val="10"/>
            <color indexed="81"/>
            <rFont val="Tahoma"/>
            <family val="2"/>
          </rPr>
          <t xml:space="preserve">Vuokra-ajan jälkeen vuokranantajalle palautuvan laitteen jäännösarvo %:ia hankintahinnasta. </t>
        </r>
      </text>
    </comment>
    <comment ref="F59" authorId="0" shapeId="0" xr:uid="{88128FE8-B9A9-4EC7-B6E8-EE99F564CF35}">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A5766DE0-28E8-49E7-9CC9-B20B74D02EB6}">
      <text>
        <r>
          <rPr>
            <sz val="10"/>
            <color indexed="81"/>
            <rFont val="Tahoma"/>
            <family val="2"/>
          </rPr>
          <t>Työsuhdeautojen kustannukset kohtaan 25. Ajoneuvokulut, yksityiskäyttö tilikaudella.</t>
        </r>
      </text>
    </comment>
    <comment ref="F63" authorId="0" shapeId="0" xr:uid="{8A3469A8-85BD-4C05-BBD5-F0F49F301AE2}">
      <text>
        <r>
          <rPr>
            <sz val="10"/>
            <color indexed="81"/>
            <rFont val="Tahoma"/>
            <family val="2"/>
          </rPr>
          <t>Yksikkö voi olla l,kg,kWh/km tai h
Esim. polttoaineenkulutus 
12 litraa/100 km = 0,12 l/km
Esim. sähköauton kulutus
20 kWh/100 km = 0,2 kWh/km</t>
        </r>
      </text>
    </comment>
    <comment ref="F64" authorId="0" shapeId="0" xr:uid="{AD2246BC-0AE9-4A96-8614-8BB1D3706DDC}">
      <text>
        <r>
          <rPr>
            <sz val="10"/>
            <color indexed="81"/>
            <rFont val="Tahoma"/>
            <family val="2"/>
          </rPr>
          <t xml:space="preserve">Huom! Ilmoita sähkön hinta €/kWh alv 0 %
Esim. 15 snt/kWh = 0,15 €/kWh </t>
        </r>
      </text>
    </comment>
    <comment ref="F75" authorId="0" shapeId="0" xr:uid="{BAECDAC5-30D9-42FE-8F23-AC083D5E2F90}">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C13F2D7A-492F-4B54-8163-2EAD439979BE}">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7F331C7A-FC3B-4944-81A4-EF847AF183C3}">
      <text>
        <r>
          <rPr>
            <b/>
            <sz val="10"/>
            <color indexed="81"/>
            <rFont val="Tahoma"/>
            <family val="2"/>
          </rPr>
          <t>2024</t>
        </r>
        <r>
          <rPr>
            <sz val="10"/>
            <color indexed="81"/>
            <rFont val="Tahoma"/>
            <family val="2"/>
          </rPr>
          <t xml:space="preserve">
Kilometrikorvaus oman henkilöauton käytöstä yrityksen työmatkoihin 0,57 €/km.</t>
        </r>
      </text>
    </comment>
    <comment ref="F87" authorId="0" shapeId="0" xr:uid="{16DC0F39-3B5E-4677-A0A1-A6D84D898CBB}">
      <text>
        <r>
          <rPr>
            <b/>
            <sz val="10"/>
            <color indexed="81"/>
            <rFont val="Tahoma"/>
            <family val="2"/>
          </rPr>
          <t>2024</t>
        </r>
        <r>
          <rPr>
            <sz val="10"/>
            <color indexed="81"/>
            <rFont val="Tahoma"/>
            <family val="2"/>
          </rPr>
          <t xml:space="preserve">
Kotimaan kokopäiväraha 51 €, osapäiväraha 24 €.</t>
        </r>
      </text>
    </comment>
    <comment ref="F116" authorId="0" shapeId="0" xr:uid="{CB059578-D6F7-45CE-9C69-C24FEEC8B1E0}">
      <text>
        <r>
          <rPr>
            <sz val="10"/>
            <color indexed="81"/>
            <rFont val="Tahoma"/>
            <family val="2"/>
          </rPr>
          <t>Tarkoittaa ei-liiketoiminnan käytössä olevien työsuhdeautojen hankinta- ja ylläpitokustannuksia. Näistä kuluista ei voida vähentää arvonlisäveroa.</t>
        </r>
      </text>
    </comment>
    <comment ref="F119" authorId="0" shapeId="0" xr:uid="{F87FCCC6-7B11-4DF2-A2F6-864B694DF7EC}">
      <text>
        <r>
          <rPr>
            <sz val="10"/>
            <color indexed="81"/>
            <rFont val="Tahoma"/>
            <family val="2"/>
          </rPr>
          <t xml:space="preserve">Tiedot täydentyvät automaattisesti laskennan lopussa. </t>
        </r>
      </text>
    </comment>
    <comment ref="F121" authorId="0" shapeId="0" xr:uid="{521D63AA-D034-4C54-AE70-AD39376B7AFA}">
      <text>
        <r>
          <rPr>
            <sz val="10"/>
            <color indexed="81"/>
            <rFont val="Tahoma"/>
            <family val="2"/>
          </rPr>
          <t xml:space="preserve">Ilmoittaa laskennallisen keskim. käyttöpääoman kuukausitarpeen käynnistysvaiheen jälkeen.  </t>
        </r>
      </text>
    </comment>
    <comment ref="F125" authorId="0" shapeId="0" xr:uid="{7BB3305F-DB96-41FC-87D2-097BE936B93D}">
      <text>
        <r>
          <rPr>
            <sz val="10"/>
            <color indexed="81"/>
            <rFont val="Tahoma"/>
            <family val="2"/>
          </rPr>
          <t>Jos summa on negatiivinen, niin myynnin tuotot eivät riitä kattamaan liiketoiminnasta syntyviä kustannuksia.</t>
        </r>
      </text>
    </comment>
    <comment ref="F126" authorId="0" shapeId="0" xr:uid="{0413FAF5-B928-48AA-9336-4CD1FF58732E}">
      <text>
        <r>
          <rPr>
            <sz val="10"/>
            <color indexed="81"/>
            <rFont val="Tahoma"/>
            <family val="2"/>
          </rPr>
          <t>Tämä prosenttiluku ilmoittaa, paljonko myynti voi laskea (positiivinen luku) tai täytyy nousta (negatiivinen luku), jotta toimintakulut peittyvät. Rivin tiedot täydentyvät Myynti K2 -ennusteen täyttämisen jälkeen!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2" authorId="0" shapeId="0" xr:uid="{5EF88F0E-F4CE-4E95-BD20-86F79B878F0A}">
      <text>
        <r>
          <rPr>
            <b/>
            <sz val="10"/>
            <color indexed="81"/>
            <rFont val="Tahoma"/>
            <family val="2"/>
          </rPr>
          <t>Täyttöohje</t>
        </r>
        <r>
          <rPr>
            <sz val="10"/>
            <color indexed="81"/>
            <rFont val="Tahoma"/>
            <family val="2"/>
          </rPr>
          <t xml:space="preserve">
- Täytä keltaiset solut.
- Ilmoita hinnat arvonlisäverollisena.
- Arvonlisäveroprosenttia voit muuttaa.
- Marginaaliverotusmenettelyn alainen myynti käsitellään   
  kohdissa 5.,11. ja 17.
- Oikeassa reunassa olevalla alueella voit ennustaa 
  tulevien vuosien muutosprosentteja. 
- Muista korottaa hintoja vuosittain!
- Muistiinpanoalueella voit tehdä lisälaskelmia ja tehdä 
  muistiinpanoja laskentaperusteista.</t>
        </r>
      </text>
    </comment>
    <comment ref="B15" authorId="0" shapeId="0" xr:uid="{372672D9-4D11-4CEF-B654-B0514A55F102}">
      <text>
        <r>
          <rPr>
            <sz val="10"/>
            <color indexed="81"/>
            <rFont val="Tahoma"/>
            <family val="2"/>
          </rPr>
          <t>Kirjoita tuotteen tai palvelun nimi.</t>
        </r>
      </text>
    </comment>
    <comment ref="C15" authorId="0" shapeId="0" xr:uid="{A19BCFD0-632D-49A2-8E7D-84A044F94860}">
      <text>
        <r>
          <rPr>
            <sz val="10"/>
            <color indexed="81"/>
            <rFont val="Tahoma"/>
            <family val="2"/>
          </rPr>
          <t>Arvonlisäveroprosentit:
- 24 % yleinen arvonlisävero
- 14 % ravintolaruoka, elintarvikkeet ja eläinrehut 
- 10 % majoitus, liikunta, henkilökuljetus, kirjat, tilatut lehdet,
   sähköiset jullkaisut
- 0 % terveys- ja sosiaalipalvelut, rahoitus- ja vakuutuspalvelut
- 0 % jos yrityksen vuosiliikevaihto alle 15 000 €/ vuosi</t>
        </r>
      </text>
    </comment>
    <comment ref="G16" authorId="0" shapeId="0" xr:uid="{F41BC51A-4EBA-4EB5-A0FE-244EA872C125}">
      <text>
        <r>
          <rPr>
            <sz val="10"/>
            <color indexed="81"/>
            <rFont val="Tahoma"/>
            <family val="2"/>
          </rPr>
          <t>Myyntihintoja pitää nostaa vuosittain vähintään inflaation verran, koska kustannuksetkin nousevat.</t>
        </r>
      </text>
    </comment>
    <comment ref="C19" authorId="0" shapeId="0" xr:uid="{5E97B589-A52A-4A05-9E76-581960AA96C6}">
      <text>
        <r>
          <rPr>
            <sz val="10"/>
            <color indexed="81"/>
            <rFont val="Tahoma"/>
            <family val="2"/>
          </rPr>
          <t>Ostohinta ilman hävikkiä sisältäen rahti- ja pakkauskulut,  pientoimituslisät, myyntipaikkamaksut jne.</t>
        </r>
      </text>
    </comment>
    <comment ref="C20" authorId="0" shapeId="0" xr:uid="{71D6F967-3F89-4ED3-8B84-CFDCBB3AD6DB}">
      <text>
        <r>
          <rPr>
            <sz val="10"/>
            <color indexed="81"/>
            <rFont val="Tahoma"/>
            <family val="2"/>
          </rPr>
          <t>Hävikkiä aiheuttavat varastaminen 
(1 - 4 %), vanheneminen, pakkausten rikkoontuminen jne.</t>
        </r>
      </text>
    </comment>
    <comment ref="B55" authorId="0" shapeId="0" xr:uid="{F04FCBD5-A280-4057-A81A-1D5D88B0C26A}">
      <text>
        <r>
          <rPr>
            <sz val="10"/>
            <color indexed="81"/>
            <rFont val="Tahoma"/>
            <family val="2"/>
          </rPr>
          <t xml:space="preserve">Yksityisiltä ihmisiltä ostettujen käytettyjen tavaroiden ja taide-, keräily- ja antiikki-esineiden myynnissä sekä matkatoimistoissa käytetään marginaaliverotusmenettelyä.
Arvonlisävero peritään myynti- ja ostohinnan erotuksesta eli voittomarginaalista tuotteen arvonlisäverokannan mukaan. </t>
        </r>
      </text>
    </comment>
    <comment ref="B67" authorId="0" shapeId="0" xr:uid="{8A11B30D-EB49-4156-B62B-3004293F662E}">
      <text>
        <r>
          <rPr>
            <sz val="10"/>
            <color indexed="81"/>
            <rFont val="Tahoma"/>
            <family val="2"/>
          </rPr>
          <t>Luvusta vähennetty marginaalivero-tettavat tuotteet.</t>
        </r>
      </text>
    </comment>
    <comment ref="B137" authorId="0" shapeId="0" xr:uid="{6200B318-C066-4E79-9290-B35175146958}">
      <text>
        <r>
          <rPr>
            <sz val="10"/>
            <color indexed="81"/>
            <rFont val="Tahoma"/>
            <family val="2"/>
          </rPr>
          <t>Luvusta vähennetty marginaalivero-tettavat tuotteet.</t>
        </r>
      </text>
    </comment>
    <comment ref="B207" authorId="0" shapeId="0" xr:uid="{872BCC74-3F47-44D7-B5FD-D4B12FF20F29}">
      <text>
        <r>
          <rPr>
            <sz val="10"/>
            <color indexed="81"/>
            <rFont val="Tahoma"/>
            <family val="2"/>
          </rPr>
          <t>Luvusta vähennetty marginaalivero-tettavat tuotteet.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N2" authorId="0" shapeId="0" xr:uid="{3FE6898B-454C-42EE-A649-6E8269502049}">
      <text>
        <r>
          <rPr>
            <sz val="10"/>
            <color indexed="81"/>
            <rFont val="Tahoma"/>
            <family val="2"/>
          </rPr>
          <t xml:space="preserve">Täytä keltaisia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(oikea puoli)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K3 -laskelmasta ja mahdollisesti sivut 1 - 2 Kassabudjetti-taulukosta. Muistiinpanot sivu 3. on itsellesi. </t>
        </r>
      </text>
    </comment>
    <comment ref="B9" authorId="0" shapeId="0" xr:uid="{452D505F-FE4A-4BDB-90F0-C3DD026A93A6}">
      <text>
        <r>
          <rPr>
            <sz val="10"/>
            <color indexed="81"/>
            <rFont val="Tahoma"/>
            <family val="2"/>
          </rPr>
          <t>Kirjoita yrityksen nimi taulukkoon Kustannukset K1.</t>
        </r>
      </text>
    </comment>
    <comment ref="E17" authorId="0" shapeId="0" xr:uid="{25DF3DEC-DCA5-4416-ACC4-45BF46F7AE08}">
      <text>
        <r>
          <rPr>
            <sz val="10"/>
            <color indexed="81"/>
            <rFont val="Tahoma"/>
            <family val="2"/>
          </rPr>
          <t xml:space="preserve">Hankinnat, joista ei voi tehdä poistoja
- tontti, maa-alue
- sähkö-, vesi- yms. liittymä
- franchising-, taksikeskus- yms. liittymis- tai osuusmaksu
- asunto-osakkeet, toimitila- ja liiketilaosakkeet </t>
        </r>
      </text>
    </comment>
    <comment ref="E18" authorId="0" shapeId="0" xr:uid="{DA5A7AD2-ABE4-4BDE-B5C8-9BD1508E641B}">
      <text>
        <r>
          <rPr>
            <sz val="10"/>
            <color indexed="81"/>
            <rFont val="Tahoma"/>
            <family val="2"/>
          </rPr>
          <t>Rakennukset: liiketilat, tuotantotilat, hallit, varastot, toimistot (ei osake).</t>
        </r>
      </text>
    </comment>
    <comment ref="H18" authorId="0" shapeId="0" xr:uid="{4DEE3850-AAC1-43FE-A755-AFFABB6FF749}">
      <text>
        <r>
          <rPr>
            <sz val="10"/>
            <color indexed="81"/>
            <rFont val="Tahoma"/>
            <family val="2"/>
          </rPr>
          <t>Pankin korko aloittavalle yritykselle alkaen noin 6,0 %. Vakuudet, riski ja lainan määrä vaikuttavat korkoon. 
Jos haet Finnveran takausta lainan vakuudeksi, lisää Finnveran takausprovisio pankin korkoon. Jos takaus on myönnetty esim. 50 %:lle lainan pääomasta, puolita takausprovisio. Finnveran takausprovisio alkaen 1,75 %.</t>
        </r>
      </text>
    </comment>
    <comment ref="I18" authorId="0" shapeId="0" xr:uid="{B0416789-57EA-4094-8C11-FED058103EC6}">
      <text>
        <r>
          <rPr>
            <sz val="10"/>
            <color indexed="81"/>
            <rFont val="Tahoma"/>
            <family val="2"/>
          </rPr>
          <t>Lyhennyksistä vapaat vuodet, joita voi olla enintään 2 vuotta. Suosittelemme enintään yhtä vuotta.</t>
        </r>
      </text>
    </comment>
    <comment ref="J18" authorId="0" shapeId="0" xr:uid="{EDC7118B-E966-40B3-AA79-C81876CF317F}">
      <text>
        <r>
          <rPr>
            <b/>
            <sz val="10"/>
            <color indexed="81"/>
            <rFont val="Tahoma"/>
            <family val="2"/>
          </rPr>
          <t>Laina-aika</t>
        </r>
        <r>
          <rPr>
            <sz val="10"/>
            <color indexed="81"/>
            <rFont val="Tahoma"/>
            <family val="2"/>
          </rPr>
          <t xml:space="preserve">
Lainan kokonaisajan oltava vähintään 3 vuotta.</t>
        </r>
      </text>
    </comment>
    <comment ref="E19" authorId="0" shapeId="0" xr:uid="{CB4AAA5A-0E81-4B12-A526-26E44E9535D5}">
      <text>
        <r>
          <rPr>
            <sz val="10"/>
            <color indexed="81"/>
            <rFont val="Tahoma"/>
            <family val="2"/>
          </rPr>
          <t xml:space="preserve">Kiinteistön, toimitilan, liikehuoneiston rakentaminen ja peruskorjaus. Pienet remontit kohtaan 9. Toimitila-kustannukset taulukkoon Kustannukset K1. </t>
        </r>
      </text>
    </comment>
    <comment ref="H19" authorId="0" shapeId="0" xr:uid="{0FF99FED-9B2B-4257-8E70-1DE521B1F1A8}">
      <text>
        <r>
          <rPr>
            <sz val="10"/>
            <color indexed="81"/>
            <rFont val="Tahoma"/>
            <family val="2"/>
          </rPr>
          <t>Finnveran korko on yrityskohtainen, vakuudet ja riski vaikuttavat korkoon.</t>
        </r>
      </text>
    </comment>
    <comment ref="I19" authorId="0" shapeId="0" xr:uid="{D1230045-2A08-49DD-BD40-52AF87CE06D4}">
      <text>
        <r>
          <rPr>
            <sz val="10"/>
            <color indexed="81"/>
            <rFont val="Tahoma"/>
            <family val="2"/>
          </rPr>
          <t>Lyhennyksistä vapaat vuodet, joita voi olla enintään 2 vuotta. Suosittelemme enintään yhtä vuotta.</t>
        </r>
      </text>
    </comment>
    <comment ref="J19" authorId="0" shapeId="0" xr:uid="{810251F2-2C4E-4914-BBEC-CFF3DA84EF0F}">
      <text>
        <r>
          <rPr>
            <b/>
            <sz val="10"/>
            <color indexed="81"/>
            <rFont val="Tahoma"/>
            <family val="2"/>
          </rPr>
          <t>Laina-aika</t>
        </r>
        <r>
          <rPr>
            <sz val="10"/>
            <color indexed="81"/>
            <rFont val="Tahoma"/>
            <family val="2"/>
          </rPr>
          <t xml:space="preserve">
Lainan kokonaisajan oltava vähintään 3 vuotta.</t>
        </r>
      </text>
    </comment>
    <comment ref="K19" authorId="0" shapeId="0" xr:uid="{3F07EA0E-389E-48CA-A2CE-D8417F4BEE5D}">
      <text>
        <r>
          <rPr>
            <sz val="10"/>
            <color indexed="81"/>
            <rFont val="Tahoma"/>
            <family val="2"/>
          </rPr>
          <t>Finnveran pienin laina 50 000 €.</t>
        </r>
      </text>
    </comment>
    <comment ref="I20" authorId="0" shapeId="0" xr:uid="{59D5393E-AD9A-4569-A046-5E866F0933CC}">
      <text>
        <r>
          <rPr>
            <sz val="10"/>
            <color indexed="81"/>
            <rFont val="Tahoma"/>
            <family val="2"/>
          </rPr>
          <t xml:space="preserve">Lyhennyksistä vapaat vuodet. </t>
        </r>
      </text>
    </comment>
    <comment ref="J20" authorId="0" shapeId="0" xr:uid="{664E6D7D-9FE8-4C21-BF1A-4CCAC4CE73C1}">
      <text>
        <r>
          <rPr>
            <sz val="10"/>
            <color indexed="81"/>
            <rFont val="Tahoma"/>
            <family val="2"/>
          </rPr>
          <t>Lainan kokonaisajan oltava vähintään 3 vuotta ja merkitään tähän soluun.</t>
        </r>
      </text>
    </comment>
    <comment ref="B21" authorId="0" shapeId="0" xr:uid="{90750C72-3C58-431B-B017-41BCC8221996}">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D21" authorId="0" shapeId="0" xr:uid="{8113AB55-9125-48E6-BB4B-B362C325D1F5}">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F21" authorId="0" shapeId="0" xr:uid="{CB47482D-E407-4CA8-A777-C4BF2F6239E4}">
      <text>
        <r>
          <rPr>
            <sz val="10"/>
            <color indexed="81"/>
            <rFont val="Tahoma"/>
            <family val="2"/>
          </rPr>
          <t>Liiketoiminnan käyttöön ostettavat koneet ja laitteet,</t>
        </r>
        <r>
          <rPr>
            <b/>
            <sz val="10"/>
            <color indexed="81"/>
            <rFont val="Tahoma"/>
            <family val="2"/>
          </rPr>
          <t xml:space="preserve"> joilla jäännösarvo.</t>
        </r>
        <r>
          <rPr>
            <sz val="10"/>
            <color indexed="81"/>
            <rFont val="Tahoma"/>
            <family val="2"/>
          </rPr>
          <t xml:space="preserve"> Rahoituksen kustannukset näkyvät taulukossa Kustannukset K1, kohta 10.
Kiinteän kuukausihinnan leasingrahoitukset sijoitetaan taulukkoon Kustannukset K1 kohtiin:
- 11. Ajoneuvokulut, liikekäyttö 
- 13. Muut kone ja kalustokulut, liikekäyttö
- 25. Työsuhdeajoneuvojen kustannukset</t>
        </r>
      </text>
    </comment>
    <comment ref="I21" authorId="0" shapeId="0" xr:uid="{4B3D3A4E-A67C-4563-B937-19BB5CE28E55}">
      <text>
        <r>
          <rPr>
            <sz val="10"/>
            <color indexed="81"/>
            <rFont val="Tahoma"/>
            <family val="2"/>
          </rPr>
          <t>Osamaksun ja leasingin laina-aika on 2 - 5 vuotta.</t>
        </r>
      </text>
    </comment>
    <comment ref="K21" authorId="0" shapeId="0" xr:uid="{A92837E6-18A9-4C54-A1A5-0D5D45DF5999}">
      <text>
        <r>
          <rPr>
            <sz val="10"/>
            <color indexed="81"/>
            <rFont val="Tahoma"/>
            <family val="2"/>
          </rPr>
          <t>Leasingillä voidaan rahoittaa n. 80 % hankinnan arvosta. Arvonlisäveron palautus saadaan jälkikäteen kuukausittain ja ELY-tuki jälkikäteen investointihankeen kestoaikana maksettujen lyhennysten mukaan (yleensä 2 vuotta). Lue tarkemmin Yritystulkista kohta 3.10 Leasingrahoituksen kustannukset.</t>
        </r>
      </text>
    </comment>
    <comment ref="F22" authorId="0" shapeId="0" xr:uid="{09B9875A-D1C4-490C-AE04-387FB8F884EF}">
      <text>
        <r>
          <rPr>
            <sz val="10"/>
            <color indexed="81"/>
            <rFont val="Tahoma"/>
            <family val="2"/>
          </rPr>
          <t>Liiketoiminnan käyttöön ostettavat koneet ja laitteet.
Työsuhdeajoneuvojen osamaksukulut sijoitetaan taulukkoon Kustannukset K1 kohtaan 25. Työsuhdeajoneuvojen kustannukset.</t>
        </r>
      </text>
    </comment>
    <comment ref="I22" authorId="0" shapeId="0" xr:uid="{3E48BC00-89E3-4515-A574-C5BD58B17DC8}">
      <text>
        <r>
          <rPr>
            <sz val="10"/>
            <color indexed="81"/>
            <rFont val="Tahoma"/>
            <family val="2"/>
          </rPr>
          <t>Osamaksun ja leasingin laina-aika on 2 - 5 vuotta.</t>
        </r>
      </text>
    </comment>
    <comment ref="K22" authorId="0" shapeId="0" xr:uid="{299AB194-08B3-41AD-93F4-A3435B023A7E}">
      <text>
        <r>
          <rPr>
            <sz val="10"/>
            <color indexed="81"/>
            <rFont val="Tahoma"/>
            <family val="2"/>
          </rPr>
          <t>Osamaksulla voidaan rahoittaa enintään 80 % hankinnan arvosta. Saadaan arvonlisäveron palautus ja ELY-tuki heti.</t>
        </r>
      </text>
    </comment>
    <comment ref="E24" authorId="0" shapeId="0" xr:uid="{38B63551-DC45-43B7-9431-CBD31FC000C5}">
      <text>
        <r>
          <rPr>
            <sz val="10"/>
            <color indexed="81"/>
            <rFont val="Tahoma"/>
            <family val="2"/>
          </rPr>
          <t>Kun yritys ostetaan ns. liiketoiminta-kauppana, ostetaan edelleen myytäväksi tarkoitetut tavarat ilman arvonlisäveroa.</t>
        </r>
      </text>
    </comment>
    <comment ref="K24" authorId="0" shapeId="0" xr:uid="{2FB0F300-3E3B-46AD-A1F4-B74231BE5214}">
      <text>
        <r>
          <rPr>
            <sz val="10"/>
            <color indexed="81"/>
            <rFont val="Tahoma"/>
            <family val="2"/>
          </rPr>
          <t>Tukea voidaan saada investoinnille, jonka hinnasta on vähennetty arvonlisävero. LEASINGRAHOITUSTA KÄYTETTÄESSÄ LUKU ON SUUNTAA-ANTAVA!</t>
        </r>
      </text>
    </comment>
    <comment ref="E25" authorId="0" shapeId="0" xr:uid="{D0C604A3-439E-4FC1-8F47-A98C0CF4A199}">
      <text>
        <r>
          <rPr>
            <sz val="10"/>
            <color indexed="81"/>
            <rFont val="Tahoma"/>
            <family val="2"/>
          </rPr>
          <t>Alkuvarasto = ennen liikkeen avaamista hankitut myyntitavarat. Takuumaksuja ovat takuuvuokrat ja esim. puhelinliittymän takuumaksu.</t>
        </r>
      </text>
    </comment>
    <comment ref="E26" authorId="0" shapeId="0" xr:uid="{E2C321E2-13BC-460D-9B37-C98B726924BF}">
      <text>
        <r>
          <rPr>
            <b/>
            <sz val="10"/>
            <color indexed="81"/>
            <rFont val="Tahoma"/>
            <family val="2"/>
          </rPr>
          <t>Hankinnat, joista ei saada alv-vähennystä:</t>
        </r>
        <r>
          <rPr>
            <sz val="10"/>
            <color indexed="81"/>
            <rFont val="Tahoma"/>
            <family val="2"/>
          </rPr>
          <t xml:space="preserve">
- yksityiskäyttöön ostettavien työsuhdeajoneuvojen hankintakulut
  (Osamaksu- ja leasingrahoitettavat ajoneuvot Kustannukset K1-
  taulukkoon, kohta 25. Työsuhdeajoneuvojen kustannukset)
- arvonlisäverottomien yritysten hankinnat (terveys- ja hoiva-ala, 
  vakuutus, rahoitus ja yritykset, joiden vuosiliikevaihto on 
  alle 15 000 €)
- yrityskaupassa maksettu liikearvo tms.
- liiketoimintakaupassa ostetut koneet, laitteet yms. 
- ulkomailta ostettu arvonlisäveroton kalustot ja koneet 
- yksityishenkilöiltä ostettu kalusto ja koneet</t>
        </r>
      </text>
    </comment>
    <comment ref="K27" authorId="0" shapeId="0" xr:uid="{E776B83F-E6DD-476F-8518-F4EFC622FB1E}">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B28" authorId="0" shapeId="0" xr:uid="{4179AD05-8F02-4330-88CB-DCFA47C776B2}">
      <text>
        <r>
          <rPr>
            <sz val="10"/>
            <color indexed="81"/>
            <rFont val="Tahoma"/>
            <family val="2"/>
          </rPr>
          <t>Aineettomat lyhytaikaiset investoinnit arvonlisäverollisin hinnoin, joista ei tehdä verotuksessa poistoja: Esim. 
- markkinointi-investoinnit (kotisivut, logo, lisenssit yms.)
- asiantuntijapalkkiot (sopimusten laadinta, tuotesuojaus yms.)</t>
        </r>
      </text>
    </comment>
    <comment ref="K29" authorId="0" shapeId="0" xr:uid="{3AB12968-BC2A-4C67-947C-04EDB2977491}">
      <text>
        <r>
          <rPr>
            <sz val="10"/>
            <color indexed="81"/>
            <rFont val="Tahoma"/>
            <family val="2"/>
          </rPr>
          <t xml:space="preserve">Hankkeen onnistumisen kannalta olisi hyvä, että oman rahoituksen kokonaismäärä olisi vähintään 
20 % koko rahoitustarpeesta. </t>
        </r>
      </text>
    </comment>
    <comment ref="E30" authorId="0" shapeId="0" xr:uid="{530B89AD-D668-421A-8F00-FB750EC8DCA5}">
      <text>
        <r>
          <rPr>
            <b/>
            <sz val="10"/>
            <color indexed="81"/>
            <rFont val="Tahoma"/>
            <family val="2"/>
          </rPr>
          <t xml:space="preserve">Arvonlisäverottomien yritysten aineettomat- ja kehittämis-
investoinnit. </t>
        </r>
        <r>
          <rPr>
            <sz val="10"/>
            <color indexed="81"/>
            <rFont val="Tahoma"/>
            <family val="2"/>
          </rPr>
          <t>Arvonlisäverottomia aloja ovat terveys- ja hoiva-ala, 
vakuutus- ja rahoitusala sekä yritykset, joiden vuosiliikevaihto on alle 15000 €.</t>
        </r>
      </text>
    </comment>
    <comment ref="F30" authorId="0" shapeId="0" xr:uid="{4256FE22-638B-465A-8FC8-9C0B04B0B042}">
      <text>
        <r>
          <rPr>
            <sz val="10"/>
            <color indexed="81"/>
            <rFont val="Tahoma"/>
            <family val="2"/>
          </rPr>
          <t>Yrittäjälaina on yrittäjän henkilökohtainen laina, jolla voidaan rahoittaa:
- sijoituksia osakeyhtiön osakepääomaan ja/tai 
  SVOP- sijoitetun vapaan oman pääoman rahastoon
- avoimen tai kommandiittiyhtiön yhtiömiesosuuden 
  ostoa 
- jo toimivan yrityksen osakkeiden ostoa
- lainan pääoma 10 000 - 100 000 €</t>
        </r>
      </text>
    </comment>
    <comment ref="E32" authorId="0" shapeId="0" xr:uid="{E4FFC728-AEDB-42AE-A402-B10D74991FB6}">
      <text>
        <r>
          <rPr>
            <sz val="10"/>
            <color indexed="81"/>
            <rFont val="Tahoma"/>
            <family val="2"/>
          </rPr>
          <t>Käyttöpääoma = kassavarat. Käyttöpääoman tarpeeseen vaikuttavat yrityksen toimintakustannukset sekä myynnin ja ostojen vaihtelu. 
Suositus käyttöpääoman minimimääräksi aloittavassa yrityksessä:
- teollisuus ja valmistaminen 10 000 - 60 000 €/hlö 
  (yritysoston yhteydessä 4 000 - 20 000 €/hlö) 
- rakentaminen 15 000 - 50 000 €/hlö (yritysoston 
  yhteydessä 5 000 - 18 000 €/hlö) 
- tukku- ja vähittäiskaupassa noin 20 % liikevaihdosta
- palvelut yrityksille 15 000 - 30 000 €/hlö (yritysoston
  yhteydessä 5 000 - 10 000 €/hlö) 
Toimialavaihtelut ovat suuret. Suuntaa-antavaa tietoa saat Toimialatiedot-välilehdeltä. Aloittava yritys tarvitsee 2 - 3 kertaisen käyttöpääoman toimivaan verrattuna.
Jos rahoitustarve ja rahoitussuunnitelma eivät ole täsmälleen yhtä suuret, voit korjauksen tehdä käyttöpääomaan eli kassaan.</t>
        </r>
      </text>
    </comment>
    <comment ref="E35" authorId="0" shapeId="0" xr:uid="{A39DFDFC-A6FD-4A67-A50F-E742F8CCC4E1}">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F0D69455-18C2-4E16-AAEF-222D99E11F2D}">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F45" authorId="0" shapeId="0" xr:uid="{E360B01C-A018-4DE8-A646-8F5C22872D9E}">
      <text>
        <r>
          <rPr>
            <sz val="10"/>
            <color indexed="81"/>
            <rFont val="Tahoma"/>
            <family val="2"/>
          </rPr>
          <t xml:space="preserve">1. vuotena ansaitaan laskennalliset lomakorvaukset, jonka vuoksi luku on suurempi kuin 2. vuoden henkilöstökulut.  </t>
        </r>
      </text>
    </comment>
    <comment ref="F49" authorId="0" shapeId="0" xr:uid="{55E43FE9-28BC-4C4D-BD80-EE647CC2D9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35685489-C1CD-4D97-AF98-B4C14D3278C7}">
      <text>
        <r>
          <rPr>
            <sz val="10"/>
            <color indexed="81"/>
            <rFont val="Tahoma"/>
            <family val="2"/>
          </rPr>
          <t>Verot lasketaan alla olevan prosentin mukaan, edustusmenot huomioitu laskennassa.</t>
        </r>
      </text>
    </comment>
    <comment ref="F53" authorId="0" shapeId="0" xr:uid="{9A26424B-D315-4149-A30D-B01E1E478007}">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3CD242D9-556D-4E10-BB2E-034A0C7C176C}">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99EE23E6-1DC0-42F2-931B-A1F502B832C1}">
      <text>
        <r>
          <rPr>
            <sz val="10"/>
            <color indexed="81"/>
            <rFont val="Tahoma"/>
            <family val="2"/>
          </rPr>
          <t>- poisto enintään 25 % (poistoaika n. 4 vuotta)
- suositellaan taloudellisen käyttöiän mukaista 
  poistoa, joka  yleensä 5 - 10 vuotta eli 20 - 10 %</t>
        </r>
      </text>
    </comment>
    <comment ref="F57" authorId="0" shapeId="0" xr:uid="{4D624CB3-0684-4209-AC6E-285FF9CBB20C}">
      <text>
        <r>
          <rPr>
            <sz val="10"/>
            <color indexed="81"/>
            <rFont val="Tahoma"/>
            <family val="2"/>
          </rPr>
          <t>- poisto enintään 25 % (poistoaika n. 4 vuotta)
- suositellaan 5 vuoden poistoa eli 20 %</t>
        </r>
      </text>
    </comment>
    <comment ref="F58" authorId="0" shapeId="0" xr:uid="{6FD9A9A7-EB22-47F3-905B-E9E760B98116}">
      <text>
        <r>
          <rPr>
            <sz val="10"/>
            <color indexed="81"/>
            <rFont val="Tahoma"/>
            <family val="2"/>
          </rPr>
          <t>- poisto enintään 25 % (poistoaika n. 4 vuotta)
- suositellaan 5 vuoden poistoa eli 20 %</t>
        </r>
      </text>
    </comment>
    <comment ref="F59" authorId="0" shapeId="0" xr:uid="{BD526DDE-27B0-467C-8B92-3D9D3D29BB64}">
      <text>
        <r>
          <rPr>
            <sz val="10"/>
            <color indexed="81"/>
            <rFont val="Tahoma"/>
            <family val="2"/>
          </rPr>
          <t>Nettotulos on varsinaisen toiminnan tulos. Tulokseen eivät sisälly tavanomaiseen liiketoimintaan kuulumattomat kertaluonteiset erät.</t>
        </r>
      </text>
    </comment>
    <comment ref="F62" authorId="0" shapeId="0" xr:uid="{C4C76A17-8100-4495-B994-41C5BB95127E}">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84238FC7-290C-45B2-95AD-4CFE14C73510}">
      <text>
        <r>
          <rPr>
            <sz val="10"/>
            <color indexed="81"/>
            <rFont val="Tahoma"/>
            <family val="2"/>
          </rPr>
          <t>Tämä prosenttiluku ilmoittaa, paljonko myynti voi laskea (positiivinen luku) tai täytyy nousta (negatiivinen luku), jotta toimintakulut peittyvät.</t>
        </r>
      </text>
    </comment>
    <comment ref="F97" authorId="0" shapeId="0" xr:uid="{B6AB81CE-9AF0-4C42-AA86-679778B08DA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Företagstolken</author>
  </authors>
  <commentList>
    <comment ref="B2" authorId="0" shapeId="0" xr:uid="{CE7C8C52-4CC2-4E11-8350-23E5B3B254F1}">
      <text>
        <r>
          <rPr>
            <b/>
            <sz val="10"/>
            <color indexed="81"/>
            <rFont val="Tahoma"/>
            <family val="2"/>
          </rPr>
          <t>Kassabudjettiin tulevat luvut vain, jos olet kirjoittanut yrityksen nimen taulukkoon Kustannukset K1 tai Kustannukset Y1.</t>
        </r>
        <r>
          <rPr>
            <sz val="10"/>
            <color indexed="81"/>
            <rFont val="Tahoma"/>
            <family val="2"/>
          </rPr>
          <t xml:space="preserve">
Kassabudjetin suunnittelukausi on 12 kk alkaen tilikauden alusta. Jos tilikausi on pitempi kuin 12 kk, tulevat näkyviin vain kuukaudet 1 -12. Jos tilikausi on pienempi kuin 12 kk, aseta myynnin jakautuminen oikeille kuukausille ja tarpeettomat kuukaudet 0 %. 
TÄYTÄ KELTAISIIN SOLUIHIN! INVESTOINNIT LISÄTTY 1. KUUKAUDELLE. MUUTA TARVITTAESSA!  
1. Tarkista kulujen toteutuminen eri kuukausille.
2. Tarkista tulojen jakautuminen käteismyyntiin ja laskutusmyyntiin.
3. Ensimmäisille kuukausille tulevat myös vakuutusmaksut, lehtilaskut, luvat yms. Syötä maksuerittäin eri kuukausille.
4. Vähennä osamaksulla ja leasingilla ostetut investoinnit kohdasta 12 ja 33.</t>
        </r>
      </text>
    </comment>
    <comment ref="N4" authorId="0" shapeId="0" xr:uid="{8900EC42-89BC-4DBF-9595-D868F79C60D6}">
      <text>
        <r>
          <rPr>
            <sz val="10"/>
            <color indexed="81"/>
            <rFont val="Tahoma"/>
            <family val="2"/>
          </rPr>
          <t>Lisätietoja esim. suunnittelukausi 1/20XX-12/20XX ja päiväys.</t>
        </r>
      </text>
    </comment>
    <comment ref="G6" authorId="0" shapeId="0" xr:uid="{18062A0C-109E-40B4-9D80-78481019E19D}">
      <text>
        <r>
          <rPr>
            <sz val="10"/>
            <color indexed="81"/>
            <rFont val="Tahoma"/>
            <family val="2"/>
          </rPr>
          <t>Kirjoita muodossa:
Tilikauden aloittava kuukausi: kuukauden numero.vuosi
Esim. tammikuu 202X = 1.202X</t>
        </r>
      </text>
    </comment>
    <comment ref="F8" authorId="0" shapeId="0" xr:uid="{08992D48-9D32-46C2-9807-D261C8C4FFC4}">
      <text>
        <r>
          <rPr>
            <sz val="10"/>
            <color indexed="81"/>
            <rFont val="Tahoma"/>
            <family val="2"/>
          </rPr>
          <t>Merkitse tähän käteismyynnin prosenttiosuus kokonaismyynnistä. Ota huomioon myös marginaaliverotettava myynti!</t>
        </r>
      </text>
    </comment>
    <comment ref="G8" authorId="0" shapeId="0" xr:uid="{869902C3-64DA-43E6-AAA6-F033FC88522A}">
      <text>
        <r>
          <rPr>
            <sz val="10"/>
            <color indexed="81"/>
            <rFont val="Tahoma"/>
            <family val="2"/>
          </rPr>
          <t xml:space="preserve">Ohjelma laskee käteismyynnin osuuden annetun prosenttijakautuman mukaan kuukausieriksi. </t>
        </r>
      </text>
    </comment>
    <comment ref="G9" authorId="0" shapeId="0" xr:uid="{5BC93D73-2EF0-4D7C-A6E9-031E4C882A5D}">
      <text>
        <r>
          <rPr>
            <sz val="10"/>
            <color indexed="81"/>
            <rFont val="Tahoma"/>
            <family val="2"/>
          </rPr>
          <t xml:space="preserve">Tällä prosentilla ennustetaan myynnin käyttäytymistä vuosittain. Luku tarkoittaa kuukauden myynnin %-osuutta koko vuoden myynnistä (100 %). Jos myynti on joka kuukausi yhtä suuri, on luku 8,3 %. </t>
        </r>
      </text>
    </comment>
    <comment ref="G10" authorId="1" shapeId="0" xr:uid="{3462480A-8F8D-48D7-8D48-F9F077E15E1E}">
      <text>
        <r>
          <rPr>
            <sz val="10"/>
            <color indexed="81"/>
            <rFont val="Tahoma"/>
            <family val="2"/>
          </rPr>
          <t>Ohjelma laskee laskutusmyynnin osuuden annetun prosenttijakautuman mukaan kuukausieriksi.</t>
        </r>
        <r>
          <rPr>
            <sz val="9"/>
            <color indexed="81"/>
            <rFont val="Tahoma"/>
            <family val="2"/>
          </rPr>
          <t xml:space="preserve"> </t>
        </r>
      </text>
    </comment>
    <comment ref="G11" authorId="0" shapeId="0" xr:uid="{74B50766-74BA-4D04-B953-48F4AB337F0F}">
      <text>
        <r>
          <rPr>
            <sz val="10"/>
            <color indexed="81"/>
            <rFont val="Tahoma"/>
            <family val="2"/>
          </rPr>
          <t xml:space="preserve">Tällä prosentilla ennustetaan myynnin käyttäytymistä vuosittain. Luku tarkoittaa kuukauden myynnin %-osuutta koko vuoden myynnistä (100 %). Jos myynti on joka kuukausi yhtä suuri, on luku 8,3 %. </t>
        </r>
      </text>
    </comment>
    <comment ref="E12" authorId="0" shapeId="0" xr:uid="{9354E6EA-8F41-4E06-A913-9E49C81CF81A}">
      <text>
        <r>
          <rPr>
            <sz val="10"/>
            <color indexed="81"/>
            <rFont val="Tahoma"/>
            <family val="2"/>
          </rPr>
          <t>Myyntilaskujen keskimääräinen maksuaika. Pisin maksuaika 180 pv.</t>
        </r>
      </text>
    </comment>
    <comment ref="G12" authorId="1" shapeId="0" xr:uid="{00000000-0006-0000-0700-00000E000000}">
      <text>
        <r>
          <rPr>
            <sz val="10"/>
            <color indexed="81"/>
            <rFont val="Tahoma"/>
            <family val="2"/>
          </rPr>
          <t xml:space="preserve">Ohjelma laskee laskutusmyynnistä saatavat kuukausitulot maksuehdon perusteella (esim. 14 päivää). </t>
        </r>
      </text>
    </comment>
    <comment ref="G13" authorId="0" shapeId="0" xr:uid="{3EB3E726-E71A-42DB-8BB7-AC5FBAE44ED4}">
      <text>
        <r>
          <rPr>
            <sz val="10"/>
            <color indexed="81"/>
            <rFont val="Tahoma"/>
            <family val="2"/>
          </rPr>
          <t xml:space="preserve">Nostettavien lainojen kokonaissumma tässä solussa. Siirrä tarvittaessa oikealle kuukaudelle. Lisää lainojen korot kohtaan 26 ja lainojen lyhennykset kohtaan 30. </t>
        </r>
      </text>
    </comment>
    <comment ref="N14" authorId="0" shapeId="0" xr:uid="{883B2AE8-2D2A-4EC2-AF61-11116BB9BB75}">
      <text>
        <r>
          <rPr>
            <sz val="10"/>
            <color indexed="81"/>
            <rFont val="Tahoma"/>
            <family val="2"/>
          </rPr>
          <t>ELY-keskuksen avustus oletetaan saatavan 8. kuukautena aloituksesta. Siirrä tarvittaessa oikealle kuukaudelle.</t>
        </r>
      </text>
    </comment>
    <comment ref="B18" authorId="0" shapeId="0" xr:uid="{A86A5718-04F6-4117-8E59-F4B98ECC040D}">
      <text>
        <r>
          <rPr>
            <sz val="10"/>
            <color indexed="81"/>
            <rFont val="Tahoma"/>
            <family val="2"/>
          </rPr>
          <t>Kohtiin 6 - 17 vain alv vähennyskelpoiset ostot.</t>
        </r>
      </text>
    </comment>
    <comment ref="F18" authorId="0" shapeId="0" xr:uid="{242A866F-D0EB-400E-9389-C7D6512BDBC6}">
      <text>
        <r>
          <rPr>
            <sz val="10"/>
            <color indexed="81"/>
            <rFont val="Tahoma"/>
            <family val="2"/>
          </rPr>
          <t>Arvonlisäveroprosentit:
- 24 % yleinen arvonlisävero
- 14 % ravintolaruoka, elintarvikkeet ja eläinrehut 
- 10 % majoitus, liikunta, henkilökuljetus, kirjat, tilatut lehdet,
   sähköiset julkaisut
- 0 % terveys- ja sosiaalipalvelut, rahoitus- ja vakuutuspalvelut
- 0 % jos yrityksen vuosiliikevaihto alle 15 000 €/ vuosi
- jos useita alv-prosentteja käytössä, laske painotettu keskiarvo</t>
        </r>
      </text>
    </comment>
    <comment ref="G18" authorId="0" shapeId="0" xr:uid="{60697D50-E6D0-454D-A0DE-DD8EF61A8E03}">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H18" authorId="0" shapeId="0" xr:uid="{6898D9E8-01F5-45D9-A7B0-8E7DCBE83916}">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W18" authorId="0" shapeId="0" xr:uid="{184E0DC8-F137-47F3-8358-D3397B48DADE}">
      <text>
        <r>
          <rPr>
            <sz val="10"/>
            <color indexed="81"/>
            <rFont val="Tahoma"/>
            <family val="2"/>
          </rPr>
          <t>Vähennetty marginaaliverotettava osuus ostoista.</t>
        </r>
      </text>
    </comment>
    <comment ref="W19" authorId="0" shapeId="0" xr:uid="{B862B41D-5F5B-4115-82F3-751679DE4815}">
      <text>
        <r>
          <rPr>
            <sz val="10"/>
            <color indexed="81"/>
            <rFont val="Tahoma"/>
            <family val="2"/>
          </rPr>
          <t>Vain marginaaliverotetavat ostot</t>
        </r>
      </text>
    </comment>
    <comment ref="B20" authorId="0" shapeId="0" xr:uid="{D0E3344B-AACB-40CF-AEC6-4423DED56B41}">
      <text>
        <r>
          <rPr>
            <sz val="10"/>
            <color indexed="81"/>
            <rFont val="Tahoma"/>
            <family val="2"/>
          </rPr>
          <t>Kohtiin 6 - 17 vain alv vähennyskelpoiset ostot.</t>
        </r>
      </text>
    </comment>
    <comment ref="F20" authorId="0" shapeId="0" xr:uid="{5E10CF5D-8E7F-4AB2-8915-CFBBF70F6E84}">
      <text>
        <r>
          <rPr>
            <sz val="10"/>
            <color indexed="81"/>
            <rFont val="Tahoma"/>
            <family val="2"/>
          </rPr>
          <t>Arvonlisäveroprosentit
- 24 % yleinen 
- 0 % toimialat terveys- ja sosiaalipalvelut, vakuutus- ja 
  rahoituspalvelut
- 0 %, jos yrityksen vuosiliikevaihto on alle 15 000 euroa</t>
        </r>
      </text>
    </comment>
    <comment ref="B21" authorId="0" shapeId="0" xr:uid="{583F72B4-55F6-40A2-B0BF-11871BDD5BBC}">
      <text>
        <r>
          <rPr>
            <sz val="10"/>
            <color indexed="81"/>
            <rFont val="Tahoma"/>
            <family val="2"/>
          </rPr>
          <t>Kohtiin 6 - 17 vain alv vähennyskelpoiset ostot.</t>
        </r>
      </text>
    </comment>
    <comment ref="B22" authorId="0" shapeId="0" xr:uid="{85F07684-6C2C-49B4-AFB2-00359E593BEC}">
      <text>
        <r>
          <rPr>
            <sz val="10"/>
            <color indexed="81"/>
            <rFont val="Tahoma"/>
            <family val="2"/>
          </rPr>
          <t>Kohtiin 6 - 17 vain alv vähennyskelpoiset ostot.</t>
        </r>
      </text>
    </comment>
    <comment ref="B23" authorId="0" shapeId="0" xr:uid="{271CEA11-8C27-43D0-A74C-2B7599B265FE}">
      <text>
        <r>
          <rPr>
            <sz val="10"/>
            <color indexed="81"/>
            <rFont val="Tahoma"/>
            <family val="2"/>
          </rPr>
          <t>Kohtiin 6 - 17 vain alv vähennyskelpoiset ostot.</t>
        </r>
      </text>
    </comment>
    <comment ref="B24" authorId="0" shapeId="0" xr:uid="{E0012DF0-6721-4101-911F-1C7F3F8000D2}">
      <text>
        <r>
          <rPr>
            <sz val="10"/>
            <color indexed="81"/>
            <rFont val="Tahoma"/>
            <family val="2"/>
          </rPr>
          <t>Kohtiin 6 - 17 vain alv vähennyskelpoiset ostot.</t>
        </r>
      </text>
    </comment>
    <comment ref="B25" authorId="0" shapeId="0" xr:uid="{AF012B36-1A58-4153-8011-BC9AD076E2F4}">
      <text>
        <r>
          <rPr>
            <sz val="10"/>
            <color indexed="81"/>
            <rFont val="Tahoma"/>
            <family val="2"/>
          </rPr>
          <t>Kohtiin 6 - 17 vain alv vähennyskelpoiset ostot.</t>
        </r>
      </text>
    </comment>
    <comment ref="G25" authorId="2" shapeId="0" xr:uid="{091ED5B5-6AF2-4733-B5BA-D0EA52AE1C4E}">
      <text>
        <r>
          <rPr>
            <sz val="10"/>
            <color indexed="81"/>
            <rFont val="Tahoma"/>
            <family val="2"/>
          </rPr>
          <t>Oletetaan kaikki investoinnit sis. alv tehtäviksi tilikauden alussa (ei leasing- ja osamaksurahoitteiset). Siirrä oikealle kuukaudelle jos tarpeen.</t>
        </r>
      </text>
    </comment>
    <comment ref="B26" authorId="0" shapeId="0" xr:uid="{B7F499A2-3855-4CC6-9D7E-8A8468EFF2DC}">
      <text>
        <r>
          <rPr>
            <sz val="10"/>
            <color indexed="81"/>
            <rFont val="Tahoma"/>
            <family val="2"/>
          </rPr>
          <t>Kohtiin 6 - 17 vain alv vähennyskelpoiset ostot.</t>
        </r>
      </text>
    </comment>
    <comment ref="B27" authorId="0" shapeId="0" xr:uid="{76A935F1-11F7-4FB2-BB8D-663D356F89F7}">
      <text>
        <r>
          <rPr>
            <sz val="10"/>
            <color indexed="81"/>
            <rFont val="Tahoma"/>
            <family val="2"/>
          </rPr>
          <t>Kohtiin 6 - 17 vain alv vähennyskelpoiset ostot.</t>
        </r>
      </text>
    </comment>
    <comment ref="B28" authorId="0" shapeId="0" xr:uid="{2BAACCAC-3F54-4D22-AA93-7718BCD90033}">
      <text>
        <r>
          <rPr>
            <sz val="10"/>
            <color indexed="81"/>
            <rFont val="Tahoma"/>
            <family val="2"/>
          </rPr>
          <t>Kohtiin 6 - 17 vain alv vähennyskelpoiset ostot.</t>
        </r>
      </text>
    </comment>
    <comment ref="B29" authorId="0" shapeId="0" xr:uid="{6B53DA1D-5BE2-4270-A134-4EDEBE36499B}">
      <text>
        <r>
          <rPr>
            <sz val="10"/>
            <color indexed="81"/>
            <rFont val="Tahoma"/>
            <family val="2"/>
          </rPr>
          <t>Kohtiin 6 - 17 vain alv vähennyskelpoiset ostot.</t>
        </r>
      </text>
    </comment>
    <comment ref="B30" authorId="0" shapeId="0" xr:uid="{00359F4D-1003-499A-A3E7-57B2FF503A4F}">
      <text>
        <r>
          <rPr>
            <sz val="10"/>
            <color indexed="81"/>
            <rFont val="Tahoma"/>
            <family val="2"/>
          </rPr>
          <t>Kohtiin 6 - 17 vain alv vähennyskelpoiset ostot.</t>
        </r>
      </text>
    </comment>
    <comment ref="C31" authorId="0" shapeId="0" xr:uid="{F6A3FBEE-4819-4113-809B-B04BA250347A}">
      <text>
        <r>
          <rPr>
            <sz val="10"/>
            <color indexed="81"/>
            <rFont val="Tahoma"/>
            <family val="2"/>
          </rPr>
          <t>Arvonlisävero lasketaan viimeistä edellisen kuukauden ALV ostoista ja -myynneistä eli maaliskuun ALV:t lasketaan tammikuun tapahtumista.</t>
        </r>
      </text>
    </comment>
    <comment ref="G31" authorId="1" shapeId="0" xr:uid="{00000000-0006-0000-0700-000035000000}">
      <text>
        <r>
          <rPr>
            <sz val="10"/>
            <color indexed="81"/>
            <rFont val="Tahoma"/>
            <family val="2"/>
          </rPr>
          <t xml:space="preserve">Aloittavalla yrityksellä ei yleensä ole maksettavaa tai saatavaa arvonlisäveroa ellei ole kysymyksessä yrityskauppa. </t>
        </r>
      </text>
    </comment>
    <comment ref="H31" authorId="1" shapeId="0" xr:uid="{9D266E96-C3DC-4884-82E2-04E45E3184E6}">
      <text>
        <r>
          <rPr>
            <sz val="10"/>
            <color indexed="81"/>
            <rFont val="Tahoma"/>
            <family val="2"/>
          </rPr>
          <t xml:space="preserve">Aloittavalla yrityksellä ei yleensä ole maksettavaa tai saatavaa arvonlisäveroa ellei ole kysymyksessä yrityskauppa. </t>
        </r>
      </text>
    </comment>
    <comment ref="D33" authorId="0" shapeId="0" xr:uid="{10355479-694F-4116-B534-30A0B9A0C22F}">
      <text>
        <r>
          <rPr>
            <sz val="10"/>
            <color indexed="81"/>
            <rFont val="Tahoma"/>
            <family val="2"/>
          </rPr>
          <t xml:space="preserve">YEL-vakuutettujen yrittäjien rahapalkat ilman veronpidätyksiä. </t>
        </r>
      </text>
    </comment>
    <comment ref="F33" authorId="0" shapeId="0" xr:uid="{7EF236BF-23F9-4C6E-8288-83FD4AC80460}">
      <text>
        <r>
          <rPr>
            <sz val="10"/>
            <color indexed="81"/>
            <rFont val="Tahoma"/>
            <family val="2"/>
          </rPr>
          <t>Keskim. veronpidätysprosentti, joka löytyy verokortista tai Verolaskurilla www.vero.fi
Vero lasketaan rahapalkan ja luontoisetujen yhteissummasta.</t>
        </r>
      </text>
    </comment>
    <comment ref="M33" authorId="0" shapeId="0" xr:uid="{E3809542-90D5-4168-96E6-9A2F46DE9D8C}">
      <text>
        <r>
          <rPr>
            <sz val="10"/>
            <color indexed="81"/>
            <rFont val="Tahoma"/>
            <family val="2"/>
          </rPr>
          <t>Muista huomioida mahdollinen lomarahan maksu eli normaali kk-palkka x 1,5.</t>
        </r>
      </text>
    </comment>
    <comment ref="D35" authorId="0" shapeId="0" xr:uid="{66FD2C05-748D-42ED-8DEC-6F7153623ED9}">
      <text>
        <r>
          <rPr>
            <sz val="10"/>
            <color indexed="81"/>
            <rFont val="Tahoma"/>
            <family val="2"/>
          </rPr>
          <t xml:space="preserve">Työntekijöiden ja TyEL-yrittäjien rahapalkat ilman veronpidätyksiä. </t>
        </r>
      </text>
    </comment>
    <comment ref="F35" authorId="0" shapeId="0" xr:uid="{FBCF73B7-EB53-438D-8722-7276EE6AC028}">
      <text>
        <r>
          <rPr>
            <sz val="10"/>
            <color indexed="81"/>
            <rFont val="Tahoma"/>
            <family val="2"/>
          </rPr>
          <t>Keskim. veronpidätysprosentti, joka löytyy verokortista tai Verolaskurilla www.vero.fi
Vero lasketaan rahapalkan ja luontoisetujen yhteissummasta.</t>
        </r>
      </text>
    </comment>
    <comment ref="M35" authorId="0" shapeId="0" xr:uid="{04DA9916-2FB5-4B4E-AA7F-ECDAE08F910F}">
      <text>
        <r>
          <rPr>
            <sz val="10"/>
            <color indexed="81"/>
            <rFont val="Tahoma"/>
            <family val="2"/>
          </rPr>
          <t>Muista huomioida mahdollinen lomarahan maksu eli normaali kk-palkka x 1,5.</t>
        </r>
      </text>
    </comment>
    <comment ref="D36" authorId="0" shapeId="0" xr:uid="{BBA8BA2D-29E8-41CF-BBC2-E444A5EC4612}">
      <text>
        <r>
          <rPr>
            <sz val="10"/>
            <color indexed="81"/>
            <rFont val="Tahoma"/>
            <family val="2"/>
          </rPr>
          <t>Vero lasketaan rahapalkan ja luontoisetujen yhteissummasta.</t>
        </r>
      </text>
    </comment>
    <comment ref="F37" authorId="0" shapeId="0" xr:uid="{DF728474-202F-433F-82FA-0F40DECA9963}">
      <text>
        <r>
          <rPr>
            <b/>
            <sz val="10"/>
            <color indexed="81"/>
            <rFont val="Tahoma"/>
            <family val="2"/>
          </rPr>
          <t>Vuonna 2024</t>
        </r>
        <r>
          <rPr>
            <sz val="10"/>
            <color indexed="81"/>
            <rFont val="Tahoma"/>
            <family val="2"/>
          </rPr>
          <t xml:space="preserve">
Työntekijän palkasta maksetaan työntekijän työeläkevakuutusmaksua (TyEL) ja työttömyysvakuutusmaksua (TVR)
- TyEL-maksu (17 - 52 v.) 7,15 % + TVR  0,79 % = yhteensä: 7,94 %
- TyEL-maksu (53 - 62 v.)  8,65 % + TVR 0,79 % = yhteensä: 9,44 %
- TyEL-maksu (63 - 67v.) 7,15 % + TVR 0,79 % =  yhteensä: 7,94 %</t>
        </r>
      </text>
    </comment>
    <comment ref="G38" authorId="0" shapeId="0" xr:uid="{BF30116B-42DB-4BA5-9DF0-471EF945E3DF}">
      <text>
        <r>
          <rPr>
            <sz val="10"/>
            <color indexed="81"/>
            <rFont val="Tahoma"/>
            <family val="2"/>
          </rPr>
          <t>Koska tilitykset maksetaan palkanmaksua seuraavana kuukautena, on ensimmäinen kuukausi tyhjä.</t>
        </r>
      </text>
    </comment>
    <comment ref="H38" authorId="0" shapeId="0" xr:uid="{E1E48D64-B5B1-44B4-9FC7-2CAEF0808094}">
      <text>
        <r>
          <rPr>
            <sz val="10"/>
            <color indexed="81"/>
            <rFont val="Tahoma"/>
            <family val="2"/>
          </rPr>
          <t>Ohjelma laskee valmiiksi. Voit myös muuttaa toteutuvan mukaiseksi.</t>
        </r>
      </text>
    </comment>
    <comment ref="F40" authorId="0" shapeId="0" xr:uid="{C8E57194-5159-4441-9F25-445A46D7449A}">
      <text>
        <r>
          <rPr>
            <b/>
            <sz val="10"/>
            <color indexed="81"/>
            <rFont val="Tahoma"/>
            <family val="2"/>
          </rPr>
          <t xml:space="preserve">2024 
Yritys maksaa keskimäärin: 
</t>
        </r>
        <r>
          <rPr>
            <sz val="10"/>
            <color indexed="81"/>
            <rFont val="Tahoma"/>
            <family val="2"/>
          </rPr>
          <t xml:space="preserve">- TyEL-maksua keskimäärin 24,81 % palkoista
- Tapaturmavakuutusta keskimäärin 0,57 % (tapaturma-alttiilla aloilla suurempi)
- Työttömyysvakuutusta 1,06 % (työntekijän osuus 0,79 % + yrityksen osuus 0,27 %)
- Ryhmähenkivakuutusta 0,06 % </t>
        </r>
        <r>
          <rPr>
            <b/>
            <sz val="10"/>
            <color indexed="81"/>
            <rFont val="Tahoma"/>
            <family val="2"/>
          </rPr>
          <t xml:space="preserve">
Yhteensä noin 26,5 %, korota tapaturma-alttiilla aloilla</t>
        </r>
      </text>
    </comment>
    <comment ref="H42" authorId="0" shapeId="0" xr:uid="{82AE2D9F-CB6E-4595-8C48-9732B5FAB2AE}">
      <text>
        <r>
          <rPr>
            <sz val="10"/>
            <color indexed="81"/>
            <rFont val="Tahoma"/>
            <family val="2"/>
          </rPr>
          <t>Aloittava yritys maksaa tämän menon yleensä 2. kuukautena ellei makseta useassa erässä. Voit muuttaa halutessasi.</t>
        </r>
      </text>
    </comment>
    <comment ref="L44" authorId="0" shapeId="0" xr:uid="{74BAF6F9-14A9-424B-A444-8913778370C4}">
      <text>
        <r>
          <rPr>
            <sz val="10"/>
            <color indexed="81"/>
            <rFont val="Tahoma"/>
            <family val="2"/>
          </rPr>
          <t>Laina lyhennetään ½-vuosittain.</t>
        </r>
      </text>
    </comment>
    <comment ref="C45" authorId="0" shapeId="0" xr:uid="{DEF7ABC7-62BB-431C-BF49-92A6FEB1B45B}">
      <text>
        <r>
          <rPr>
            <sz val="10"/>
            <color indexed="81"/>
            <rFont val="Tahoma"/>
            <family val="2"/>
          </rPr>
          <t xml:space="preserve">Ennakkoverot sekä kiinteistöverot lisätään oikeille kuukausille! Ohjelma laskee ennakkoveron tuloksesta. Ennakkovero on yrityksen Verohallinnolle etukäteen maksama tuloveron arvioitu määrä. </t>
        </r>
      </text>
    </comment>
    <comment ref="G51" authorId="2" shapeId="0" xr:uid="{4123C54D-0A1C-447D-AAC5-4DAD6F77D86D}">
      <text>
        <r>
          <rPr>
            <sz val="10"/>
            <color indexed="81"/>
            <rFont val="Tahoma"/>
            <family val="2"/>
          </rPr>
          <t>Oletetaan kaikki investoinnit alv 0 % tehtäviksi tilikauden alussa. Siirrä oikealle kuukaudelle jos tarpeen.</t>
        </r>
      </text>
    </comment>
    <comment ref="R57" authorId="0" shapeId="0" xr:uid="{1DBD164C-0B1A-44DB-9D34-5E82361A5BC7}">
      <text>
        <r>
          <rPr>
            <sz val="10"/>
            <color indexed="81"/>
            <rFont val="Tahoma"/>
            <family val="2"/>
          </rPr>
          <t>Suunnittelukauden viimeisen kuukauden kassavarat.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14" authorId="0" shapeId="0" xr:uid="{3D1B9731-FE0B-4682-B5A7-2B05B7E23C65}">
      <text>
        <r>
          <rPr>
            <sz val="10"/>
            <color indexed="81"/>
            <rFont val="Tahoma"/>
            <family val="2"/>
          </rPr>
          <t>Työntekijöiden määrä kokonaislukuna. Osa-aikatyöntekijät ja tulevina vuosina palkattavat työntekijät merkitään taulukon alaosassa.</t>
        </r>
      </text>
    </comment>
    <comment ref="C15" authorId="0" shapeId="0" xr:uid="{C37317F1-ECD2-4792-B58D-A71FC082BE1B}">
      <text>
        <r>
          <rPr>
            <sz val="10"/>
            <color indexed="81"/>
            <rFont val="Tahoma"/>
            <family val="2"/>
          </rPr>
          <t>Tarkoitetaan yhden työntekijän palkkaa ilman sivukuluja.</t>
        </r>
      </text>
    </comment>
    <comment ref="C16" authorId="0" shapeId="0" xr:uid="{340AC6AD-CB49-45AE-B07D-CA02F5AAD050}">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17" authorId="0" shapeId="0" xr:uid="{2D8B5948-A3D4-46A3-A306-FEBFE201842C}">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18" authorId="0" shapeId="0" xr:uid="{8C7B2FD5-4F97-4929-BF21-664F80DD776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19" authorId="0" shapeId="0" xr:uid="{31CA5E7A-D012-446B-877D-ABAE22B88498}">
      <text>
        <r>
          <rPr>
            <sz val="10"/>
            <color indexed="81"/>
            <rFont val="Tahoma"/>
            <family val="2"/>
          </rPr>
          <t xml:space="preserve">Aloittavalla yrityksellä 12 kk. Lomakorvaukset lasketaan automaattisesti. </t>
        </r>
      </text>
    </comment>
    <comment ref="C26" authorId="0" shapeId="0" xr:uid="{F2BCE5DC-6C99-4A5D-9467-6B1EA9257A99}">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56" authorId="0" shapeId="0" xr:uid="{49B53EE4-ABB1-4D9E-B744-B52FCA3C9EDF}">
      <text>
        <r>
          <rPr>
            <sz val="10"/>
            <color indexed="81"/>
            <rFont val="Tahoma"/>
            <family val="2"/>
          </rPr>
          <t>Tarkoitetaan yhden työntekijän palkkaa ilman sivukuluja.</t>
        </r>
      </text>
    </comment>
    <comment ref="C57" authorId="0" shapeId="0" xr:uid="{A73C3D03-778F-48D3-BB7B-869E5EC35966}">
      <text>
        <r>
          <rPr>
            <sz val="10"/>
            <color indexed="81"/>
            <rFont val="Tahoma"/>
            <family val="2"/>
          </rPr>
          <t>- 8 tunnin työpäivä, palkkatunnit kuukaudessa 172
- 7,6 tunnin työpäivä, palkkatunnit kuukaudessa 162
- 7,5 tunnin työpäivä, palkkatunnit kuukaudessa 161
- kuukausipalkassa palkkatunnit 1</t>
        </r>
      </text>
    </comment>
    <comment ref="C58" authorId="0" shapeId="0" xr:uid="{F6422E8B-7F54-4621-AFED-32111B6AAE68}">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59" authorId="0" shapeId="0" xr:uid="{8C50E782-DF5B-4938-93F4-EBF21D946047}">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60" authorId="0" shapeId="0" xr:uid="{72B50CB3-00C5-406D-9CC5-150B3E4FE842}">
      <text>
        <r>
          <rPr>
            <sz val="10"/>
            <color indexed="81"/>
            <rFont val="Tahoma"/>
            <family val="2"/>
          </rPr>
          <t xml:space="preserve">Aloittavalla yrityksellä 12 kk. Lomakorvaukset lasketaan automaattisesti.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75D27C2E-2800-4841-AA89-5363E5A20D96}">
      <text>
        <r>
          <rPr>
            <sz val="10"/>
            <color indexed="81"/>
            <rFont val="Tahoma"/>
            <family val="2"/>
          </rPr>
          <t>Kassabudjettia varten tarvitaan yrityksen nimi.</t>
        </r>
      </text>
    </comment>
    <comment ref="A11" authorId="0" shapeId="0" xr:uid="{C48E6C21-66C6-4CA2-8CF2-ADAA239C599A}">
      <text>
        <r>
          <rPr>
            <sz val="9"/>
            <color indexed="81"/>
            <rFont val="Tahoma"/>
            <family val="2"/>
          </rPr>
          <t xml:space="preserve">
</t>
        </r>
        <r>
          <rPr>
            <b/>
            <sz val="9"/>
            <color indexed="81"/>
            <rFont val="Tahoma"/>
            <family val="2"/>
          </rPr>
          <t xml:space="preserve">Laskentaohjelmassa on neljä taulukkoa, joita täytetään seuraavassa järjestyksessä: </t>
        </r>
        <r>
          <rPr>
            <sz val="9"/>
            <color indexed="81"/>
            <rFont val="Tahoma"/>
            <family val="2"/>
          </rPr>
          <t xml:space="preserve">
</t>
        </r>
        <r>
          <rPr>
            <b/>
            <sz val="9"/>
            <color indexed="81"/>
            <rFont val="Tahoma"/>
            <family val="2"/>
          </rPr>
          <t>1. TOIMINTAKUSTANNUKSET Y1</t>
        </r>
        <r>
          <rPr>
            <sz val="9"/>
            <color indexed="81"/>
            <rFont val="Tahoma"/>
            <family val="2"/>
          </rPr>
          <t xml:space="preserve">
Ensin täytetään liiketoiminnasta syntyvät TOIMINTAKUSTANNUKSET. Rivejä on paljon, mutta niin on liiketoiminnassa kustannuksiakin. Tärkeää on, ettei yksikään merkittävä kustannus unohtuisi laskennasta pois. Ohjelma laskee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Y2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t>
        </r>
        <r>
          <rPr>
            <b/>
            <sz val="9"/>
            <color indexed="81"/>
            <rFont val="Tahoma"/>
            <family val="2"/>
          </rPr>
          <t>3. RAHOITUS Y3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vaaleansinisiä soluja
- Oikealla olevalle alueelle voit tehdä muistiinpanoja ja omia laskelmia
- Hinnat ja luvut syötetään ilman arvonlisäveroa
- Muista korottaa myyntihintoja vuosittain
- Huomaa myös oikealla olevat solut ja neuvot
- Täytä kustannukset mielellään yläkanttiin ja jätä varoja muihin odottamattomiin kuluihin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jos käytät luetelmaviivaa eli ranskalaista viivaa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soluun
Jos vikaa ei löydy, peruuta/kumoa niin monta kertaa, että vika häviää tai ainahan voit aloittaa alusta. Avaa uusi laskentapohja ja syötä luvut uudestaan. Tallenna/tulosta kuitenkin vanha tekemäsi työ malliksi.
</t>
        </r>
      </text>
    </comment>
    <comment ref="F12" authorId="0" shapeId="0" xr:uid="{17EA5E31-E41B-4001-9EAF-D109F5D9CCDC}">
      <text>
        <r>
          <rPr>
            <sz val="10"/>
            <color indexed="81"/>
            <rFont val="Tahoma"/>
            <family val="2"/>
          </rPr>
          <t>Tilikauden päättymisvuosi.</t>
        </r>
      </text>
    </comment>
    <comment ref="F13" authorId="0" shapeId="0" xr:uid="{DCAABF99-7B5C-4167-B45B-E469A07B6261}">
      <text>
        <r>
          <rPr>
            <sz val="10"/>
            <color indexed="81"/>
            <rFont val="Tahoma"/>
            <family val="2"/>
          </rPr>
          <t xml:space="preserve">Normaali tilikauden pituus on 12 kk. Ensimmäisen tilikauden pituus voi olla kuitenkin 6 - 18 kk. Jos tilikauden pituus on muu kuin 12 kk, laske ensimmäisen vuoden kustannukset ja myynti vastaamaan tilikauden pituutta. Ohjelma korjaa automaattisesti seuraavat vuodet! </t>
        </r>
      </text>
    </comment>
    <comment ref="B14" authorId="0" shapeId="0" xr:uid="{5CE63B95-2F47-4848-B2A2-BE611DB8DB4C}">
      <text>
        <r>
          <rPr>
            <b/>
            <sz val="10"/>
            <color indexed="81"/>
            <rFont val="Tahoma"/>
            <family val="2"/>
          </rPr>
          <t xml:space="preserve">Ohjeita täyttämiseen löydät Yritystulkista "Taloussuunnitelmat"- sivulta. Ohjeissa sama numerointi. </t>
        </r>
      </text>
    </comment>
    <comment ref="F16" authorId="0" shapeId="0" xr:uid="{3A112926-6ECC-4FB7-A3F4-7F4E9D8156A3}">
      <text>
        <r>
          <rPr>
            <sz val="10"/>
            <color indexed="81"/>
            <rFont val="Tahoma"/>
            <family val="2"/>
          </rPr>
          <t xml:space="preserve">Toiminimiyrittäjälle ei voi maksaa palkkaa, mutta palkka on tarpeen ottaa mukaan laskelmaan ilmaisemaan "todellisia" henkilökuluja. </t>
        </r>
      </text>
    </comment>
    <comment ref="J16" authorId="0" shapeId="0" xr:uid="{990907FF-ECD4-4A72-A3E4-B311B015AEF4}">
      <text>
        <r>
          <rPr>
            <sz val="10"/>
            <color indexed="81"/>
            <rFont val="Tahoma"/>
            <family val="2"/>
          </rPr>
          <t>Kustannukset nousevat vuosittain. Muuta lukua tarvittaessa tai kirjoita luku suoraan taulukkoon.</t>
        </r>
      </text>
    </comment>
    <comment ref="F17" authorId="0" shapeId="0" xr:uid="{0E99C22E-2969-4326-A53D-8650213399B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C223504F-C6AC-40D7-A067-1AF19B2CE589}">
      <text>
        <r>
          <rPr>
            <sz val="10"/>
            <color indexed="81"/>
            <rFont val="Tahoma"/>
            <family val="2"/>
          </rPr>
          <t>Aloittavalla yrityksellä 12 kk. Lomakorvaukset lasketaan automaattisesti.</t>
        </r>
      </text>
    </comment>
    <comment ref="G18" authorId="0" shapeId="0" xr:uid="{3F174111-393A-4E31-8AC0-7AC54BBFA0B4}">
      <text>
        <r>
          <rPr>
            <sz val="10"/>
            <color indexed="81"/>
            <rFont val="Tahoma"/>
            <family val="2"/>
          </rPr>
          <t>Palkanmaksukuukausia on 12,5. Lomakorvaukset lasketaan automaattisesti.</t>
        </r>
      </text>
    </comment>
    <comment ref="F20" authorId="0" shapeId="0" xr:uid="{5B3D9CD2-2975-4945-8A9B-809BE25EC644}">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D25" authorId="0" shapeId="0" xr:uid="{D7A17305-644B-42D1-9B01-DC8F247E58E7}">
      <text>
        <r>
          <rPr>
            <b/>
            <sz val="10"/>
            <color indexed="81"/>
            <rFont val="Tahoma"/>
            <family val="2"/>
          </rPr>
          <t xml:space="preserve">Kiinteät kulut ovat arvonlisäverottomia kustannuksia tilikaudella. </t>
        </r>
        <r>
          <rPr>
            <sz val="10"/>
            <color indexed="81"/>
            <rFont val="Tahoma"/>
            <family val="2"/>
          </rPr>
          <t xml:space="preserve">Normaali tilikauden pituus on 12 kk. Ensimmäisen tilikauden pituus voi olla kuitenkin 6 - 18 kk. 
Ainoastaan sosiaali- ja terveydenhuoltoala, vakuutus- ja rahoituspalvelut sekä yritykset, joiden liikevaihto alle 15000 euroa, laskevat arvonlisäverollisilla hinnoilla.  </t>
        </r>
      </text>
    </comment>
    <comment ref="D26" authorId="0" shapeId="0" xr:uid="{CDD8AEF0-B4C5-4B58-AC4F-16A974809E06}">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6" authorId="0" shapeId="0" xr:uid="{A847F846-3817-4C81-ADD3-3E1A842C909F}">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8" authorId="0" shapeId="0" xr:uid="{8E36EB95-6687-468A-8824-285811DA0EF9}">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26355743-5CE8-49A3-852A-6282D7A07056}">
      <text>
        <r>
          <rPr>
            <b/>
            <sz val="10"/>
            <color indexed="81"/>
            <rFont val="Tahoma"/>
            <family val="2"/>
          </rPr>
          <t>Kun ryhdyt yrittäjäksi ensimmäistä kertaa, saat 22 % alennuksen</t>
        </r>
        <r>
          <rPr>
            <sz val="10"/>
            <color indexed="81"/>
            <rFont val="Tahoma"/>
            <family val="2"/>
          </rPr>
          <t xml:space="preserve"> YEL-maksuistasi ensimmäiset neljä vuotta.
- 18 - 52-vuotiaan alennettu 18,8 %, norm. 24,1 %
- 53 - 62-vuotiaan alennettu 19,9 %, norm. 25,6 %
- 63-vuotiaan alennettu 18,8 %, norm. 24,1 %</t>
        </r>
      </text>
    </comment>
    <comment ref="F34" authorId="0" shapeId="0" xr:uid="{E33B5F08-80A2-4363-8CA2-1A780A642382}">
      <text>
        <r>
          <rPr>
            <b/>
            <sz val="10"/>
            <color indexed="81"/>
            <rFont val="Tahoma"/>
            <family val="2"/>
          </rPr>
          <t>2024</t>
        </r>
        <r>
          <rPr>
            <sz val="10"/>
            <color indexed="81"/>
            <rFont val="Tahoma"/>
            <family val="2"/>
          </rPr>
          <t xml:space="preserve">
Yritys maksaa vakuutusyhtiölle TyEL-maksua keskimäärin 17,34 % palkoista. </t>
        </r>
      </text>
    </comment>
    <comment ref="F37" authorId="0" shapeId="0" xr:uid="{D6C9EBF8-04AD-4776-8500-54FC692285C9}">
      <text>
        <r>
          <rPr>
            <b/>
            <sz val="10"/>
            <color indexed="81"/>
            <rFont val="Tahoma"/>
            <family val="2"/>
          </rPr>
          <t>2024 yritys maksaa lakisääteiset:</t>
        </r>
        <r>
          <rPr>
            <sz val="10"/>
            <color indexed="81"/>
            <rFont val="Tahoma"/>
            <family val="2"/>
          </rPr>
          <t xml:space="preserve">
- Työnantajan sairausvakuutusmaksu verottajalle 1,16 %
- Tapaturmavakuutus min. 0,1 - 7 % vakuutusyhtiölle, 
  keskimäärin 0,57 % (tapaturma-alttiilla aloilla kalliimpi)
- Ryhmähenkivakuutus 0,06 % vakuutusyhtiölle.
- Työttömyysvakuutusta 0,27 % työllisyysrahastolle.
Yhteensä keskimäärin 2,06 % </t>
        </r>
        <r>
          <rPr>
            <b/>
            <sz val="10"/>
            <color indexed="81"/>
            <rFont val="Tahoma"/>
            <family val="2"/>
          </rPr>
          <t>(korota tapaturma-alttiilla aloilla).</t>
        </r>
      </text>
    </comment>
    <comment ref="F38" authorId="0" shapeId="0" xr:uid="{10446258-1E2E-491E-B546-253629EA2EB3}">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8E346074-3CE7-4FD1-B073-654186EA5A3A}">
      <text>
        <r>
          <rPr>
            <sz val="10"/>
            <color indexed="81"/>
            <rFont val="Tahoma"/>
            <family val="2"/>
          </rPr>
          <t>Esim. yrityksen työntekijälle ottama henkivakuutus, matkavakuutus tms.</t>
        </r>
      </text>
    </comment>
    <comment ref="F43" authorId="0" shapeId="0" xr:uid="{068E56DA-A20B-4D7E-8899-410EC4FC06D4}">
      <text>
        <r>
          <rPr>
            <sz val="10"/>
            <color indexed="81"/>
            <rFont val="Tahoma"/>
            <family val="2"/>
          </rPr>
          <t>Yritys voi tarjota koko henkilökunnalleen verovapaana etuna liikunta- ja kulttuuri-toimintaa esim. liikunta- ja kulttuuriseteleillä enintään 400 eurolla vuodessa/henkilö.</t>
        </r>
      </text>
    </comment>
    <comment ref="F46" authorId="0" shapeId="0" xr:uid="{67135070-B356-4611-9BFA-E89E29434DB6}">
      <text>
        <r>
          <rPr>
            <sz val="10"/>
            <color indexed="81"/>
            <rFont val="Tahoma"/>
            <family val="2"/>
          </rPr>
          <t>Henkilökunnan ruokaetu, ruokailu ja kahvitus, henkilökunnan koulutus, rekrytointi yms.</t>
        </r>
      </text>
    </comment>
    <comment ref="F57" authorId="0" shapeId="0" xr:uid="{A85EA401-B727-4371-A30E-D3E5A2B0C0B4}">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33BAD8BC-CECB-411F-B449-389881B3BCC3}">
      <text>
        <r>
          <rPr>
            <sz val="10"/>
            <color indexed="81"/>
            <rFont val="Tahoma"/>
            <family val="2"/>
          </rPr>
          <t xml:space="preserve">Vuokra-ajan jälkeen vuokranantajalle palautuvan laitteen jäännösarvo %:ia hankintahinnasta. </t>
        </r>
      </text>
    </comment>
    <comment ref="F59" authorId="0" shapeId="0" xr:uid="{F7360BFA-E856-4909-BDE6-2837B457FAB8}">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28CE7758-B100-4120-8B8F-99EFD91511AB}">
      <text>
        <r>
          <rPr>
            <sz val="10"/>
            <color indexed="81"/>
            <rFont val="Tahoma"/>
            <family val="2"/>
          </rPr>
          <t>Työsuhdeautojen kustannukset kohtaan 25. Ajoneuvokulut, yksityiskäyttö tilikaudella.</t>
        </r>
      </text>
    </comment>
    <comment ref="F63" authorId="0" shapeId="0" xr:uid="{9EC7EC61-4457-4855-9789-989D74DCEA0B}">
      <text>
        <r>
          <rPr>
            <sz val="10"/>
            <color indexed="81"/>
            <rFont val="Tahoma"/>
            <family val="2"/>
          </rPr>
          <t>Yksikkö voi olla l,kg,kWh/km tai h 
Esim. polttoaineenkulutus 
12 litraa/100 km = 0,12 l/km
Esim. sähköauton kulutus
20 kWh/100 km = 0,2 kWh/km</t>
        </r>
      </text>
    </comment>
    <comment ref="F64" authorId="0" shapeId="0" xr:uid="{0028697A-E023-448B-A8ED-B5489B16B981}">
      <text>
        <r>
          <rPr>
            <sz val="10"/>
            <color indexed="81"/>
            <rFont val="Tahoma"/>
            <family val="2"/>
          </rPr>
          <t xml:space="preserve">Huom! Ilmoita sähkön hinta €/kWh alv 0 %
Esim. 15 snt/kWh = 0,15 €/kWh </t>
        </r>
      </text>
    </comment>
    <comment ref="F70" authorId="0" shapeId="0" xr:uid="{EB423E21-50D0-40F2-956E-5E9F5E9F4D20}">
      <text>
        <r>
          <rPr>
            <sz val="10"/>
            <color indexed="81"/>
            <rFont val="Tahoma"/>
            <family val="2"/>
          </rPr>
          <t>Leasing kohtaan 13. tai taulukkoon Rahoitus Y3.</t>
        </r>
      </text>
    </comment>
    <comment ref="F75" authorId="0" shapeId="0" xr:uid="{97465150-BC9F-45E0-8251-FB0D29DC7F3F}">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10CAABA9-6F40-4633-B6EF-D9A69B3DB4DD}">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A2A121F2-0242-4048-9C25-CF2FB15E0782}">
      <text>
        <r>
          <rPr>
            <b/>
            <sz val="10"/>
            <color indexed="81"/>
            <rFont val="Tahoma"/>
            <family val="2"/>
          </rPr>
          <t>2024</t>
        </r>
        <r>
          <rPr>
            <sz val="10"/>
            <color indexed="81"/>
            <rFont val="Tahoma"/>
            <family val="2"/>
          </rPr>
          <t xml:space="preserve">
Kilometrikorvaus oman henkilöauton käytöstä yrityksen työmatkoihin 0,57 €/km.</t>
        </r>
      </text>
    </comment>
    <comment ref="F87" authorId="0" shapeId="0" xr:uid="{A7BBA7E5-2405-4947-AD7E-D47CF66F0D09}">
      <text>
        <r>
          <rPr>
            <b/>
            <sz val="10"/>
            <color indexed="81"/>
            <rFont val="Tahoma"/>
            <family val="2"/>
          </rPr>
          <t>2024</t>
        </r>
        <r>
          <rPr>
            <sz val="10"/>
            <color indexed="81"/>
            <rFont val="Tahoma"/>
            <family val="2"/>
          </rPr>
          <t xml:space="preserve">
Kotimaan kokopäiväraha 51 €, osapäiväraha 24 €.</t>
        </r>
      </text>
    </comment>
    <comment ref="F116" authorId="0" shapeId="0" xr:uid="{B9EBE779-85E1-4B97-A342-A253BCBEA725}">
      <text>
        <r>
          <rPr>
            <sz val="10"/>
            <color indexed="81"/>
            <rFont val="Tahoma"/>
            <family val="2"/>
          </rPr>
          <t>Tarkoittaa ei-liiketoiminnan käytössä olevien työsuhdeautojen hankinta- ja ylläpitokustannuksia. Näistä kuluista ei voida vähentää arvonlisäveroa.</t>
        </r>
      </text>
    </comment>
    <comment ref="F119" authorId="0" shapeId="0" xr:uid="{2E106C73-6D3D-4351-B6D7-5B0B8D82FF12}">
      <text>
        <r>
          <rPr>
            <sz val="10"/>
            <color indexed="81"/>
            <rFont val="Tahoma"/>
            <family val="2"/>
          </rPr>
          <t xml:space="preserve">Tiedot täydentyvät automaattisesti laskennan lopussa. </t>
        </r>
      </text>
    </comment>
    <comment ref="F121" authorId="0" shapeId="0" xr:uid="{CE8BABF0-137F-4EA9-9D41-21EEBE7654C3}">
      <text>
        <r>
          <rPr>
            <sz val="10"/>
            <color indexed="81"/>
            <rFont val="Tahoma"/>
            <family val="2"/>
          </rPr>
          <t xml:space="preserve">Ilmoittaa laskennallisen keskimääräisen käyttöpääoman kuukausitarpeen käynnistysvaiheen jälkeen. Varaa aloitukseen 2 - 3 kuukauden käyttöpääoma.  </t>
        </r>
      </text>
    </comment>
    <comment ref="F124" authorId="0" shapeId="0" xr:uid="{FBE60A23-CCE3-427A-A68E-52FB93353703}">
      <text>
        <r>
          <rPr>
            <sz val="10"/>
            <color indexed="81"/>
            <rFont val="Tahoma"/>
            <family val="2"/>
          </rPr>
          <t>Rivin tiedot täydentyvät
Myynti Y2 -ennusteen täyttämisen jälkeen!</t>
        </r>
      </text>
    </comment>
    <comment ref="F125" authorId="0" shapeId="0" xr:uid="{1CCAE072-3079-4F71-8A28-80D959DD45ED}">
      <text>
        <r>
          <rPr>
            <sz val="10"/>
            <color indexed="81"/>
            <rFont val="Tahoma"/>
            <family val="2"/>
          </rPr>
          <t xml:space="preserve">Tämä rivi kertoo, kuinka hyvin rahat riittävät liiketoiminnan menoihin.
Jos negatiivinen summa, niin myynnin tuotot eivät riitä kattamaan liiketoiminnasta syntyviä kustannuksia. Lisää myyntiä ja pienennä kustannuksia. </t>
        </r>
      </text>
    </comment>
    <comment ref="F126" authorId="0" shapeId="0" xr:uid="{70A00BBD-C22B-4A77-BC79-E1C98BB01DB3}">
      <text>
        <r>
          <rPr>
            <sz val="10"/>
            <color indexed="81"/>
            <rFont val="Tahoma"/>
            <family val="2"/>
          </rPr>
          <t>Tämä prosenttiluku ilmoittaa, paljonko myynti voi laskea (positiivinen luku) tai täytyy nousta (negatiivinen luku), jotta toimintakulut peittyvät. Rivin tiedot täydentyvät Myynti Y2 -ennusteen täyttämisen jälkeen!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3" authorId="0" shapeId="0" xr:uid="{8ADAD0FC-F998-47B6-8407-EAF2057BF879}">
      <text>
        <r>
          <rPr>
            <b/>
            <sz val="10"/>
            <color indexed="81"/>
            <rFont val="Tahoma"/>
            <family val="2"/>
          </rPr>
          <t>Täyttöohje</t>
        </r>
        <r>
          <rPr>
            <sz val="10"/>
            <color indexed="81"/>
            <rFont val="Tahoma"/>
            <family val="2"/>
          </rPr>
          <t xml:space="preserve">
- Täytä sinisiä soluja
- Hinnat euroina ilman arvonlisäveroa
- Arvonlisäveroprosenttia voit muuttaa   
- Oikeassa reunassa olevalla alueella voit ennustaa
  tulevien vuosien muutosprosentteja 
- Muista korottaa hintoja vuosittain
- Muistiinpanoalueella voit tehdä lisälaskelmia ja 
  tehdä muistiinpanoja laskentaperusteista
</t>
        </r>
      </text>
    </comment>
    <comment ref="C15" authorId="0" shapeId="0" xr:uid="{752E96FF-3C12-4C28-904E-4057E7B8E49C}">
      <text>
        <r>
          <rPr>
            <sz val="10"/>
            <color indexed="81"/>
            <rFont val="Tahoma"/>
            <family val="2"/>
          </rPr>
          <t>Arvonlisäveroprosentit:
- 24 % yleinen arvonlisävero
- 14 % ravintolaruoka, elintarvikkeet ja eläinrehut 
- 10 % majoitus, liikunta, henkilökuljetus, kirjat, tilatut lehdet,
   sähköiset julkaisut
- 0 % terveys- ja sosiaalipalvelut, rahoitus- ja vakuutuspalvelut
- 0 % jos yrityksen vuosiliikevaihto alle 15 000 €/ vuosi</t>
        </r>
      </text>
    </comment>
    <comment ref="G17" authorId="0" shapeId="0" xr:uid="{A68937E4-5974-400F-BA3E-9775B496EFB3}">
      <text>
        <r>
          <rPr>
            <sz val="10"/>
            <color indexed="81"/>
            <rFont val="Tahoma"/>
            <family val="2"/>
          </rPr>
          <t>Muista korottaa hintoja, koska kustannukset nousevat vuosittain.</t>
        </r>
      </text>
    </comment>
    <comment ref="C18" authorId="0" shapeId="0" xr:uid="{89491D15-1077-4ED0-9D17-B092DEEB9BC2}">
      <text>
        <r>
          <rPr>
            <sz val="10"/>
            <color indexed="81"/>
            <rFont val="Tahoma"/>
            <family val="2"/>
          </rPr>
          <t xml:space="preserve">Laskutustuntien määrä on liiketoiminnasta riippuen noin 1300 - 1500 tuntia vuodessa/työntekijä. </t>
        </r>
      </text>
    </comment>
    <comment ref="C40" authorId="0" shapeId="0" xr:uid="{69D71C57-DE4E-48A7-BCD6-2E3397914761}">
      <text>
        <r>
          <rPr>
            <sz val="10"/>
            <color indexed="81"/>
            <rFont val="Tahoma"/>
            <family val="2"/>
          </rPr>
          <t>Arvonlisäveroprosentit:
- 24 % yleinen arvonlisävero
- 14 % ravintolaruoka, elintarvikkeet ja eläinrehut 
- 10 % majoitus, liikunta, henkilökuljetus, kirjat, tilatut lehdet,
   sähköiset julkaisut
- 0 % terveys- ja sosiaalipalvelut, rahoitus- ja vakuutuspalvelut
- 0 % jos yrityksen vuosiliikevaihto alle 15 000 €/ vuosi</t>
        </r>
      </text>
    </comment>
    <comment ref="C45" authorId="0" shapeId="0" xr:uid="{B038F74D-0AC0-4BE3-B9BC-31354FFFD6D7}">
      <text>
        <r>
          <rPr>
            <sz val="10"/>
            <color indexed="81"/>
            <rFont val="Tahoma"/>
            <family val="2"/>
          </rPr>
          <t>Tarkoitetaan ostettujen tarvikkeiden myyntikatetta.
Työt ja jalostus myydään suoritteina edellisissä kohdissa.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N3" authorId="0" shapeId="0" xr:uid="{A38E1FCD-F1FC-40DF-B5B7-0AF1A6E9C04E}">
      <text>
        <r>
          <rPr>
            <sz val="10"/>
            <color indexed="81"/>
            <rFont val="Tahoma"/>
            <family val="2"/>
          </rPr>
          <t xml:space="preserve">Täytä vaaleansinisiä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Y3 -laskelmasta ja mahdollisesti sivut 1 - 2 Kassabudjetti-taulukosta. Muistiinpanot sivu 3 on itsellesi. </t>
        </r>
      </text>
    </comment>
    <comment ref="B9" authorId="0" shapeId="0" xr:uid="{34127438-2801-4318-9438-7A797D5A7A12}">
      <text>
        <r>
          <rPr>
            <sz val="10"/>
            <color indexed="81"/>
            <rFont val="Tahoma"/>
            <family val="2"/>
          </rPr>
          <t>Kirjoita yrityksen nimi taulukkoon Kustannukset Y1.</t>
        </r>
      </text>
    </comment>
    <comment ref="E17" authorId="0" shapeId="0" xr:uid="{DBE8CA50-6254-49A0-9157-CE21BBCF319A}">
      <text>
        <r>
          <rPr>
            <b/>
            <sz val="10"/>
            <color indexed="81"/>
            <rFont val="Tahoma"/>
            <family val="2"/>
          </rPr>
          <t>Hankinnat, joista ei voi tehdä poistoja</t>
        </r>
        <r>
          <rPr>
            <sz val="10"/>
            <color indexed="81"/>
            <rFont val="Tahoma"/>
            <family val="2"/>
          </rPr>
          <t xml:space="preserve">
- tontti, maa-alue
- sähkö-, vesi- yms. liittymä
- franchising-, taksikeskus- yms. liittymis- tai osuusmaksu
- asunto-osakkeet, toimitila- ja liiketilaosakkeet </t>
        </r>
      </text>
    </comment>
    <comment ref="E18" authorId="0" shapeId="0" xr:uid="{94A889F4-764E-4E57-A928-E7B1155CF4ED}">
      <text>
        <r>
          <rPr>
            <sz val="10"/>
            <color indexed="81"/>
            <rFont val="Tahoma"/>
            <family val="2"/>
          </rPr>
          <t>Rakennukset: liiketilat, tuotantotilat, hallit, varastot, toimistot (ei osake).</t>
        </r>
      </text>
    </comment>
    <comment ref="H18" authorId="0" shapeId="0" xr:uid="{37585730-2FFA-487A-9437-A6081B181C73}">
      <text>
        <r>
          <rPr>
            <sz val="10"/>
            <color indexed="81"/>
            <rFont val="Tahoma"/>
            <family val="2"/>
          </rPr>
          <t>Pankin korko aloittavalle yritykselle alaken noin 6,0 %. Vakuudet, riski ja lainan määrä vaikuttavat korkoon. 
Jos haet Finnveran takausta lainan vakuudeksi, lisää Finnveran takausprovisio pankin korkoon. Jos takaus on myönnetty esim. 50 %:lle lainan pääomasta, puolita takausprovisio. Finnveran takausprovisio alkaen 1,75 %.</t>
        </r>
      </text>
    </comment>
    <comment ref="I18" authorId="0" shapeId="0" xr:uid="{80285B7D-50E7-4EA9-8EDA-BB57D708D2D8}">
      <text>
        <r>
          <rPr>
            <sz val="10"/>
            <color indexed="81"/>
            <rFont val="Tahoma"/>
            <family val="2"/>
          </rPr>
          <t>Lyhennyksistä vapaat vuodet, joita voi olla enintään 2 vuotta. Suosittelemme enintään yhtä vuotta.</t>
        </r>
      </text>
    </comment>
    <comment ref="J18" authorId="0" shapeId="0" xr:uid="{AD0F684B-F230-4555-8626-E5A86EF6BC30}">
      <text>
        <r>
          <rPr>
            <sz val="10"/>
            <color indexed="81"/>
            <rFont val="Tahoma"/>
            <family val="2"/>
          </rPr>
          <t>Lainan kokonaisajan oltava vähintään 3 vuotta ja merkitään tähän soluun.</t>
        </r>
      </text>
    </comment>
    <comment ref="E19" authorId="0" shapeId="0" xr:uid="{C794A478-0568-4521-A786-E39A1683E482}">
      <text>
        <r>
          <rPr>
            <sz val="10"/>
            <color indexed="81"/>
            <rFont val="Tahoma"/>
            <family val="2"/>
          </rPr>
          <t xml:space="preserve">Kiinteistön, toimitilan, liikehuoneiston rakentaminen ja peruskorjaus. Pienet remontit kohtaan 9. Toimitila-kustannukset taulukkoon Kustannukset Y1. </t>
        </r>
      </text>
    </comment>
    <comment ref="H19" authorId="0" shapeId="0" xr:uid="{7B3FC3FF-7BC3-46B3-89F2-0910F1158881}">
      <text>
        <r>
          <rPr>
            <sz val="10"/>
            <color indexed="81"/>
            <rFont val="Tahoma"/>
            <family val="2"/>
          </rPr>
          <t>Finnveran korko on yrityskohtainen, vakuudet ja riski vaikuttavat korkoon.</t>
        </r>
      </text>
    </comment>
    <comment ref="I19" authorId="0" shapeId="0" xr:uid="{95E37243-D7E1-4141-8815-EE4162631EB9}">
      <text>
        <r>
          <rPr>
            <sz val="10"/>
            <color indexed="81"/>
            <rFont val="Tahoma"/>
            <family val="2"/>
          </rPr>
          <t>Lyhennyksistä vapaat vuodet, joita voi olla enintään 2 vuotta. Suosittelemme enintään yhtä vuotta.</t>
        </r>
      </text>
    </comment>
    <comment ref="J19" authorId="0" shapeId="0" xr:uid="{AEB7DFB5-73AD-4320-8E7B-4CFE057401C0}">
      <text>
        <r>
          <rPr>
            <sz val="10"/>
            <color indexed="81"/>
            <rFont val="Tahoma"/>
            <family val="2"/>
          </rPr>
          <t>Lainan kokonaisajan oltava vähintään 3 vuotta ja merkitään tähän soluun.</t>
        </r>
      </text>
    </comment>
    <comment ref="K19" authorId="0" shapeId="0" xr:uid="{6FA9DB30-0469-4D41-B09B-7B252104DFC2}">
      <text>
        <r>
          <rPr>
            <sz val="10"/>
            <color indexed="81"/>
            <rFont val="Tahoma"/>
            <family val="2"/>
          </rPr>
          <t>Finnveran pienin laina 50 000 €.</t>
        </r>
      </text>
    </comment>
    <comment ref="I20" authorId="0" shapeId="0" xr:uid="{C49682B0-1A47-4BFD-B8B9-09049D044694}">
      <text>
        <r>
          <rPr>
            <sz val="10"/>
            <color indexed="81"/>
            <rFont val="Tahoma"/>
            <family val="2"/>
          </rPr>
          <t>Lyhennyksistä vapaat vuodet, joita voi olla enintään 2 vuotta. Suosittelemme enintään yhtä vuotta.</t>
        </r>
      </text>
    </comment>
    <comment ref="J20" authorId="0" shapeId="0" xr:uid="{E4E979A0-4274-497E-A840-17D0CF58DB1F}">
      <text>
        <r>
          <rPr>
            <sz val="10"/>
            <color indexed="81"/>
            <rFont val="Tahoma"/>
            <family val="2"/>
          </rPr>
          <t>Lainan kokonaisajan oltava vähintään 3 vuotta ja merkitään tähän soluun.</t>
        </r>
      </text>
    </comment>
    <comment ref="B21" authorId="0" shapeId="0" xr:uid="{882D7580-0B15-4673-8124-AF4AD44B05ED}">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D21" authorId="0" shapeId="0" xr:uid="{FA258014-18B0-48A2-80F2-8EEDC3761E3B}">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F21" authorId="0" shapeId="0" xr:uid="{C5555D1A-0671-4514-8C5E-49173CE79321}">
      <text>
        <r>
          <rPr>
            <sz val="10"/>
            <color indexed="81"/>
            <rFont val="Tahoma"/>
            <family val="2"/>
          </rPr>
          <t xml:space="preserve">Liiketoiminnan käyttöön ostettavat koneet ja laitteet, </t>
        </r>
        <r>
          <rPr>
            <b/>
            <sz val="10"/>
            <color indexed="81"/>
            <rFont val="Tahoma"/>
            <family val="2"/>
          </rPr>
          <t>joilla on jäännösarvo.</t>
        </r>
        <r>
          <rPr>
            <sz val="10"/>
            <color indexed="81"/>
            <rFont val="Tahoma"/>
            <family val="2"/>
          </rPr>
          <t xml:space="preserve">
Kiinteän kuukausihinnan leasingrahoitukset sijoitetaan taulukkoon Kustannukset Y1 kohtiin:
 - 11. Ajoneuvo ja työkonekulut, liikekäyttö  
 - 13. Muut kone- ja kalustokulut, liikekäyttö
 - 25. Työsuhdeajoneuvojen kustannukset   </t>
        </r>
      </text>
    </comment>
    <comment ref="I21" authorId="0" shapeId="0" xr:uid="{1C22B63E-8C78-4290-9716-807FB8CD93FC}">
      <text>
        <r>
          <rPr>
            <sz val="10"/>
            <color indexed="81"/>
            <rFont val="Tahoma"/>
            <family val="2"/>
          </rPr>
          <t>Osamaksun ja leasingin laina-aika on 2 - 5 vuotta!</t>
        </r>
      </text>
    </comment>
    <comment ref="K21" authorId="0" shapeId="0" xr:uid="{6A31263C-E4C2-45DA-B24A-640A7801A393}">
      <text>
        <r>
          <rPr>
            <sz val="10"/>
            <color indexed="81"/>
            <rFont val="Tahoma"/>
            <family val="2"/>
          </rPr>
          <t>Leasingillä voidaan rahoittaa n. 80 % hankinnan arvosta. Arvonlisäveron palautus saadaan jälkikäteen kuukausittain ja ELY-tuki jälkikäteen investointihankeen kestoaikana maksettujen lyhennysten mukaan (yleensä 2 vuotta). Lue tarkemmin Yritystulkista kohta 3.10 Leasingrahoituksen kustannukset.</t>
        </r>
      </text>
    </comment>
    <comment ref="F22" authorId="0" shapeId="0" xr:uid="{0F4E1272-0911-4ED3-88FD-7AD12CEF5DC3}">
      <text>
        <r>
          <rPr>
            <sz val="10"/>
            <color indexed="81"/>
            <rFont val="Tahoma"/>
            <family val="2"/>
          </rPr>
          <t>Liiketoiminnan käyttöön ostettavat koneet ja laitteet.
Työsuhdeajoneuvojen osamaksukulut sijoitetaan taulukkoon Kustannukset Y1 kohtaan 25. Työsuhdeajoneuvojen kustannukset.</t>
        </r>
      </text>
    </comment>
    <comment ref="I22" authorId="0" shapeId="0" xr:uid="{932979BE-B4D6-4EC5-BEA1-9528AD451A96}">
      <text>
        <r>
          <rPr>
            <sz val="10"/>
            <color indexed="81"/>
            <rFont val="Tahoma"/>
            <family val="2"/>
          </rPr>
          <t>Osamaksun ja leasingin laina-aika on 2 - 5 vuotta!</t>
        </r>
      </text>
    </comment>
    <comment ref="K22" authorId="0" shapeId="0" xr:uid="{C6414C8D-1A38-4AE3-AD08-4A8DB87E3337}">
      <text>
        <r>
          <rPr>
            <sz val="10"/>
            <color indexed="81"/>
            <rFont val="Tahoma"/>
            <family val="2"/>
          </rPr>
          <t>Osamaksulla voidaan rahoittaa enintään 80 % hankinnan arvosta. Saadaan arvonlisäveron palautus ja ELY-tuki heti.</t>
        </r>
      </text>
    </comment>
    <comment ref="E24" authorId="0" shapeId="0" xr:uid="{C0A8E5D9-C969-4604-A84B-23DDF785ABBF}">
      <text>
        <r>
          <rPr>
            <sz val="10"/>
            <color indexed="81"/>
            <rFont val="Tahoma"/>
            <family val="2"/>
          </rPr>
          <t>Kun yritys ostetaan ns. liiketoiminta-kauppana, ostetaan edelleen myytäväksi tarkoitetut tavarat ilman arvonlisäveroa.</t>
        </r>
      </text>
    </comment>
    <comment ref="K24" authorId="0" shapeId="0" xr:uid="{1C099B59-A8AD-40EE-AA4D-493762280730}">
      <text>
        <r>
          <rPr>
            <sz val="10"/>
            <color indexed="81"/>
            <rFont val="Tahoma"/>
            <family val="2"/>
          </rPr>
          <t>Tukea voidaan saada investoinnille, jonka hinnasta on vähennetty arvonlisävero. LEASINGRAHOITUSTA KÄYTETTÄESSÄ LUKU ON SUUNTAA-ANTAVA!</t>
        </r>
      </text>
    </comment>
    <comment ref="E25" authorId="0" shapeId="0" xr:uid="{2EE1E260-AFF6-418D-9637-33A3014F7B1A}">
      <text>
        <r>
          <rPr>
            <sz val="10"/>
            <color indexed="81"/>
            <rFont val="Tahoma"/>
            <family val="2"/>
          </rPr>
          <t>Alkuvarasto = ennen liikkeen avaamista hankitut myyntitavarat. Takuumaksuja ovat takuuvuokrat ja esim. puhelinliittymän takuumaksu.</t>
        </r>
      </text>
    </comment>
    <comment ref="E26" authorId="0" shapeId="0" xr:uid="{14527103-32A9-42C7-8EFB-BD42A1433AE5}">
      <text>
        <r>
          <rPr>
            <b/>
            <sz val="10"/>
            <color indexed="81"/>
            <rFont val="Tahoma"/>
            <family val="2"/>
          </rPr>
          <t>Hankinnat, joista ei saada alv-vähennystä:</t>
        </r>
        <r>
          <rPr>
            <sz val="10"/>
            <color indexed="81"/>
            <rFont val="Tahoma"/>
            <family val="2"/>
          </rPr>
          <t xml:space="preserve">
- yksityiskäyttöön ostettavien työsuhdeajoneuvojen hankintakulut
  (Osamaksu- ja leasingrahoitettavat ajoneuvot Kustannukset Y1-
  taulukkoon, kohta 25. Työsuhdeajoneuvojen kustannukset)
- arvonlisäverottomien yritysten hankinnat (terveys- ja hoiva-ala, 
  vakuutus, rahoitus ja yritykset, joiden vuosiliikevaihto on 
  alle 15 000 €)
- yrityskaupassa maksettu liikearvo tms.
- liiketoimintakaupassa ostetut koneet, laitteet yms. 
- ulkomailta ostettu arvonlisäveroton kalustot ja koneet 
- yksityishenkilöiltä ostettu kalusto ja koneet</t>
        </r>
      </text>
    </comment>
    <comment ref="K27" authorId="0" shapeId="0" xr:uid="{C4A19A36-29DF-4699-9B36-8110DFE28D91}">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B28" authorId="0" shapeId="0" xr:uid="{78DA484F-A6BD-4A5C-8937-0C98F66E4E76}">
      <text>
        <r>
          <rPr>
            <sz val="10"/>
            <color indexed="81"/>
            <rFont val="Tahoma"/>
            <family val="2"/>
          </rPr>
          <t>Aineettomat lyhytaikaiset investoinnit arvonlisäverollisin hinnoin, joista ei tehdä verotuksessa poistoja: Esim. 
- markkinointi-investoinnit (kotisivut, logo, lisenssit yms.)
- asiantuntijapalkkiot (sopimusten laadinta, tuotesuojaus yms.)</t>
        </r>
      </text>
    </comment>
    <comment ref="K29" authorId="0" shapeId="0" xr:uid="{A92EF564-9756-4AF8-A428-4617F8CF7AE3}">
      <text>
        <r>
          <rPr>
            <sz val="10"/>
            <color indexed="81"/>
            <rFont val="Tahoma"/>
            <family val="2"/>
          </rPr>
          <t xml:space="preserve">Hankkeen onnistumisen kannalta olisi hyvä, että oman rahoituksen kokonaismäärä olisi vähintään 20 % koko rahoitustarpeesta. </t>
        </r>
      </text>
    </comment>
    <comment ref="E30" authorId="0" shapeId="0" xr:uid="{25A8F399-A753-4B6B-BCA0-90AD470E348D}">
      <text>
        <r>
          <rPr>
            <b/>
            <sz val="10"/>
            <color indexed="81"/>
            <rFont val="Tahoma"/>
            <family val="2"/>
          </rPr>
          <t xml:space="preserve">Arvonlisäverottomien yritysten aineettomat- ja kehittämis-
investoinnit. </t>
        </r>
        <r>
          <rPr>
            <sz val="10"/>
            <color indexed="81"/>
            <rFont val="Tahoma"/>
            <family val="2"/>
          </rPr>
          <t>Arvonlisäverottomia aloja ovat terveys- ja hoiva-ala, 
vakuutus- ja rahoitusala sekä yritykset, joiden vuosiliikevaihto on alle 15 000 €.</t>
        </r>
      </text>
    </comment>
    <comment ref="F30" authorId="0" shapeId="0" xr:uid="{C5A03898-63A0-4C6A-9DF9-660D5291A460}">
      <text>
        <r>
          <rPr>
            <sz val="10"/>
            <color indexed="81"/>
            <rFont val="Tahoma"/>
            <family val="2"/>
          </rPr>
          <t>Yrittäjälaina on yrittäjän henkilökohtainen laina, jolla voidaan rahoittaa:
- sijoituksia osakeyhtiön osakepääomaan ja/tai 
  SVOP sijoitetun vapaan oman pääoman rahastoon 
- avoimen tai kommandiittiyhtiön yhtiömiesosuuden
  ostoa 
- jo toimivan yrityksen osakkeiden ostoa
- lainan pääoma 10 000 - 100 000 €</t>
        </r>
      </text>
    </comment>
    <comment ref="E32" authorId="0" shapeId="0" xr:uid="{DE46AAD5-4E9A-4FC7-A2A6-DD56D1816267}">
      <text>
        <r>
          <rPr>
            <sz val="10"/>
            <color indexed="81"/>
            <rFont val="Tahoma"/>
            <family val="2"/>
          </rPr>
          <t>Käyttöpääoma = kassavarat. Käyttöpääoman tarpeeseen vaikuttavat yrityksen toimintakustannukset sekä myynnin ja ostojen vaihtelu. 
Suositus käyttöpääoman minimimääräksi aloittavassa yrityksessä:
- teollisuus ja valmistaminen 10 000 - 60 000 €/hlö 
 (yritysoston yhteydessä 4 000 - 20 000 €/hlö) 
- rakentaminen 15 000 - 50 000 €/hlö (yritysoston 
  yhteydessä 5 000 - 18 000 €/hlö) 
- tukku- ja vähittäiskaupassa noin 20 % liikevaihdosta
- palvelut yrityksille 15 000 - 30 000 €/hlö (yritysoston 
  yhteydessä 5 000 - 10 000 €/hlö) 
Toimialavaihtelut ovat suuret. Suuntaa-antavaa tietoa saat Toimialatiedot-välilehdeltä. Aloittava yritys tarvitsee 2 - 3 kertaisen käyttöpääoman toimivaan verrattuna.
Jos rahoitustarve ja rahoitussuunnitelma eivät ole täsmälleen yhtä suuret voit korjauksen tehdä käyttöpääomaan eli kassaan.</t>
        </r>
      </text>
    </comment>
    <comment ref="E35" authorId="0" shapeId="0" xr:uid="{1612442B-E4A6-49C0-9C87-1316C4BC6075}">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05235B98-FA57-4385-B9B7-0D5CC06BD798}">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F44" authorId="0" shapeId="0" xr:uid="{6EE28F27-4711-421E-B237-DFD813933EA9}">
      <text>
        <r>
          <rPr>
            <sz val="10"/>
            <color indexed="81"/>
            <rFont val="Tahoma"/>
            <family val="2"/>
          </rPr>
          <t>Sisältää myös Y1-lomakkeen kohdasta 11 polttoaine-, huolto ja korjaus sekä muut konekulut.</t>
        </r>
      </text>
    </comment>
    <comment ref="F45" authorId="0" shapeId="0" xr:uid="{59B4B306-ADFA-496B-9466-8E085518D859}">
      <text>
        <r>
          <rPr>
            <sz val="10"/>
            <color indexed="81"/>
            <rFont val="Tahoma"/>
            <family val="2"/>
          </rPr>
          <t xml:space="preserve">1. vuotena ansaitaan laskennalliset lomakorvaukset, jonka vuoksi luku on suurempi kuin 2. vuoden henkilöstökulut.  </t>
        </r>
      </text>
    </comment>
    <comment ref="F49" authorId="0" shapeId="0" xr:uid="{E08696CE-CF63-4F1D-BF6B-D0E1D9D4C5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BC3760E2-FC23-4302-893D-DEB0CD1CA7CC}">
      <text>
        <r>
          <rPr>
            <sz val="10"/>
            <color indexed="81"/>
            <rFont val="Tahoma"/>
            <family val="2"/>
          </rPr>
          <t>Verot lasketaan alla olevan prosentin mukaan, edustusmenot huomioitu laskennassa.</t>
        </r>
      </text>
    </comment>
    <comment ref="F53" authorId="0" shapeId="0" xr:uid="{BF58BCEA-5B4A-4CC8-9691-D239BDA4A780}">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427026FB-7520-4792-9AF0-CA0D0FF61C18}">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C9BA6C35-84E9-41A9-A902-7D751312CFBE}">
      <text>
        <r>
          <rPr>
            <sz val="10"/>
            <color indexed="81"/>
            <rFont val="Tahoma"/>
            <family val="2"/>
          </rPr>
          <t>- poisto enintään 25 % (poistoaika n. 4 vuotta)
- suositellaan taloudellisen käyttöiän mukaista 
  poistoa, joka  yleensä 5 - 10 vuotta eli 20 - 10 %</t>
        </r>
      </text>
    </comment>
    <comment ref="F57" authorId="0" shapeId="0" xr:uid="{DBFC2FD2-A8D5-471D-BFFF-C7919ECC2F3A}">
      <text>
        <r>
          <rPr>
            <sz val="10"/>
            <color indexed="81"/>
            <rFont val="Tahoma"/>
            <family val="2"/>
          </rPr>
          <t>- poisto enintään 25 % (poistoaika n. 4 vuotta)
- suositellaan 5 vuoden poistoa eli 20 %</t>
        </r>
      </text>
    </comment>
    <comment ref="F58" authorId="0" shapeId="0" xr:uid="{792C0EC1-FFCC-43F3-9D38-AD76B9A8BA1A}">
      <text>
        <r>
          <rPr>
            <sz val="10"/>
            <color indexed="81"/>
            <rFont val="Tahoma"/>
            <family val="2"/>
          </rPr>
          <t>- poisto enintään 25 % (poistoaika n. 4 vuotta)
- suositellaan 5 vuoden poistoa eli 20 %</t>
        </r>
      </text>
    </comment>
    <comment ref="F59" authorId="0" shapeId="0" xr:uid="{0B3852C6-54D5-498D-816A-50B7B54302EF}">
      <text>
        <r>
          <rPr>
            <sz val="10"/>
            <color indexed="81"/>
            <rFont val="Tahoma"/>
            <family val="2"/>
          </rPr>
          <t>Nettotulos on varsinaisen toiminnan tulos. Tulokseen eivät sisälly tavanomaiseen liiketoimintaan kuulumattomat kertaluonteiset erät.</t>
        </r>
      </text>
    </comment>
    <comment ref="F62" authorId="0" shapeId="0" xr:uid="{E6A74422-494B-4159-87F5-78F9BAED4854}">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D4D821E3-1A82-4547-82AF-0CAFF69A1DD0}">
      <text>
        <r>
          <rPr>
            <sz val="10"/>
            <color indexed="81"/>
            <rFont val="Tahoma"/>
            <family val="2"/>
          </rPr>
          <t>Tämä prosenttiluku ilmoittaa, paljonko myynti voi laskea (positiivinen luku) tai täytyy nousta (negatiivinen luku), jotta toimintakulut peittyvät.</t>
        </r>
      </text>
    </comment>
    <comment ref="F98" authorId="0" shapeId="0" xr:uid="{3BCD715B-FFCD-415B-95C3-8F702D8752B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<sst xmlns="http://schemas.openxmlformats.org/spreadsheetml/2006/main" count="2429" uniqueCount="877">
  <si>
    <t xml:space="preserve"> </t>
  </si>
  <si>
    <t xml:space="preserve"> - kilometrikorvaus € / km</t>
  </si>
  <si>
    <t xml:space="preserve"> - päiväraha euroa / päivä</t>
  </si>
  <si>
    <t xml:space="preserve"> - muut matkakulut</t>
  </si>
  <si>
    <t>1. VUOSI</t>
  </si>
  <si>
    <t xml:space="preserve">2. VUOSI </t>
  </si>
  <si>
    <t xml:space="preserve"> - muut jäsenmaksut</t>
  </si>
  <si>
    <t xml:space="preserve"> - ajokilometrit vuodessa</t>
  </si>
  <si>
    <t xml:space="preserve"> - päivärahaan oikeuttavat työpäivät kpl/vuosi</t>
  </si>
  <si>
    <t xml:space="preserve"> - myyntimäärä yksikköä</t>
  </si>
  <si>
    <t xml:space="preserve"> - myyntikate-%</t>
  </si>
  <si>
    <t>TULOVERON MÄÄRÄ ENNUSTEEN MUKAISELLA MYYNNILLÄ</t>
  </si>
  <si>
    <t>1.</t>
  </si>
  <si>
    <t>2.</t>
  </si>
  <si>
    <t>3.</t>
  </si>
  <si>
    <t>4.</t>
  </si>
  <si>
    <t>5.</t>
  </si>
  <si>
    <t>6.</t>
  </si>
  <si>
    <t>7.</t>
  </si>
  <si>
    <t>8.</t>
  </si>
  <si>
    <t>9.</t>
  </si>
  <si>
    <t>10.</t>
  </si>
  <si>
    <t>Yrityksen nimi</t>
  </si>
  <si>
    <t>3. VUOSI</t>
  </si>
  <si>
    <t xml:space="preserve">3. VUOSI </t>
  </si>
  <si>
    <t>Henkilöstö keskimäärin</t>
  </si>
  <si>
    <t>Kaupan laskelma</t>
  </si>
  <si>
    <t>Teollisuuden laskelma</t>
  </si>
  <si>
    <t xml:space="preserve"> - ajokilometrit vuodessa/käyttötunnit vuodessa</t>
  </si>
  <si>
    <t xml:space="preserve"> - arvonlisävero</t>
  </si>
  <si>
    <t>Käyttökate</t>
  </si>
  <si>
    <t xml:space="preserve"> - rakennusten poistoprosentti</t>
  </si>
  <si>
    <t xml:space="preserve"> - koneiden ja kaluston poistoprosentti</t>
  </si>
  <si>
    <t>EUROA</t>
  </si>
  <si>
    <t>TULOSENNUSTE</t>
  </si>
  <si>
    <t>Yhteensä</t>
  </si>
  <si>
    <t xml:space="preserve"> - rakennusten kirjanpitoarvo kauden lopussa</t>
  </si>
  <si>
    <t xml:space="preserve"> - koneiden kirjanpitoarvo kauden lopussa</t>
  </si>
  <si>
    <t xml:space="preserve"> - vuosipoisto rakennuksista</t>
  </si>
  <si>
    <t xml:space="preserve"> - vuosipoisto koneista</t>
  </si>
  <si>
    <t xml:space="preserve"> - Maa-alueet</t>
  </si>
  <si>
    <t xml:space="preserve"> - Verottomat kiinteistöt</t>
  </si>
  <si>
    <t>Korko-%</t>
  </si>
  <si>
    <t>Pääoma</t>
  </si>
  <si>
    <t xml:space="preserve"> - omistajien pääomasijoitukset</t>
  </si>
  <si>
    <t>Laina-aika (v.)</t>
  </si>
  <si>
    <t>Finnvera</t>
  </si>
  <si>
    <t>Lainat</t>
  </si>
  <si>
    <t>Laina 1</t>
  </si>
  <si>
    <t>Laina 2</t>
  </si>
  <si>
    <t>KORKOKULUT VUODESSA</t>
  </si>
  <si>
    <t>2. VUOSI</t>
  </si>
  <si>
    <t xml:space="preserve"> - josta koron osuus</t>
  </si>
  <si>
    <t>Avustukset ja ALV-palautus yhteensä</t>
  </si>
  <si>
    <t>1 VAPAAV.</t>
  </si>
  <si>
    <t>2 VAPAAV.</t>
  </si>
  <si>
    <t>EI VAPAATA</t>
  </si>
  <si>
    <t>LAINAN LYHENNYKSET VUODESSA</t>
  </si>
  <si>
    <t>LAINAKULUT VUODESSA</t>
  </si>
  <si>
    <t>LAINAA JÄLJELLÄ KAUDEN LOPUSSA</t>
  </si>
  <si>
    <t xml:space="preserve"> - lainojen pääoma kauden lopussa</t>
  </si>
  <si>
    <t>Tuki-%</t>
  </si>
  <si>
    <t xml:space="preserve"> - YEL-yrittäjien kuukausipalkat brutto</t>
  </si>
  <si>
    <t xml:space="preserve"> - palkanmaksukuukaudet</t>
  </si>
  <si>
    <t xml:space="preserve"> - tuotteen veroton myynti yhteensä</t>
  </si>
  <si>
    <t>Tuot. 1 - 5</t>
  </si>
  <si>
    <t>Tuot. 1 - 11</t>
  </si>
  <si>
    <t>Suorite 6</t>
  </si>
  <si>
    <t>Suor. 12</t>
  </si>
  <si>
    <t>1 - 5</t>
  </si>
  <si>
    <t>1 - 11</t>
  </si>
  <si>
    <t>Tarvike 1</t>
  </si>
  <si>
    <t>Tarvike 6</t>
  </si>
  <si>
    <t>Tarvike 12</t>
  </si>
  <si>
    <t>1 - 17</t>
  </si>
  <si>
    <t>Kone</t>
  </si>
  <si>
    <t>Poma alv 0%</t>
  </si>
  <si>
    <t>Tuki</t>
  </si>
  <si>
    <t>Leasingmaksuvähennys</t>
  </si>
  <si>
    <t>ELY -yht.</t>
  </si>
  <si>
    <t>Maksuaika</t>
  </si>
  <si>
    <t xml:space="preserve"> - osamaksulla rahoitetaan</t>
  </si>
  <si>
    <t>LEASINGRAHOITUKSEN KUSTANNUKSET</t>
  </si>
  <si>
    <t>Jäännösarvo</t>
  </si>
  <si>
    <t>Jäännös-%</t>
  </si>
  <si>
    <t>Vuosikulu</t>
  </si>
  <si>
    <t>ka-tuki %</t>
  </si>
  <si>
    <t xml:space="preserve"> - Kiinteistöjen osto/rak.</t>
  </si>
  <si>
    <t>Kiinteistöt</t>
  </si>
  <si>
    <t>Tuki verottomista ost.</t>
  </si>
  <si>
    <t>Ely-tuki yhteensä</t>
  </si>
  <si>
    <t>OSAMAKSURAHOITUS</t>
  </si>
  <si>
    <t>Korko/kk</t>
  </si>
  <si>
    <t>Laina-aika kk</t>
  </si>
  <si>
    <t>Vuosimaksu</t>
  </si>
  <si>
    <t>Koronlaskentakuukausi</t>
  </si>
  <si>
    <t>ELY - TUET</t>
  </si>
  <si>
    <t>KIRJANPITOARVOT</t>
  </si>
  <si>
    <t>Kirjanpitoarvo</t>
  </si>
  <si>
    <t>LAINOJEN KUSTANNUKSET</t>
  </si>
  <si>
    <t>%</t>
  </si>
  <si>
    <t>Leasingmaksuerät vuodessa kk-maksuina</t>
  </si>
  <si>
    <t>TULOT</t>
  </si>
  <si>
    <t>Alv %</t>
  </si>
  <si>
    <t>YHT</t>
  </si>
  <si>
    <t xml:space="preserve"> Lainojen nostot</t>
  </si>
  <si>
    <t>TULOT YHTEENSÄ</t>
  </si>
  <si>
    <t>MENOT</t>
  </si>
  <si>
    <t xml:space="preserve"> Markkinointi ja mainonta</t>
  </si>
  <si>
    <t xml:space="preserve"> Muut kiinteät kulut sis. Alv</t>
  </si>
  <si>
    <t xml:space="preserve"> Maksettava arvonlisävero</t>
  </si>
  <si>
    <t xml:space="preserve"> Nettopalkat</t>
  </si>
  <si>
    <t xml:space="preserve"> Työnantajatilitykset verottajalle</t>
  </si>
  <si>
    <t xml:space="preserve"> Verot</t>
  </si>
  <si>
    <t xml:space="preserve"> Lainojen lyhennykset</t>
  </si>
  <si>
    <t xml:space="preserve"> Osingot, yksityiskäyttö</t>
  </si>
  <si>
    <t xml:space="preserve">           MENOT YHTEENSÄ</t>
  </si>
  <si>
    <t xml:space="preserve"> Laskutusmyynti</t>
  </si>
  <si>
    <t xml:space="preserve"> Sähkö-, vesi- ja lämmityskulut</t>
  </si>
  <si>
    <t xml:space="preserve"> Lehdet</t>
  </si>
  <si>
    <t>Rahapalkat yhteensä</t>
  </si>
  <si>
    <t>Ennakkopidätyksen alaiset palkat yht.</t>
  </si>
  <si>
    <t xml:space="preserve"> - ennakkopidätyksen alaiset palkat vuodessa</t>
  </si>
  <si>
    <t xml:space="preserve"> - rahapalkat vuodessa</t>
  </si>
  <si>
    <t xml:space="preserve"> - vapaaehtoiset eläkevakuutusmaksut</t>
  </si>
  <si>
    <t xml:space="preserve"> Muut jäsenmaksut</t>
  </si>
  <si>
    <t>YEL-YRITTÄJÄT</t>
  </si>
  <si>
    <t>Rahapalkat</t>
  </si>
  <si>
    <t>Luontaisedut</t>
  </si>
  <si>
    <t>Pidätyksen  alaiset palkat</t>
  </si>
  <si>
    <t>Veronpidätys</t>
  </si>
  <si>
    <t>Nettopalkat</t>
  </si>
  <si>
    <t>Tilityksen Verottajalle</t>
  </si>
  <si>
    <t>TYÖNTEKIJÄT</t>
  </si>
  <si>
    <t>Nettopalkka</t>
  </si>
  <si>
    <t>ARVONLISÄVERON LASKENTA</t>
  </si>
  <si>
    <t>ALV %</t>
  </si>
  <si>
    <t xml:space="preserve"> - maksettava alv</t>
  </si>
  <si>
    <t>OSTOJEN ALV</t>
  </si>
  <si>
    <t xml:space="preserve"> - vähennettävä alv</t>
  </si>
  <si>
    <t>VÄHENNETTÄVÄ ALV</t>
  </si>
  <si>
    <t>MAKSETTAVA ALV</t>
  </si>
  <si>
    <t xml:space="preserve"> Työterveyshuolto, vap.eht. hlöstökulut</t>
  </si>
  <si>
    <t xml:space="preserve"> Yrittäjän työttömyyskassamaksut</t>
  </si>
  <si>
    <t xml:space="preserve"> Osamaksun kuukausierät</t>
  </si>
  <si>
    <t xml:space="preserve"> Lainojen korot</t>
  </si>
  <si>
    <t>Verottomat</t>
  </si>
  <si>
    <t xml:space="preserve"> Muut kiinteät kulut alv 0 %</t>
  </si>
  <si>
    <t xml:space="preserve"> Yrittäjäyhdistyksen yms. jäsenmaksut</t>
  </si>
  <si>
    <t xml:space="preserve"> - myynnin kuukausijakautuma</t>
  </si>
  <si>
    <t xml:space="preserve"> - maksuehto</t>
  </si>
  <si>
    <t xml:space="preserve"> pv</t>
  </si>
  <si>
    <t>Henkilöt/</t>
  </si>
  <si>
    <t>Käyttö-</t>
  </si>
  <si>
    <t>yritys</t>
  </si>
  <si>
    <t>henkilö</t>
  </si>
  <si>
    <t>pääoma</t>
  </si>
  <si>
    <t>kate</t>
  </si>
  <si>
    <t>Liikevaihto/henkilö</t>
  </si>
  <si>
    <t xml:space="preserve"> Myyntituotot</t>
  </si>
  <si>
    <t xml:space="preserve"> Liikevaihto</t>
  </si>
  <si>
    <t xml:space="preserve"> Henkilöstökulut</t>
  </si>
  <si>
    <t xml:space="preserve"> Vuokrat</t>
  </si>
  <si>
    <t xml:space="preserve"> Markkinointi</t>
  </si>
  <si>
    <t xml:space="preserve"> Liiketoiminnan muut kulut, erittely alla</t>
  </si>
  <si>
    <t xml:space="preserve"> Käyttökate</t>
  </si>
  <si>
    <t xml:space="preserve"> Rahoituskulut</t>
  </si>
  <si>
    <t xml:space="preserve"> Rahoitustulos</t>
  </si>
  <si>
    <t xml:space="preserve"> Poistot</t>
  </si>
  <si>
    <t xml:space="preserve"> Nettotulos</t>
  </si>
  <si>
    <t xml:space="preserve"> Kokonaistulos</t>
  </si>
  <si>
    <t>Henkilöstökulut/hlö</t>
  </si>
  <si>
    <t xml:space="preserve"> Ohjelma hakee luvut seuraavasta taulukosta/laskentaohje</t>
  </si>
  <si>
    <t xml:space="preserve">KASSABUDJETTI </t>
  </si>
  <si>
    <t xml:space="preserve"> Yhteensä</t>
  </si>
  <si>
    <t xml:space="preserve"> - liiketoimintakaupan tavaravarasto</t>
  </si>
  <si>
    <t>Rahoituksen kokonaiskulut</t>
  </si>
  <si>
    <t>3.1</t>
  </si>
  <si>
    <t>3.2</t>
  </si>
  <si>
    <t>3.3</t>
  </si>
  <si>
    <t>3.6</t>
  </si>
  <si>
    <t>3.7</t>
  </si>
  <si>
    <t>3.8</t>
  </si>
  <si>
    <t>3.9</t>
  </si>
  <si>
    <t>3.10</t>
  </si>
  <si>
    <t>3.11</t>
  </si>
  <si>
    <t>3.12</t>
  </si>
  <si>
    <t>3.13</t>
  </si>
  <si>
    <t>3.14</t>
  </si>
  <si>
    <t>3.15</t>
  </si>
  <si>
    <t>3.16</t>
  </si>
  <si>
    <t>3.17</t>
  </si>
  <si>
    <t>3.18</t>
  </si>
  <si>
    <t>3.19</t>
  </si>
  <si>
    <t>3.20</t>
  </si>
  <si>
    <t>3.21</t>
  </si>
  <si>
    <t xml:space="preserve"> YRITYKSEN NETTOTUOTTOTAVOITE</t>
  </si>
  <si>
    <t>LASKENNALLINEN KASSA ALUSSA</t>
  </si>
  <si>
    <t xml:space="preserve"> - myynnin kuukausijakautuma </t>
  </si>
  <si>
    <t>Vaatteiden ja asusteiden valmistus</t>
  </si>
  <si>
    <t>Puun sahaus, höyläys ja kyllästys</t>
  </si>
  <si>
    <t>Rakennuspuusepäntuotteiden valm.</t>
  </si>
  <si>
    <t>Painaminen ja siihen liittyvät palvelut</t>
  </si>
  <si>
    <t>Muovituotteiden valmistus</t>
  </si>
  <si>
    <t>Metallirakenteiden valmistus</t>
  </si>
  <si>
    <t>Koneiden ja laitteiden valmistus</t>
  </si>
  <si>
    <t>Huonekalujen valmistus</t>
  </si>
  <si>
    <t>Keittiökalusteiden valmistus</t>
  </si>
  <si>
    <t>Sähköasennus</t>
  </si>
  <si>
    <t>LVI-asennukset</t>
  </si>
  <si>
    <t>Rakennuspuusepän asennustyöt</t>
  </si>
  <si>
    <t>Maalaus</t>
  </si>
  <si>
    <t>Kukkien vähittäiskauppa</t>
  </si>
  <si>
    <t>Tieliikenteen tavarankuljetus</t>
  </si>
  <si>
    <t>Kiinteistönhoito</t>
  </si>
  <si>
    <t>Siivouspalvelut</t>
  </si>
  <si>
    <t>Ohjelmistot, konsultointi ja siihen liittyvä toiminta</t>
  </si>
  <si>
    <t>Kirjanpito- ja tilinpäätöspalvelu</t>
  </si>
  <si>
    <t>Mainostoimistot ja mainospalvelu</t>
  </si>
  <si>
    <t>Vuosikulut €</t>
  </si>
  <si>
    <t>Alv 0 %</t>
  </si>
  <si>
    <t>Sis. Alv</t>
  </si>
  <si>
    <t>KAAVIOT</t>
  </si>
  <si>
    <t>Toimiala</t>
  </si>
  <si>
    <t>Leasing-käisttelykul/kk</t>
  </si>
  <si>
    <t>Jäännösarvon korko vuodessa</t>
  </si>
  <si>
    <t>Yrityksen toimiala</t>
  </si>
  <si>
    <t>Tilinhoitomaksu/kk</t>
  </si>
  <si>
    <t>Vertailtavan toimialan numero</t>
  </si>
  <si>
    <t xml:space="preserve"> Myyntituotot tuotteet 1 - 17</t>
  </si>
  <si>
    <t xml:space="preserve"> Liikevaihto tuotteet 1 - 17</t>
  </si>
  <si>
    <t xml:space="preserve"> Myyntituotot tuotteet 1 - 11</t>
  </si>
  <si>
    <t xml:space="preserve"> Liikevaihto tuotteet 1 - 11</t>
  </si>
  <si>
    <t xml:space="preserve"> Suorite 12 </t>
  </si>
  <si>
    <t xml:space="preserve"> Suorite 6 </t>
  </si>
  <si>
    <t xml:space="preserve"> Myyntituotot suor./tarv. 1 - 17</t>
  </si>
  <si>
    <t xml:space="preserve"> Liikevaihto suor./tarv. 1 - 17</t>
  </si>
  <si>
    <t xml:space="preserve"> - työntekijöiden määrä</t>
  </si>
  <si>
    <t xml:space="preserve">OSA - TAI KOKOAIKAISET TYÖTEHTÄVÄT </t>
  </si>
  <si>
    <t>OHJE</t>
  </si>
  <si>
    <t xml:space="preserve"> - TyEL-vakuutusmaksuprosentti yht.</t>
  </si>
  <si>
    <t xml:space="preserve"> - YEL-yrittäjien lukumäärä</t>
  </si>
  <si>
    <t xml:space="preserve"> - YEL - yrittäjien verotettava tulo</t>
  </si>
  <si>
    <t xml:space="preserve"> - työterveyshuolto</t>
  </si>
  <si>
    <t xml:space="preserve"> - työvaatteet ja suojavälineet</t>
  </si>
  <si>
    <t xml:space="preserve"> - muut vapaaehtoiset henkilöstökulut</t>
  </si>
  <si>
    <t xml:space="preserve"> - sähkö ja kaasu </t>
  </si>
  <si>
    <t xml:space="preserve"> - vesi ja jätevesi</t>
  </si>
  <si>
    <t xml:space="preserve"> - lämmitys</t>
  </si>
  <si>
    <t xml:space="preserve"> - jätehuolto</t>
  </si>
  <si>
    <t xml:space="preserve"> - muut TyEL-henkilöiden henkilövakuutusmaksut</t>
  </si>
  <si>
    <t xml:space="preserve"> - vuokrat ja vastikkeet</t>
  </si>
  <si>
    <t xml:space="preserve"> - vuokra/vastike kuukaudessa euroa</t>
  </si>
  <si>
    <t xml:space="preserve"> - maksukuukaudet vuodessa</t>
  </si>
  <si>
    <t>3.4</t>
  </si>
  <si>
    <t xml:space="preserve"> - ohjelmat, päivitykset ja ylläpito</t>
  </si>
  <si>
    <t xml:space="preserve"> 6.1 Yrittäjäeläkemaksu</t>
  </si>
  <si>
    <t xml:space="preserve"> 6.2 TyEL-maksut ja muut eläkemaksut</t>
  </si>
  <si>
    <t xml:space="preserve"> - muut kone- ja kalustokulut</t>
  </si>
  <si>
    <t xml:space="preserve"> - matkaliput ja majoituskulut</t>
  </si>
  <si>
    <t xml:space="preserve"> - ruokailu matkalla</t>
  </si>
  <si>
    <t xml:space="preserve"> - suora- ja ilmoitusmainonta</t>
  </si>
  <si>
    <t xml:space="preserve"> - TV-, radio- ja internetmainonta</t>
  </si>
  <si>
    <t xml:space="preserve"> - muut kehityskulut</t>
  </si>
  <si>
    <t xml:space="preserve"> - vuokratyövoima</t>
  </si>
  <si>
    <t xml:space="preserve"> - taloushallintopalvelut, tilintarkastus</t>
  </si>
  <si>
    <t xml:space="preserve"> - kirjat, lehdet</t>
  </si>
  <si>
    <t xml:space="preserve"> - YEL-yrittäjien työttömyyskassamaksut</t>
  </si>
  <si>
    <t xml:space="preserve"> - kiinteistöjen ja irtaimiston palovakuutusarvo</t>
  </si>
  <si>
    <t xml:space="preserve"> - puhelin- ja matkapuhelinkulut</t>
  </si>
  <si>
    <t xml:space="preserve"> - datasiirtokulut</t>
  </si>
  <si>
    <t xml:space="preserve"> - posti- ja lähettikulut</t>
  </si>
  <si>
    <t xml:space="preserve"> - rahaliikenteen kulut</t>
  </si>
  <si>
    <t xml:space="preserve"> - huollot ja korjaukset </t>
  </si>
  <si>
    <t xml:space="preserve"> - vakuutus, katsastus, käyttömaksut yms.</t>
  </si>
  <si>
    <t xml:space="preserve"> - muut konekulut</t>
  </si>
  <si>
    <t xml:space="preserve"> Materiaalit ja palvelut</t>
  </si>
  <si>
    <t>3.22</t>
  </si>
  <si>
    <t xml:space="preserve"> Kokous- ja neuvottelukulut</t>
  </si>
  <si>
    <t xml:space="preserve"> - tavaramerkit, patentit, sertifiointi yms.</t>
  </si>
  <si>
    <t>Vaihtoehto 1</t>
  </si>
  <si>
    <t>Liikevaihto toteutuu</t>
  </si>
  <si>
    <t>Menot toteutuu</t>
  </si>
  <si>
    <t>Vaihtoehto 2</t>
  </si>
  <si>
    <t>Rahoitustulos (ei tarkka arvo)</t>
  </si>
  <si>
    <t xml:space="preserve"> - Työntekijän sairausvakuutus-, työttömyys- ja henkivakuutusmaksu-%</t>
  </si>
  <si>
    <t xml:space="preserve"> - vastuuvakuutukset, keskeytysvakuutus, konerikkovakuutus</t>
  </si>
  <si>
    <t xml:space="preserve"> - muut vakuutukset </t>
  </si>
  <si>
    <t xml:space="preserve"> - muut vakuutukset</t>
  </si>
  <si>
    <t>Menot toteutuvat</t>
  </si>
  <si>
    <t xml:space="preserve"> Työvaatteet, suojavälineet</t>
  </si>
  <si>
    <t xml:space="preserve"> Toimistotarvikkeet</t>
  </si>
  <si>
    <t xml:space="preserve"> Leasingvuokrat, muut kone- ja laitevuokrat</t>
  </si>
  <si>
    <t xml:space="preserve"> Hallintopalvelut (kirjanpito yms.)</t>
  </si>
  <si>
    <t>nro</t>
  </si>
  <si>
    <t>Muut yleiskäyttöön tark. Koneiden valmistus</t>
  </si>
  <si>
    <t>Rakennuspaikan valmistelutyöt</t>
  </si>
  <si>
    <t xml:space="preserve"> - henkilökunnan koulutus</t>
  </si>
  <si>
    <t xml:space="preserve"> - virkistys- ja harrastustoiminta</t>
  </si>
  <si>
    <t xml:space="preserve"> - mainostoimistopalvelut, painotuotteet</t>
  </si>
  <si>
    <t xml:space="preserve"> Tutkimus- ja tuotekehitys</t>
  </si>
  <si>
    <t xml:space="preserve"> Edustustukulut</t>
  </si>
  <si>
    <t>Muut kiinteät alv 0</t>
  </si>
  <si>
    <t>19.1</t>
  </si>
  <si>
    <t>19.2</t>
  </si>
  <si>
    <t>19.3</t>
  </si>
  <si>
    <t>19.4</t>
  </si>
  <si>
    <t>19.5</t>
  </si>
  <si>
    <t xml:space="preserve"> Matkakulut, matkakorvaukset</t>
  </si>
  <si>
    <t xml:space="preserve"> Sijoitukset</t>
  </si>
  <si>
    <t>Suorite 1</t>
  </si>
  <si>
    <t xml:space="preserve"> - myyntihinta/yksikkö alv 0 %</t>
  </si>
  <si>
    <t xml:space="preserve"> - ostohinta/yksikkö alv 0 %</t>
  </si>
  <si>
    <t xml:space="preserve"> ostohinnan muutos-%</t>
  </si>
  <si>
    <t xml:space="preserve"> myyntihinnan muutos-%</t>
  </si>
  <si>
    <t xml:space="preserve"> - veloitushinta/yksikkö alv 0 %</t>
  </si>
  <si>
    <t xml:space="preserve"> - osto-/myyntimäärä yksikköä</t>
  </si>
  <si>
    <t>Fysioterapia</t>
  </si>
  <si>
    <t xml:space="preserve"> - perustuntipalkka/kuukausipalkka/henkilö</t>
  </si>
  <si>
    <t>MYYNTIENNUSTEEN MUKAINEN MYYNTIKATE</t>
  </si>
  <si>
    <t>MYYNTITUOTOT RIITTÄVÄT MENOIHIN</t>
  </si>
  <si>
    <t>VARMUUSMARGINAALI MYYNTIIN NÄHDEN (prosenttia)</t>
  </si>
  <si>
    <t>LIIKEVAIHTO</t>
  </si>
  <si>
    <t>Arvonlisäveron määrä</t>
  </si>
  <si>
    <t>KOKONAISMYYNTI</t>
  </si>
  <si>
    <t>AUKIOLOVIIKOT VUODESSA</t>
  </si>
  <si>
    <t>AUKIOLOPÄIVÄT VIIKOSSA</t>
  </si>
  <si>
    <t>MYYNTI PÄIVÄSSÄ (TOTEUTUVA)</t>
  </si>
  <si>
    <t>YRITYKSEN NETTOTUOTTOTAVOITE</t>
  </si>
  <si>
    <t xml:space="preserve"> - palkkatunnit/kk/henkilö (kuukausipalkka = 1)</t>
  </si>
  <si>
    <t xml:space="preserve"> - palkanmaksukuukaudet/henkilö</t>
  </si>
  <si>
    <t>Ohjelman antamien tulosten oikeellisuus ja vastuu tuloksista</t>
  </si>
  <si>
    <t>Käyttäjä tiedostaa, että ohjelma voi sisältää virheitä ja ohjelman antamat tulokset ovat viitteellisiä</t>
  </si>
  <si>
    <t>ja suuntaa-antavia. Käyttäjä käyttää ohjelmaa ja tulkitsee tuloksia omalla vastuullaan.</t>
  </si>
  <si>
    <t xml:space="preserve"> - puhtaanapito, ulkoalueiden hoito, toimitilakorjaukset</t>
  </si>
  <si>
    <t xml:space="preserve"> - vartiointi, lukitus, muut kulut</t>
  </si>
  <si>
    <t xml:space="preserve"> - kiinteistövero</t>
  </si>
  <si>
    <t xml:space="preserve"> Puhtaanapito, korjaus, vartiointi, muut kulut</t>
  </si>
  <si>
    <t>Poma alv 24 %</t>
  </si>
  <si>
    <t xml:space="preserve"> Käteismyynti, myyntiosuus</t>
  </si>
  <si>
    <t xml:space="preserve"> Vapaaehtoiset eläke- ja henkivakuutukset</t>
  </si>
  <si>
    <t xml:space="preserve"> Esine- yms. vakuutukset, käyttömaksut</t>
  </si>
  <si>
    <t>LOMAPALKKAVELAT</t>
  </si>
  <si>
    <t>Lomapalkat = pidätyksen alaiset palkat</t>
  </si>
  <si>
    <t xml:space="preserve"> - josta lomapalkkavaraus</t>
  </si>
  <si>
    <t>Lomapalkkavelka</t>
  </si>
  <si>
    <t xml:space="preserve"> hintamuutos - %</t>
  </si>
  <si>
    <t xml:space="preserve"> määrämuutos - %</t>
  </si>
  <si>
    <t>TÄYTTÖOHJE</t>
  </si>
  <si>
    <t>Teurastus, lihatuotteiden valmistus</t>
  </si>
  <si>
    <t>TOIMIALAVERTAILU</t>
  </si>
  <si>
    <t>Myyntituotot riittävät menoihin (euroa)</t>
  </si>
  <si>
    <t>Liikevaihto (euroa)</t>
  </si>
  <si>
    <t>Myyntikate (euroa)</t>
  </si>
  <si>
    <t>Varmuusmarginaali prosenttia myynnistä</t>
  </si>
  <si>
    <t>Tuote-/ tarvike-/alihankintamyynti 1</t>
  </si>
  <si>
    <t>Muu tekstiilituotteiden valmistus</t>
  </si>
  <si>
    <t>PALVELUT KULUTTAJILLE</t>
  </si>
  <si>
    <t xml:space="preserve">PALVELUT YRITYKSILLE JA YHTEISÖILLE </t>
  </si>
  <si>
    <t>PALVELUT YRITYKSILLE JA YHTEISÖILLE</t>
  </si>
  <si>
    <t xml:space="preserve"> Henkilöstökulut </t>
  </si>
  <si>
    <t xml:space="preserve"> - yrityksen maksama TyEL-vakuutusmaksuprosentti </t>
  </si>
  <si>
    <t>Maksuehto</t>
  </si>
  <si>
    <t>&lt;31 pv</t>
  </si>
  <si>
    <t>Kassaan 1. kk</t>
  </si>
  <si>
    <t>31 - 60 pv</t>
  </si>
  <si>
    <t>Kassaan 2. kk</t>
  </si>
  <si>
    <t>61 - 90 pv</t>
  </si>
  <si>
    <t>Kassaan 3. kk</t>
  </si>
  <si>
    <t>91 - 120 pv</t>
  </si>
  <si>
    <t>Kassaan 4. kk</t>
  </si>
  <si>
    <t>121 - 150 pv</t>
  </si>
  <si>
    <t>Kassaan 5. kk</t>
  </si>
  <si>
    <t>150  - 180 pv</t>
  </si>
  <si>
    <t>Kassaan 6. kk</t>
  </si>
  <si>
    <t>Kassaan 7. kk</t>
  </si>
  <si>
    <t>Maksut tilille myynneistä</t>
  </si>
  <si>
    <t>Maksut yhteensä</t>
  </si>
  <si>
    <t>Laskutusmyynti kaudella</t>
  </si>
  <si>
    <t xml:space="preserve">Kassaa 1. kk </t>
  </si>
  <si>
    <t>Tilikauden pituus (kuukautta)</t>
  </si>
  <si>
    <t xml:space="preserve"> - YEL-maksun vuositulo kohdan 1 palkka (voidaan muuttaa)</t>
  </si>
  <si>
    <t xml:space="preserve"> - palkanlisät peruspalkasta prosenttia</t>
  </si>
  <si>
    <t>K1 - TAULUKKO</t>
  </si>
  <si>
    <t>YP1 - TAULUKKO</t>
  </si>
  <si>
    <t>K1</t>
  </si>
  <si>
    <t>YP1</t>
  </si>
  <si>
    <t xml:space="preserve"> Taulukosta K1 tai YP1 kohta 8</t>
  </si>
  <si>
    <t>3.24</t>
  </si>
  <si>
    <t>3.25</t>
  </si>
  <si>
    <t>3.23</t>
  </si>
  <si>
    <t>3.26</t>
  </si>
  <si>
    <t>3.5</t>
  </si>
  <si>
    <t xml:space="preserve"> - YEL-maksun vuositulo = kohdan 1 palkka (voidaan muuttaa)</t>
  </si>
  <si>
    <t xml:space="preserve"> - päivärahaan oikeuttavat työpäivät kpl</t>
  </si>
  <si>
    <t xml:space="preserve"> - ajokilometrit tilikaudella </t>
  </si>
  <si>
    <t xml:space="preserve"> - ajokilometrit/käyttötunnit tilikaudella</t>
  </si>
  <si>
    <t>Yrityksen ottamien lainojen lyhennys ja korko tilikaudella</t>
  </si>
  <si>
    <t>Eläkekulut tilikaudella</t>
  </si>
  <si>
    <t>Yrityksen maksamat tuloverot tilikaudelta</t>
  </si>
  <si>
    <t>1. TILIKAUSI</t>
  </si>
  <si>
    <t>2. TILIKAUSI</t>
  </si>
  <si>
    <t>Finnvera, pääoma</t>
  </si>
  <si>
    <t>Lyhennys</t>
  </si>
  <si>
    <t>Korko euroa</t>
  </si>
  <si>
    <t>Kuukaudet</t>
  </si>
  <si>
    <t>Korko € tilik. 6 kk</t>
  </si>
  <si>
    <t>7 kk</t>
  </si>
  <si>
    <t>10 kk</t>
  </si>
  <si>
    <t>11 kk</t>
  </si>
  <si>
    <t>12 kk</t>
  </si>
  <si>
    <t>13 kk</t>
  </si>
  <si>
    <t>14 kk</t>
  </si>
  <si>
    <t>15 kk</t>
  </si>
  <si>
    <t>16 kk</t>
  </si>
  <si>
    <t>17 kk</t>
  </si>
  <si>
    <t>18 kk</t>
  </si>
  <si>
    <t>9 kk</t>
  </si>
  <si>
    <t xml:space="preserve">8 kk </t>
  </si>
  <si>
    <t>Korko kk:n kohdalla</t>
  </si>
  <si>
    <t>0 - 6 kk</t>
  </si>
  <si>
    <t>Laina 1 , pääoma</t>
  </si>
  <si>
    <t>Laina 2 , pääoma</t>
  </si>
  <si>
    <t>Lainapääomat</t>
  </si>
  <si>
    <t>Lyhennykset</t>
  </si>
  <si>
    <t>Osamaksut, PO</t>
  </si>
  <si>
    <t>7 - 9 kk</t>
  </si>
  <si>
    <t>10-12 kk</t>
  </si>
  <si>
    <t>13-15kk</t>
  </si>
  <si>
    <t>16-18 KK</t>
  </si>
  <si>
    <t>19-21 KK</t>
  </si>
  <si>
    <t>22 - 24 KK</t>
  </si>
  <si>
    <t>25 - 27 KK</t>
  </si>
  <si>
    <t>28 - 30 kkl</t>
  </si>
  <si>
    <t>21 - 33 kk</t>
  </si>
  <si>
    <t>34 - 36 kk</t>
  </si>
  <si>
    <t>37 - 39 kk</t>
  </si>
  <si>
    <t>40 - 42</t>
  </si>
  <si>
    <t>Korko kaudelta</t>
  </si>
  <si>
    <t>Maksu/3 kk</t>
  </si>
  <si>
    <t>Lainan lyhennys kaudelta</t>
  </si>
  <si>
    <t xml:space="preserve">      </t>
  </si>
  <si>
    <t>Korot € tlik. 6 kk</t>
  </si>
  <si>
    <t>Lyhennykset 6 kk</t>
  </si>
  <si>
    <t xml:space="preserve">3. TILIKAUSI </t>
  </si>
  <si>
    <t>Lyhennys kaudella</t>
  </si>
  <si>
    <t xml:space="preserve"> Liiketoiminnan muut kulut, erittely 1. tilikaudelta</t>
  </si>
  <si>
    <t xml:space="preserve"> 6.2 TyEL-maksut ja muut eläkemaksut </t>
  </si>
  <si>
    <t xml:space="preserve"> - vapaaehtoiset eläkevakuutusmaksut </t>
  </si>
  <si>
    <t>(siirtyy K3 ELY:n kohtaan)</t>
  </si>
  <si>
    <t>(siirtyy YP3 ELY:n kohtaan)</t>
  </si>
  <si>
    <t xml:space="preserve"> Ohjelma laskee käteismyynnin myyntiosuuden perusteella</t>
  </si>
  <si>
    <t xml:space="preserve"> Ohjelma laskee laskutusmyynnin myyntiosuuden perusteella</t>
  </si>
  <si>
    <t xml:space="preserve"> - leasingilla rahoitetaan</t>
  </si>
  <si>
    <t>3. TILIKAUSI</t>
  </si>
  <si>
    <t>Pääoma/kauden loppu</t>
  </si>
  <si>
    <t>Lainat+osam. PO</t>
  </si>
  <si>
    <t>Finnvera+lainat yht. PO kauden lopussa</t>
  </si>
  <si>
    <t>Lyhennykset kaudella</t>
  </si>
  <si>
    <t>Korot kaudella tilik. 6 kk</t>
  </si>
  <si>
    <t>Korot kaudella  yht.</t>
  </si>
  <si>
    <t>LAINAT JA OSAMAKSUT YHTEENSÄ</t>
  </si>
  <si>
    <t xml:space="preserve">  </t>
  </si>
  <si>
    <t xml:space="preserve"> Taulukosta K1 tai YP1 kohta 24</t>
  </si>
  <si>
    <t xml:space="preserve"> Taulukosta K1 tai YP1 kohta 23</t>
  </si>
  <si>
    <t xml:space="preserve"> Taulukosta K1 tai YP1 kohta 19</t>
  </si>
  <si>
    <t xml:space="preserve"> Taulukosta K1 tai YP1 kohta 18</t>
  </si>
  <si>
    <t xml:space="preserve"> Taulukosta K1 tai YP1 kohta 20</t>
  </si>
  <si>
    <t xml:space="preserve"> Taulukosta K1 tai YP1 kohta 7</t>
  </si>
  <si>
    <t>Yrityksen maksamat tuloverot tilikaudella</t>
  </si>
  <si>
    <r>
      <t xml:space="preserve">Tilikauden pituus </t>
    </r>
    <r>
      <rPr>
        <sz val="10"/>
        <rFont val="Arial"/>
        <family val="2"/>
      </rPr>
      <t>(kuukautta)</t>
    </r>
  </si>
  <si>
    <t xml:space="preserve">KIINTEÄT KULUT ILMAN ARVONLISÄVEROA </t>
  </si>
  <si>
    <t>KIINTEÄT KULUT ILMAN ARVONLISÄVEROA</t>
  </si>
  <si>
    <t xml:space="preserve"> Teollisuus ja valmistaminen</t>
  </si>
  <si>
    <t>LAINAT JA LAINOJEN KOROT YHTEENSÄ</t>
  </si>
  <si>
    <t>Lainat+korot Yht, 6 kk</t>
  </si>
  <si>
    <t>Osamaksu-Lyhennys</t>
  </si>
  <si>
    <t>Osamaksu-Korko euroa</t>
  </si>
  <si>
    <t>Tilikauden</t>
  </si>
  <si>
    <t>Rahapalkat ja luontaisedut tilikauden mukaan</t>
  </si>
  <si>
    <t>pituus (kk)</t>
  </si>
  <si>
    <t>12 kk palkka</t>
  </si>
  <si>
    <t>12 luont.</t>
  </si>
  <si>
    <t xml:space="preserve"> - K1-taulukko</t>
  </si>
  <si>
    <t xml:space="preserve"> - YP1-taulukko</t>
  </si>
  <si>
    <t>Liikev./</t>
  </si>
  <si>
    <t xml:space="preserve"> Finnvera</t>
  </si>
  <si>
    <t xml:space="preserve"> Pankki</t>
  </si>
  <si>
    <t xml:space="preserve"> RAHOITUSSUUNNITELMA</t>
  </si>
  <si>
    <t>K3/YP3 rivi 45</t>
  </si>
  <si>
    <t>Lisätään K3/YP3 rivi 45</t>
  </si>
  <si>
    <t xml:space="preserve"> - YEL-yrittäjien verotettava tulo</t>
  </si>
  <si>
    <t xml:space="preserve"> - ostojen hävikki-%</t>
  </si>
  <si>
    <t xml:space="preserve"> - ostot yhteensä alv 0%</t>
  </si>
  <si>
    <t>Avustukset ja alv-palautus yhteensä</t>
  </si>
  <si>
    <t xml:space="preserve"> - internet-, radio- ja tv-mainonta</t>
  </si>
  <si>
    <t xml:space="preserve"> Muut kiinteät kulut sis. alv</t>
  </si>
  <si>
    <t xml:space="preserve"> Investoinnit alv 0 %</t>
  </si>
  <si>
    <t>K3 Tulos-taulukko</t>
  </si>
  <si>
    <t>YP3 Tulos-taulukko</t>
  </si>
  <si>
    <t xml:space="preserve"> - käytettävä YEL-maksuprosentti laskennassa</t>
  </si>
  <si>
    <t xml:space="preserve"> - yrittäjäjärjestöjen jäsenmaksut</t>
  </si>
  <si>
    <t xml:space="preserve"> - YEL-yrittäjien luontoisedut kuukaudessa</t>
  </si>
  <si>
    <t xml:space="preserve"> - luontoisedut kuukaudessa/henkilö</t>
  </si>
  <si>
    <t>Luontoisedut yhteensä</t>
  </si>
  <si>
    <t xml:space="preserve"> - atk-laitehankinnat (&lt; 3 vuoden kalusto)</t>
  </si>
  <si>
    <t xml:space="preserve"> - muut atk-kulut</t>
  </si>
  <si>
    <t xml:space="preserve"> - muut tuet </t>
  </si>
  <si>
    <t>Rahoitustarve - Rahoitussuunnitelma, erotus</t>
  </si>
  <si>
    <t>Tuote-/ tarvike-/alihankintamyynti 12</t>
  </si>
  <si>
    <t>Tuote-/ tarvike-/alihankintamyynti 6</t>
  </si>
  <si>
    <t xml:space="preserve"> Yritystuet, muut tulot</t>
  </si>
  <si>
    <t xml:space="preserve"> Investoinnit sisältäen alv:n</t>
  </si>
  <si>
    <t>Ateriapalvelut ja muut ravitsemuspalvelut</t>
  </si>
  <si>
    <t>Hammaslääkäripalvelut</t>
  </si>
  <si>
    <t>Kuntokeskukset</t>
  </si>
  <si>
    <t xml:space="preserve">JOS TOIMIALOJA ON TULLUT LISÄÄ TAI VÄHENNETTY, TARKISTA KELTAISTEN SOLUJEN HAKUKAAVAN HAKURIVIMÄÄRÄ OIKEIN JOKAISEEN HAKUFUNKTIOON! </t>
  </si>
  <si>
    <t xml:space="preserve">   </t>
  </si>
  <si>
    <t xml:space="preserve">Työttömyysvakuutusmaksupidätys </t>
  </si>
  <si>
    <t>TyEL ja TT-maksu työntekijä osuus</t>
  </si>
  <si>
    <t xml:space="preserve"> - YEL-yrittäjien sairausvakuutus-, tapaturma-  ja henkivakuutusmaksut</t>
  </si>
  <si>
    <t xml:space="preserve"> TyEL, pakolliset työntekijävakuutukset</t>
  </si>
  <si>
    <t xml:space="preserve"> YEL-maksut, sairaus- ja tapaturmavakuutusmaksut</t>
  </si>
  <si>
    <t>TILIKAUDEN PITUUS KUUKAUSINA</t>
  </si>
  <si>
    <r>
      <t xml:space="preserve">RISKIANALYYSI </t>
    </r>
    <r>
      <rPr>
        <b/>
        <sz val="8"/>
        <color theme="1"/>
        <rFont val="Arial"/>
        <family val="2"/>
      </rPr>
      <t>(tulojen ja menojen toteutumisen vaikutus lainanmaksukykyyn)</t>
    </r>
  </si>
  <si>
    <t xml:space="preserve"> - alkuvarasto, takuumaksut</t>
  </si>
  <si>
    <t>Rahoittaja</t>
  </si>
  <si>
    <t>Muut alv-vähennyskelpoiset liikekulut</t>
  </si>
  <si>
    <t>KAIKKI KIINTEÄT KULUT (kohdat 4 - 28)</t>
  </si>
  <si>
    <t>MYYNTIKATETARVE (kohta 3 + kohta 29)</t>
  </si>
  <si>
    <t>Muut kiinteät kulut 24 %</t>
  </si>
  <si>
    <t xml:space="preserve"> Taulukosta K1 tai YP1 kohta 26</t>
  </si>
  <si>
    <t>alv 24</t>
  </si>
  <si>
    <t xml:space="preserve"> alv 0</t>
  </si>
  <si>
    <t xml:space="preserve"> Taulukosta K1 tai YP1 kohta 16</t>
  </si>
  <si>
    <t xml:space="preserve"> Taulukosta K1 tai YP1 kohta 27</t>
  </si>
  <si>
    <t xml:space="preserve"> 2. Koneet ja kalusto </t>
  </si>
  <si>
    <t xml:space="preserve"> 3. Aineettomat investoinnit </t>
  </si>
  <si>
    <t xml:space="preserve"> 10. Yritystuet </t>
  </si>
  <si>
    <t xml:space="preserve"> 11. Arvonlisäveron palautus </t>
  </si>
  <si>
    <t xml:space="preserve"> 12. Oma rahoitus</t>
  </si>
  <si>
    <t xml:space="preserve"> 7. Pitkäaikaiset lainat </t>
  </si>
  <si>
    <t xml:space="preserve"> 4. Aineettomat ja kehittämisinvest. alv 0 % </t>
  </si>
  <si>
    <t xml:space="preserve"> - laite- ja ohjelmavuokrat</t>
  </si>
  <si>
    <t xml:space="preserve"> - Finnveran Yrittäjälaina</t>
  </si>
  <si>
    <t>Muistiinpanot</t>
  </si>
  <si>
    <t>Laatija ja päivämäärä</t>
  </si>
  <si>
    <t xml:space="preserve"> 9. Osamaksu</t>
  </si>
  <si>
    <t xml:space="preserve"> 8. Leasing</t>
  </si>
  <si>
    <t xml:space="preserve"> RAHOITUSTARVE JA RAHOITUSSUUNNITELMA</t>
  </si>
  <si>
    <t>Käyttöpääoman tarve kuukaudessa (varaa 2 - 3 kuukautta)</t>
  </si>
  <si>
    <t>ENNUSTEYHTEENVETO (EUROA)</t>
  </si>
  <si>
    <t>Muutos-%</t>
  </si>
  <si>
    <t xml:space="preserve"> hintamuutos - % </t>
  </si>
  <si>
    <t>TILIKAUDEN PITUUS (kk)</t>
  </si>
  <si>
    <t xml:space="preserve"> hinnan muutos %</t>
  </si>
  <si>
    <t xml:space="preserve"> määrän muutos %</t>
  </si>
  <si>
    <r>
      <t xml:space="preserve"> määrän muutos</t>
    </r>
    <r>
      <rPr>
        <b/>
        <sz val="8"/>
        <rFont val="Arial"/>
        <family val="2"/>
      </rPr>
      <t xml:space="preserve"> </t>
    </r>
    <r>
      <rPr>
        <sz val="8"/>
        <rFont val="Arial"/>
        <family val="2"/>
      </rPr>
      <t>%</t>
    </r>
  </si>
  <si>
    <r>
      <t xml:space="preserve"> hinnan muutos</t>
    </r>
    <r>
      <rPr>
        <b/>
        <sz val="8"/>
        <rFont val="Arial"/>
        <family val="2"/>
      </rPr>
      <t xml:space="preserve"> </t>
    </r>
    <r>
      <rPr>
        <sz val="8"/>
        <rFont val="Arial"/>
        <family val="2"/>
      </rPr>
      <t>%</t>
    </r>
  </si>
  <si>
    <t xml:space="preserve"> 5. Kehittämisinvestoinnit sis. alv</t>
  </si>
  <si>
    <r>
      <t xml:space="preserve">TILIKAUDEN PITUUS </t>
    </r>
    <r>
      <rPr>
        <sz val="10"/>
        <rFont val="Arial"/>
        <family val="2"/>
      </rPr>
      <t>(kk)</t>
    </r>
  </si>
  <si>
    <t xml:space="preserve"> Kirjoita yrityksesi toimiala</t>
  </si>
  <si>
    <t xml:space="preserve"> - YEL-yrittäjien sairaus- ja tapaturmavakuutusmaksu, henkivakuutusmaksut</t>
  </si>
  <si>
    <t>Hotelli-ravintolat ja vastaavat majoitusliikkeet</t>
  </si>
  <si>
    <t>Ravintolat ja vastaava ravitsemistoiminta</t>
  </si>
  <si>
    <t xml:space="preserve">    </t>
  </si>
  <si>
    <t>Muutos - %</t>
  </si>
  <si>
    <t xml:space="preserve"> 6. Käyttöpääoma </t>
  </si>
  <si>
    <t>kate -%</t>
  </si>
  <si>
    <t>muutos-%</t>
  </si>
  <si>
    <t>Leivän valmistus; leivonnaisten ja kakkujen valmistus</t>
  </si>
  <si>
    <t>pääoma-%</t>
  </si>
  <si>
    <t>pääoma/hlö</t>
  </si>
  <si>
    <t>Metallien käsittely, päällystäminen ja työstö</t>
  </si>
  <si>
    <t>Moottoriajoneuvojen ja perävaunujen valmistus</t>
  </si>
  <si>
    <t>kate-%</t>
  </si>
  <si>
    <t>Asuin- ja muiden rakennusten rakentaminen</t>
  </si>
  <si>
    <t>Toimialanro</t>
  </si>
  <si>
    <t>Kattorakenteiden asennus ja kattaminen</t>
  </si>
  <si>
    <t>Moottoriajoneuvojen huolto ja korjaus (ei mp)</t>
  </si>
  <si>
    <t>Rauta- ja rakennustarvikkeiden yleisvähittäiskauppa</t>
  </si>
  <si>
    <t>Vaatteiden vähittäiskauppa</t>
  </si>
  <si>
    <t>Käyttö- kate-%</t>
  </si>
  <si>
    <t>Kahvilat ja kahvibaarit</t>
  </si>
  <si>
    <t>Lääkäriasemat, yksityislääkärit, erikoislääkäripalvelut</t>
  </si>
  <si>
    <t>Lasten päivähoitopalvelut</t>
  </si>
  <si>
    <t>Kauneudenhoitopalvelut</t>
  </si>
  <si>
    <t>Insinööripalvelut ja niihin liittyvä tekninen konsultointi</t>
  </si>
  <si>
    <t>Käyttö-pääoma-%</t>
  </si>
  <si>
    <t>Käyttö-pääoma/hlö</t>
  </si>
  <si>
    <t>VUOSI</t>
  </si>
  <si>
    <t xml:space="preserve"> - investointituet</t>
  </si>
  <si>
    <t>KÄYTTÖKATE % LIIKEVAIHDOSTA</t>
  </si>
  <si>
    <t>LIIKEVAIHTO JA KÄYTTÖPÄÄOMA/HENKILÖ</t>
  </si>
  <si>
    <t>Liikevaihto</t>
  </si>
  <si>
    <t>LIIKEVAIHTO/HENKILÖ JA KÄYTTÖPÄÄOMA/HENKILÖ 1000 €</t>
  </si>
  <si>
    <t xml:space="preserve"> TULOT - MENOT</t>
  </si>
  <si>
    <t>HUOM! ENNEN KAAVOJEN MUUTTAMISTA VAIHDA TOIMIALATAULUKKOON UUDEN VUODEN TIEDOT SARAKKEISIIN D -X.</t>
  </si>
  <si>
    <t>PIDÄ TAULUKON SARAKEMÄÄRÄ SAMANA TAI JOUDUT MUOKKAAMAAN HAKUALUETTA.</t>
  </si>
  <si>
    <t>Valittu tarkasteltava toimialasolu sininen ympyrä.</t>
  </si>
  <si>
    <t>Punainen ympyrä hakualueen alin rivi.</t>
  </si>
  <si>
    <t xml:space="preserve">YT5 Aloittavan yrityksen taloussuunnitelma </t>
  </si>
  <si>
    <t xml:space="preserve"> Tuet, Taulukko K3 tai Y3, Tulosennuste kohta 9</t>
  </si>
  <si>
    <t xml:space="preserve"> Kokonaismyynti 12 kk jaksolla, Taul. K3 tai Y3, Tulosennuste kohta 1</t>
  </si>
  <si>
    <t xml:space="preserve"> - yrityksen tuloveroprosentti</t>
  </si>
  <si>
    <t xml:space="preserve"> - pienhankinnat ja laitehankinnat käyttöikä alle 3 vuotta</t>
  </si>
  <si>
    <t>11.</t>
  </si>
  <si>
    <t>12.</t>
  </si>
  <si>
    <t>13.</t>
  </si>
  <si>
    <t>14.</t>
  </si>
  <si>
    <t>15.</t>
  </si>
  <si>
    <t>16.</t>
  </si>
  <si>
    <t>17.</t>
  </si>
  <si>
    <t>18.</t>
  </si>
  <si>
    <t>19.</t>
  </si>
  <si>
    <t>20.</t>
  </si>
  <si>
    <t>21.</t>
  </si>
  <si>
    <t>22.</t>
  </si>
  <si>
    <t>23.</t>
  </si>
  <si>
    <t>24.</t>
  </si>
  <si>
    <t>25.</t>
  </si>
  <si>
    <t>26.</t>
  </si>
  <si>
    <t>27.</t>
  </si>
  <si>
    <t>28.</t>
  </si>
  <si>
    <t>29.</t>
  </si>
  <si>
    <t>30.</t>
  </si>
  <si>
    <t>31.</t>
  </si>
  <si>
    <t>32.</t>
  </si>
  <si>
    <t>36.</t>
  </si>
  <si>
    <t>37.</t>
  </si>
  <si>
    <t>33.</t>
  </si>
  <si>
    <t>34.</t>
  </si>
  <si>
    <t>35.</t>
  </si>
  <si>
    <t xml:space="preserve"> 21. Matkakulut, matkakust. korvaukset</t>
  </si>
  <si>
    <t xml:space="preserve"> 22. Hallintop., toimistotarv., vakuutukset </t>
  </si>
  <si>
    <t xml:space="preserve"> 23. Lehdet, kirjat, jäsenmaksut</t>
  </si>
  <si>
    <t xml:space="preserve"> 24 .Tieto- ja rahaliikenteen kulut</t>
  </si>
  <si>
    <t xml:space="preserve"> 25. Muut kulut</t>
  </si>
  <si>
    <t xml:space="preserve"> 16. Toimitilakulut ilman vuokria ja vastikkeita</t>
  </si>
  <si>
    <t xml:space="preserve"> 17. Muut henkilöstökulut</t>
  </si>
  <si>
    <t xml:space="preserve"> 18. Työkone-/työajoneuvovak.maks., liikekäyttö</t>
  </si>
  <si>
    <t xml:space="preserve"> 20. Muut kone- ja laitekulut </t>
  </si>
  <si>
    <t xml:space="preserve"> - myyntihinta / yks. sis. arvonlisävero</t>
  </si>
  <si>
    <t xml:space="preserve"> - osto-/materiaalikustannus /yks. sis. alv</t>
  </si>
  <si>
    <t xml:space="preserve"> - ostokustannus alv 0 %/yks. sis. hävikki</t>
  </si>
  <si>
    <t xml:space="preserve"> - määrä (esim. laskutustunti)</t>
  </si>
  <si>
    <t xml:space="preserve"> - ostot yhteensä alv 0 %</t>
  </si>
  <si>
    <t xml:space="preserve"> - tuotteen liikevaihto </t>
  </si>
  <si>
    <t xml:space="preserve"> Keskimääräinen kate-% tuoteet 1 - 17</t>
  </si>
  <si>
    <t xml:space="preserve"> Keskimääräinen kate-% tuoteet 1 - 11</t>
  </si>
  <si>
    <t>Alv-% ka.</t>
  </si>
  <si>
    <t>5. Marg.</t>
  </si>
  <si>
    <t>11 marg,</t>
  </si>
  <si>
    <t>17 Marg.</t>
  </si>
  <si>
    <t xml:space="preserve"> Myyntituotot tuotteet 1 - 5</t>
  </si>
  <si>
    <t xml:space="preserve"> Liikevaihto tuotteet 1 - 5</t>
  </si>
  <si>
    <t xml:space="preserve"> Keskimääräinen kate-% tuotteet 1 - 5</t>
  </si>
  <si>
    <t xml:space="preserve"> Ainekäyttö suor./tarv. 1 - 17 alv 0 %</t>
  </si>
  <si>
    <t xml:space="preserve"> Ainekäyttö suor./tarv. 1 - 17 sis. Alv</t>
  </si>
  <si>
    <t xml:space="preserve"> Ainekäyttö suor./tarv. 1 - 11 sis. alv</t>
  </si>
  <si>
    <t xml:space="preserve"> Ainekäyttö suor./tarv. 1 - 5 sis. alv</t>
  </si>
  <si>
    <t>Käyttöpääoma/hlö/kk</t>
  </si>
  <si>
    <t>Liikevaihto/hlö</t>
  </si>
  <si>
    <t xml:space="preserve"> KASSA KUUKAUDEN LOPUSSA</t>
  </si>
  <si>
    <t xml:space="preserve"> 19. Atk- ja ohjelmistokulut</t>
  </si>
  <si>
    <t xml:space="preserve"> 20. Muut kone- ja laitekulut</t>
  </si>
  <si>
    <t xml:space="preserve"> 24. Tieto- ja rahaliikenteen kulut</t>
  </si>
  <si>
    <t xml:space="preserve"> 18. Työkone- ja työajoneuvokulut, liikekäyttö</t>
  </si>
  <si>
    <t xml:space="preserve"> 19. Atk- ja -ohjelmistokulut</t>
  </si>
  <si>
    <t>Työntekijöiden määrä keskimäärin</t>
  </si>
  <si>
    <t>Pvm.</t>
  </si>
  <si>
    <t>Tekijä</t>
  </si>
  <si>
    <t>Julkaistu</t>
  </si>
  <si>
    <t>Mihin</t>
  </si>
  <si>
    <t>Mitä</t>
  </si>
  <si>
    <t>AJ</t>
  </si>
  <si>
    <t>K3 ja Y3</t>
  </si>
  <si>
    <t>Lisätty rivi 61: Käyttöpääoman riittävyys</t>
  </si>
  <si>
    <t>Musitiinpanoalueelle kaikki solut mustia.</t>
  </si>
  <si>
    <t>K1 ja Y1</t>
  </si>
  <si>
    <t>Solut 50 G ja H: kaava poistettu</t>
  </si>
  <si>
    <t>E35 kaavaan Pyöristys</t>
  </si>
  <si>
    <t>rivi 79 ehdollinen muotoilu</t>
  </si>
  <si>
    <t>rivi 61 ehdollinen muotoilu</t>
  </si>
  <si>
    <t>rivi 88 ehdollinen muotoilu</t>
  </si>
  <si>
    <t>E33 - 35 Kaava Pyöristä</t>
  </si>
  <si>
    <t>C36 Siiretty kaava rahoitustarve = 0</t>
  </si>
  <si>
    <t>Tulostussivu 4: lisää muistiinpanoalue ja ohje</t>
  </si>
  <si>
    <t>Puunkorjuu</t>
  </si>
  <si>
    <t>02200</t>
  </si>
  <si>
    <t>K3 ja Y3, toimialataulu</t>
  </si>
  <si>
    <t>Lisätty 56 Puunkorjuu</t>
  </si>
  <si>
    <r>
      <rPr>
        <b/>
        <sz val="10"/>
        <color theme="0"/>
        <rFont val="Arial"/>
        <family val="2"/>
      </rPr>
      <t xml:space="preserve"> RAHOITUSTARVE</t>
    </r>
    <r>
      <rPr>
        <b/>
        <sz val="9"/>
        <color theme="0"/>
        <rFont val="Arial"/>
        <family val="2"/>
      </rPr>
      <t xml:space="preserve"> </t>
    </r>
    <r>
      <rPr>
        <sz val="9"/>
        <color theme="0"/>
        <rFont val="Arial"/>
        <family val="2"/>
      </rPr>
      <t>sis. arvonlisäveron</t>
    </r>
  </si>
  <si>
    <r>
      <t xml:space="preserve">Laina- ja osamaksulyhennykset yhteensä                      </t>
    </r>
    <r>
      <rPr>
        <sz val="9"/>
        <rFont val="Arial"/>
        <family val="2"/>
      </rPr>
      <t>(oltava  pienempi kuin kohta 11 Rahoitustulos)</t>
    </r>
  </si>
  <si>
    <t xml:space="preserve"> Myyntituotot suor./tarv. 1 - 11</t>
  </si>
  <si>
    <t xml:space="preserve"> Liikevaihto suor./tarv. 1 - 11</t>
  </si>
  <si>
    <t xml:space="preserve"> Ainekäyttö suor./tarv. 1 - 11 alv 0 %</t>
  </si>
  <si>
    <t xml:space="preserve"> Myyntituotot suor./tarv. 1 - 5</t>
  </si>
  <si>
    <t xml:space="preserve"> Liikevaihto suor./tarv. 1 - 5</t>
  </si>
  <si>
    <t xml:space="preserve"> Ainekäyttö suor./tarv. 1 - 5 alv 0 %</t>
  </si>
  <si>
    <t>LIIKEVAIHTO TILIKAUDELLA</t>
  </si>
  <si>
    <t>KOKONAISMYYNTI TILIKAUDELLA</t>
  </si>
  <si>
    <t>HJ</t>
  </si>
  <si>
    <t>Uudet värit ja muotoilujen fiksausta</t>
  </si>
  <si>
    <t xml:space="preserve"> Tuloverot ja kiinteistöverot</t>
  </si>
  <si>
    <t xml:space="preserve"> - laite- ja kalustovuokrat, leasingrahoitus kiinteällä kuukausimaksulla </t>
  </si>
  <si>
    <t xml:space="preserve"> - maksukuukaudet </t>
  </si>
  <si>
    <t xml:space="preserve"> - vuokra/vastike </t>
  </si>
  <si>
    <r>
      <t xml:space="preserve">Laina- ja osamaksulyhennykset yhteensä                         </t>
    </r>
    <r>
      <rPr>
        <sz val="9"/>
        <rFont val="Arial"/>
        <family val="2"/>
      </rPr>
      <t>(oltava  pienempi kuin kohta 11. Rahoitustulos)</t>
    </r>
  </si>
  <si>
    <t>Maa- ja metsätalouskoneiden valmistus</t>
  </si>
  <si>
    <t>Parturit ja kampaamot</t>
  </si>
  <si>
    <t xml:space="preserve"> Vähittäiskauppa</t>
  </si>
  <si>
    <t xml:space="preserve"> Muut palvelut</t>
  </si>
  <si>
    <t xml:space="preserve"> Rakentaminen</t>
  </si>
  <si>
    <t>Työntekijöiden rahapalkat brutto</t>
  </si>
  <si>
    <t>Työntekijöiden luontoisedut</t>
  </si>
  <si>
    <t>YEL-yrittäjien rahapalkat brutto</t>
  </si>
  <si>
    <t>YEL-yrittäjien luontoisedut</t>
  </si>
  <si>
    <t>HENKILÖSTÖN PALKAT JA TEHTÄVÄT</t>
  </si>
  <si>
    <t>Päivitetty tilastot ja HAKU</t>
  </si>
  <si>
    <t>Kone-ja autokuluihin lisätty sähkö, kaasu</t>
  </si>
  <si>
    <t>15.11.201</t>
  </si>
  <si>
    <t>AT2</t>
  </si>
  <si>
    <t>rivi 46 kaavaa korjattu</t>
  </si>
  <si>
    <t>Y2</t>
  </si>
  <si>
    <t>D20 kaava + vastaavat solut koko taulussa</t>
  </si>
  <si>
    <t xml:space="preserve">AT Lainat ja avustukset kaavassa virhe, ollut </t>
  </si>
  <si>
    <t>alusta asti.</t>
  </si>
  <si>
    <t>K1, Y1 rivi 20</t>
  </si>
  <si>
    <t>Alle 12 kk tilikausilla laski väärin.</t>
  </si>
  <si>
    <t>Tuote 6 alv:n peruste</t>
  </si>
  <si>
    <t>Tuote 5 alv myyntiimarginaali</t>
  </si>
  <si>
    <t>Myyntituotot</t>
  </si>
  <si>
    <t>Tuote 11 alv myyntiimarginaali</t>
  </si>
  <si>
    <t>Tuote 11 alv:n peruste</t>
  </si>
  <si>
    <t>Tuote 17 alv myyntiimarginaali</t>
  </si>
  <si>
    <t>Tuote 17 alv:n peruste</t>
  </si>
  <si>
    <t>Maksettava alv yhteensä</t>
  </si>
  <si>
    <t>Alv Tuott. 1 -17</t>
  </si>
  <si>
    <t xml:space="preserve"> - ostokustannus /yks.</t>
  </si>
  <si>
    <t xml:space="preserve"> Työsuhdeajoneuvojen kulut </t>
  </si>
  <si>
    <t xml:space="preserve">ARVONLISÄVERON MÄÄRÄ MYYNTI </t>
  </si>
  <si>
    <t>Käteismyynti, alv</t>
  </si>
  <si>
    <t>Laskutusmyynti, alv</t>
  </si>
  <si>
    <t>MYYNTI MAKSETTAVA ALV YHT.</t>
  </si>
  <si>
    <t xml:space="preserve"> Ainekäyttö myynnistä ALV 0 %, Taulukko K2 tai Y2. ei margin. Vero</t>
  </si>
  <si>
    <t>Tuote 6 käteisostot alv 0 % marginaalialv</t>
  </si>
  <si>
    <t>Tuotemyynti ilman marg.veroa</t>
  </si>
  <si>
    <t>Tuotteet Ainekäyttö-% ilman marg.veroa liikevaihdosta</t>
  </si>
  <si>
    <t>Ostojen %-osuus kokonaism.</t>
  </si>
  <si>
    <t>Kaikki ostot yhteensä</t>
  </si>
  <si>
    <t>Liikevaihto marginal. Tuotteet</t>
  </si>
  <si>
    <t>Liikev. ilman marg.verot tuotteet</t>
  </si>
  <si>
    <t>Ostot alv 0 % ilman marg.verot. tuotteet  tilikauden myynneistä</t>
  </si>
  <si>
    <t>Marginaaliverotettavat myynti yhteensä</t>
  </si>
  <si>
    <t>Ostot ilm. marg.verot tuotteita sis. Alv</t>
  </si>
  <si>
    <t xml:space="preserve"> Ainekäyttö sis. alv ei margin. Verotettavat</t>
  </si>
  <si>
    <t>Tuote/palvelu</t>
  </si>
  <si>
    <t xml:space="preserve"> Toimitilavuokrat</t>
  </si>
  <si>
    <t xml:space="preserve"> - polttoaineen/sähkön/kaasun kulutus</t>
  </si>
  <si>
    <t xml:space="preserve"> - polttoaineen (litra) / sähkön (kWh) / kaasun (kg) yksikköhinta</t>
  </si>
  <si>
    <t>TyEL-työntekijöiden ja TyEL-yrittäjien rahapalkat tilikaudella</t>
  </si>
  <si>
    <t xml:space="preserve"> Marginaaliverotettavat ostot</t>
  </si>
  <si>
    <t xml:space="preserve"> Ostot marginaaliverotettavasta myynnistä</t>
  </si>
  <si>
    <t>Lisätietoja</t>
  </si>
  <si>
    <t xml:space="preserve"> Aineet ja tarvikkeet</t>
  </si>
  <si>
    <t xml:space="preserve"> Ainekäyttö sis. alv yht. tuotteet 1 - 17</t>
  </si>
  <si>
    <t xml:space="preserve"> Ainekäyttö alv 0 % yht. tuotteet 1 - 17</t>
  </si>
  <si>
    <t xml:space="preserve"> Ainekäyttö sis. alv yht. tuotteet 1 - 11</t>
  </si>
  <si>
    <t xml:space="preserve"> Ainekäyttö alv 0%  yht. tuotteet 1 - 11</t>
  </si>
  <si>
    <t xml:space="preserve"> Ainekäyttö sis. alv yht. tuotteet 1 - 5</t>
  </si>
  <si>
    <t xml:space="preserve"> Ainekäyttö alv 0 % yht. tuotteet 1 - 5</t>
  </si>
  <si>
    <t>Otsikko</t>
  </si>
  <si>
    <t xml:space="preserve"> Muistiinpanot</t>
  </si>
  <si>
    <t xml:space="preserve"> Suorite 1</t>
  </si>
  <si>
    <t>KÄYTTÖOHJE</t>
  </si>
  <si>
    <t xml:space="preserve"> 1. rakennusten kirjanpitoarvo kauden alussa</t>
  </si>
  <si>
    <t xml:space="preserve"> - vuosipoisto rakennuksista euroa</t>
  </si>
  <si>
    <t xml:space="preserve"> - vuosipoisto koneista euroa</t>
  </si>
  <si>
    <t xml:space="preserve"> - vuosipoisto -%</t>
  </si>
  <si>
    <t xml:space="preserve"> 2. koneiden ja kaluston kirjanpitoarvo kauden alussa</t>
  </si>
  <si>
    <t xml:space="preserve"> - vuosipoisto euroa</t>
  </si>
  <si>
    <t xml:space="preserve"> - kirjanpitoarvo kauden lopussa</t>
  </si>
  <si>
    <t>4. aineettomat- ja kehitämisinv. Sis. Alv</t>
  </si>
  <si>
    <t>5. aineettomat- ja kehitämisinv. Alv 0</t>
  </si>
  <si>
    <t>Poistot yhteensä</t>
  </si>
  <si>
    <t>2. koneiden ja kaluston kirjanpitoarvo kauden alussa</t>
  </si>
  <si>
    <t>Lisätty poistot aineettomista ja kehittämisinvest,</t>
  </si>
  <si>
    <t>K3, Y3, aputaulut 1 ja 5</t>
  </si>
  <si>
    <t>E26 ja E30 kommentit korjattu</t>
  </si>
  <si>
    <t>27. kohta korjattu</t>
  </si>
  <si>
    <t>28. muutettu "Rekisteröintimaksu"</t>
  </si>
  <si>
    <t xml:space="preserve"> 1. Toimitilat ja liittymismaksut</t>
  </si>
  <si>
    <t>Leasingrahoituksen kulut (liikekäyttö), kun jäännösarvo on</t>
  </si>
  <si>
    <t xml:space="preserve"> - leasingkulut (kiinteä kk-maksu), kalustovuokrat</t>
  </si>
  <si>
    <t xml:space="preserve"> - laite- ja ohjelmavuokrat ja leasingit</t>
  </si>
  <si>
    <t xml:space="preserve"> - huolto ja korjaus</t>
  </si>
  <si>
    <t>Leasingrahoituskulut (liikekäyttö), kun jäännösarvo on</t>
  </si>
  <si>
    <t xml:space="preserve">Yrityksen perustamisen rekisteröintimaksu ja lainojen toimitusmaksut </t>
  </si>
  <si>
    <t xml:space="preserve"> Oma rahoitus</t>
  </si>
  <si>
    <t xml:space="preserve"> - kehittämisinvestoinnit sis.alv poistoprosentti</t>
  </si>
  <si>
    <t xml:space="preserve"> - aineettomat ja kehittämisinvest.alv 0 %, poistoprosentti</t>
  </si>
  <si>
    <t xml:space="preserve"> - kehittämisinvestoinnit sis.alv, poistoprosentti</t>
  </si>
  <si>
    <t>Taksiliikenne</t>
  </si>
  <si>
    <t>Henkilöaut.ja kevyiden moottoriajon. vähittäiskauppa</t>
  </si>
  <si>
    <t>Moottoriajoneuvojen osien ja varusteiden vähitt.kauppa</t>
  </si>
  <si>
    <t>Valintamyymälät (100 - 400 m2)</t>
  </si>
  <si>
    <t>Huoltamotoiminta</t>
  </si>
  <si>
    <t>Urheiluvälineiden ja polkupyörien vähittäiskauppa</t>
  </si>
  <si>
    <t>16.2%</t>
  </si>
  <si>
    <t>Kiinteistönvälitys</t>
  </si>
  <si>
    <t xml:space="preserve">Tieto- ja viestintätekn.laitteiden vähitt.kauppa erikoismyym. </t>
  </si>
  <si>
    <t xml:space="preserve"> - verottomat koneet/kalusto, liikearvo</t>
  </si>
  <si>
    <t xml:space="preserve"> - aineettomat ja kehittämisinvestoinnit alv 0 % poistoprosentti</t>
  </si>
  <si>
    <t xml:space="preserve">ENNUSTEYHTEENVETO </t>
  </si>
  <si>
    <t xml:space="preserve">Käyttöpääoman tarve kuukaudessa </t>
  </si>
  <si>
    <t>Vuoden 2023 lukumuutoksia myös aputaulukkoon</t>
  </si>
  <si>
    <t>Työntekijöiltä perittävä TyEL ja TVR-maksu</t>
  </si>
  <si>
    <t xml:space="preserve"> Auto- ja työkonekulut (alv-vähennyskelpoiset)</t>
  </si>
  <si>
    <t>YEL-yrittäjien rahapalkat</t>
  </si>
  <si>
    <t>Yrityksen ottamien lainojen lyhennys ja korko</t>
  </si>
  <si>
    <t xml:space="preserve">Osamaksurahoituksen vuosikustannukset </t>
  </si>
  <si>
    <t xml:space="preserve">Muut henkilösivukulut </t>
  </si>
  <si>
    <t xml:space="preserve">Muut henkilöstökulut </t>
  </si>
  <si>
    <t xml:space="preserve">Toimitilakustannukset </t>
  </si>
  <si>
    <t xml:space="preserve">Ajoneuvokulut, liikekäyttö </t>
  </si>
  <si>
    <t xml:space="preserve">Atk-laite- ja -ohjelmakulut </t>
  </si>
  <si>
    <t>Muut kone- ja kalustokulut, liikekäyttö</t>
  </si>
  <si>
    <t xml:space="preserve">Matkakulut </t>
  </si>
  <si>
    <t xml:space="preserve">Matkakustannusten korvaukset </t>
  </si>
  <si>
    <t xml:space="preserve">Edustuskulut </t>
  </si>
  <si>
    <t xml:space="preserve">Markkinointikulut </t>
  </si>
  <si>
    <t xml:space="preserve">Tutkimus- ja tuotekehityskulut </t>
  </si>
  <si>
    <t xml:space="preserve">Hallintopalvelut </t>
  </si>
  <si>
    <t xml:space="preserve">Tiedonhankinta </t>
  </si>
  <si>
    <t>Tieto- ja rahaliikenteen kulut</t>
  </si>
  <si>
    <t xml:space="preserve">Vakuutusmaksut </t>
  </si>
  <si>
    <t>Toimistotarvikkeet</t>
  </si>
  <si>
    <t>Kokous- ja neuvottelukulut</t>
  </si>
  <si>
    <t>Työsuhdeajoneuvojen kustannukset</t>
  </si>
  <si>
    <t xml:space="preserve">YEL-yrittäjien rahapalkat </t>
  </si>
  <si>
    <t xml:space="preserve">Eläkekulut </t>
  </si>
  <si>
    <t>Muut henkilösivukulut</t>
  </si>
  <si>
    <t>Muut henkilöstökulut</t>
  </si>
  <si>
    <t xml:space="preserve">Ajoneuvo- ja työkonekulut, liikekäyttö </t>
  </si>
  <si>
    <t xml:space="preserve">Atk-laitekulut ja ohjelmistokulut </t>
  </si>
  <si>
    <t xml:space="preserve"> Matkakulut</t>
  </si>
  <si>
    <t>Edustuskulut</t>
  </si>
  <si>
    <t>Markkinointikulut</t>
  </si>
  <si>
    <t>Tutkimus- ja tuotekehityskulut</t>
  </si>
  <si>
    <t>Hallintopalvelut</t>
  </si>
  <si>
    <t>Tiedonhankinta</t>
  </si>
  <si>
    <t>Vakuutusmaksut</t>
  </si>
  <si>
    <t xml:space="preserve">Toimistotarvikkeet </t>
  </si>
  <si>
    <t xml:space="preserve">Kokous- ja neuvottelukulut </t>
  </si>
  <si>
    <t xml:space="preserve">Työsuhdeajoneuvojen kustannukset </t>
  </si>
  <si>
    <t xml:space="preserve"> Atk-laite- ja -ohjelmakulut</t>
  </si>
  <si>
    <t xml:space="preserve"> Muut kone- ja kalustokulut, liikekäyttö</t>
  </si>
  <si>
    <t>JOS TOIMIALARIVEJÄ VOIDAAN LISÄTÄ KAAVOJA MUUTTAMATTA RIVILLE 78 SAAKKA. JOS RIVEJÄ VÄHENNETÄÄN, EI KAAVOJA TARVITSE MUUTTAA.</t>
  </si>
  <si>
    <t>Lahjatavaroiden ja askartelutarvikkeiden kauppa</t>
  </si>
  <si>
    <t xml:space="preserve"> - toimitilojen rakentaminen</t>
  </si>
  <si>
    <t xml:space="preserve"> - tontit, liittymät, toimitilaosakkeet</t>
  </si>
  <si>
    <t xml:space="preserve"> - toimitilat</t>
  </si>
  <si>
    <t xml:space="preserve"> Tietoliikennekulut</t>
  </si>
  <si>
    <t xml:space="preserve"> - laki- ja konsultointipalvelut, muut hallintokulut, viranomaismaksut/-luvat</t>
  </si>
  <si>
    <t xml:space="preserve"> Rahaliikennekulut</t>
  </si>
  <si>
    <t xml:space="preserve"> Taulukosta K1 tai YP1 kohta 21</t>
  </si>
  <si>
    <t xml:space="preserve"> Ammattinimike</t>
  </si>
  <si>
    <t>Marginaaliverotettavat tuotteet</t>
  </si>
  <si>
    <t>Vaihto-omaisuus-%</t>
  </si>
  <si>
    <t>FINNVERAN ASIAKKAIDEN TUNNUSLUKUJA VUOSILTA 2022 - 2020</t>
  </si>
  <si>
    <t xml:space="preserve"> - muut markkinointikulut </t>
  </si>
  <si>
    <t xml:space="preserve"> - tapahtumamarkkinointi, messut, näyttelyt yms.</t>
  </si>
  <si>
    <t>Laskennallinen sivukuluvelka % lomapalkkavelasta</t>
  </si>
  <si>
    <t>Päivitys 2024 -19.12.23</t>
  </si>
  <si>
    <t>Yritystulkin tarjoavat</t>
  </si>
  <si>
    <t>Iisalmi, Lapinlahti, Sonkajärvi, Vieremä</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</si>
</sst>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0\ &quot;€&quot;;[Red]\-#,##0\ &quot;€&quot;"/>
    <numFmt numFmtId="8" formatCode="#,##0.00\ &quot;€&quot;;[Red]\-#,##0.00\ &quot;€&quot;"/>
    <numFmt numFmtId="164" formatCode="0.0\ %"/>
    <numFmt numFmtId="165" formatCode="#,##0_ ;[Red]\-#,##0\ "/>
    <numFmt numFmtId="166" formatCode="0.0"/>
    <numFmt numFmtId="167" formatCode="#,##0.0"/>
    <numFmt numFmtId="168" formatCode="#,##0;[Red]#,##0"/>
    <numFmt numFmtId="169" formatCode="0;[Red]0"/>
    <numFmt numFmtId="170" formatCode="#,##0\ &quot;€&quot;"/>
    <numFmt numFmtId="171" formatCode="0.0;[Red]0.0"/>
    <numFmt numFmtId="172" formatCode="#,##0\ _€"/>
    <numFmt numFmtId="173" formatCode="#,##0\ [$€-40B]"/>
    <numFmt numFmtId="174" formatCode="#,##0.0\ &quot;€&quot;"/>
  </numFmts>
  <fonts count="125">
    <font>
      <sz val="10"/>
      <name val="Arial"/>
    </font>
    <font>
      <sz val="10"/>
      <color theme="1"/>
      <name val="Arial"/>
      <family val="2"/>
    </font>
    <font>
      <sz val="10"/>
      <color theme="1"/>
      <name val="Arial"/>
      <family val="2"/>
    </font>
    <font>
      <sz val="11"/>
      <color theme="1"/>
      <name val="Calibri"/>
      <family val="2"/>
      <scheme val="minor"/>
    </font>
    <font>
      <sz val="10"/>
      <name val="Arial"/>
      <family val="2"/>
    </font>
    <font>
      <b/>
      <sz val="8"/>
      <name val="Arial"/>
      <family val="2"/>
    </font>
    <font>
      <sz val="10"/>
      <name val="Arial"/>
      <family val="2"/>
    </font>
    <font>
      <b/>
      <sz val="10"/>
      <name val="Arial"/>
      <family val="2"/>
    </font>
    <font>
      <sz val="8"/>
      <name val="Arial"/>
      <family val="2"/>
    </font>
    <font>
      <b/>
      <sz val="12"/>
      <name val="Arial"/>
      <family val="2"/>
    </font>
    <font>
      <b/>
      <i/>
      <sz val="8"/>
      <name val="Arial"/>
      <family val="2"/>
    </font>
    <font>
      <u/>
      <sz val="10"/>
      <color indexed="12"/>
      <name val="Arial"/>
      <family val="2"/>
    </font>
    <font>
      <b/>
      <sz val="10"/>
      <color indexed="10"/>
      <name val="Arial"/>
      <family val="2"/>
    </font>
    <font>
      <b/>
      <i/>
      <sz val="8"/>
      <color indexed="12"/>
      <name val="Arial"/>
      <family val="2"/>
    </font>
    <font>
      <b/>
      <sz val="10"/>
      <color indexed="12"/>
      <name val="Arial"/>
      <family val="2"/>
    </font>
    <font>
      <b/>
      <sz val="9"/>
      <name val="Arial"/>
      <family val="2"/>
    </font>
    <font>
      <sz val="9"/>
      <name val="Arial"/>
      <family val="2"/>
    </font>
    <font>
      <b/>
      <i/>
      <sz val="10"/>
      <color indexed="8"/>
      <name val="Arial"/>
      <family val="2"/>
    </font>
    <font>
      <b/>
      <i/>
      <sz val="8"/>
      <color indexed="8"/>
      <name val="Arial"/>
      <family val="2"/>
    </font>
    <font>
      <sz val="9"/>
      <color indexed="81"/>
      <name val="Tahoma"/>
      <family val="2"/>
    </font>
    <font>
      <b/>
      <sz val="9"/>
      <color indexed="81"/>
      <name val="Tahoma"/>
      <family val="2"/>
    </font>
    <font>
      <i/>
      <sz val="8"/>
      <name val="Arial"/>
      <family val="2"/>
    </font>
    <font>
      <b/>
      <u/>
      <sz val="10"/>
      <color indexed="12"/>
      <name val="Arial"/>
      <family val="2"/>
    </font>
    <font>
      <b/>
      <u/>
      <sz val="12"/>
      <color indexed="12"/>
      <name val="Arial"/>
      <family val="2"/>
    </font>
    <font>
      <sz val="10"/>
      <color indexed="30"/>
      <name val="Arial"/>
      <family val="2"/>
    </font>
    <font>
      <sz val="10"/>
      <color indexed="10"/>
      <name val="Arial"/>
      <family val="2"/>
    </font>
    <font>
      <b/>
      <sz val="12"/>
      <color indexed="9"/>
      <name val="Arial"/>
      <family val="2"/>
    </font>
    <font>
      <b/>
      <sz val="14"/>
      <color indexed="9"/>
      <name val="Arial"/>
      <family val="2"/>
    </font>
    <font>
      <sz val="8"/>
      <name val="Arial"/>
      <family val="2"/>
    </font>
    <font>
      <b/>
      <u/>
      <sz val="10"/>
      <name val="Arial"/>
      <family val="2"/>
    </font>
    <font>
      <b/>
      <i/>
      <sz val="10"/>
      <name val="Arial"/>
      <family val="2"/>
    </font>
    <font>
      <b/>
      <sz val="8"/>
      <color indexed="12"/>
      <name val="Arial"/>
      <family val="2"/>
    </font>
    <font>
      <sz val="8"/>
      <color indexed="12"/>
      <name val="Arial"/>
      <family val="2"/>
    </font>
    <font>
      <sz val="10"/>
      <name val="Arial"/>
      <family val="2"/>
    </font>
    <font>
      <b/>
      <i/>
      <sz val="11"/>
      <name val="Arial"/>
      <family val="2"/>
    </font>
    <font>
      <sz val="16"/>
      <name val="Arial"/>
      <family val="2"/>
    </font>
    <font>
      <sz val="11"/>
      <name val="Arial"/>
      <family val="2"/>
    </font>
    <font>
      <sz val="11"/>
      <color indexed="18"/>
      <name val="Arial"/>
      <family val="2"/>
    </font>
    <font>
      <sz val="10"/>
      <color indexed="18"/>
      <name val="Arial"/>
      <family val="2"/>
    </font>
    <font>
      <sz val="10"/>
      <color indexed="12"/>
      <name val="Arial"/>
      <family val="2"/>
    </font>
    <font>
      <sz val="10"/>
      <name val="Verdana"/>
      <family val="2"/>
    </font>
    <font>
      <sz val="9"/>
      <color indexed="18"/>
      <name val="Arial"/>
      <family val="2"/>
    </font>
    <font>
      <i/>
      <sz val="9"/>
      <name val="Arial"/>
      <family val="2"/>
    </font>
    <font>
      <i/>
      <sz val="12"/>
      <color indexed="18"/>
      <name val="Arial"/>
      <family val="2"/>
    </font>
    <font>
      <i/>
      <sz val="10"/>
      <name val="Arial"/>
      <family val="2"/>
    </font>
    <font>
      <i/>
      <sz val="9"/>
      <color indexed="18"/>
      <name val="Arial"/>
      <family val="2"/>
    </font>
    <font>
      <b/>
      <sz val="9"/>
      <color indexed="18"/>
      <name val="Arial"/>
      <family val="2"/>
    </font>
    <font>
      <b/>
      <u/>
      <sz val="8"/>
      <name val="Arial"/>
      <family val="2"/>
    </font>
    <font>
      <b/>
      <sz val="9"/>
      <color indexed="10"/>
      <name val="Arial"/>
      <family val="2"/>
    </font>
    <font>
      <strike/>
      <sz val="10"/>
      <name val="Arial"/>
      <family val="2"/>
    </font>
    <font>
      <b/>
      <sz val="11"/>
      <name val="Arial"/>
      <family val="2"/>
    </font>
    <font>
      <b/>
      <sz val="10"/>
      <color rgb="FFFF0000"/>
      <name val="Arial"/>
      <family val="2"/>
    </font>
    <font>
      <b/>
      <sz val="9"/>
      <color rgb="FFFF0000"/>
      <name val="Arial"/>
      <family val="2"/>
    </font>
    <font>
      <b/>
      <sz val="9"/>
      <color rgb="FFFFFFFF"/>
      <name val="Verdana"/>
      <family val="2"/>
    </font>
    <font>
      <sz val="9"/>
      <color rgb="FF000080"/>
      <name val="Arial"/>
      <family val="2"/>
    </font>
    <font>
      <sz val="10"/>
      <color rgb="FFFF0000"/>
      <name val="Arial"/>
      <family val="2"/>
    </font>
    <font>
      <sz val="10"/>
      <color theme="1"/>
      <name val="Verdana"/>
      <family val="2"/>
    </font>
    <font>
      <b/>
      <sz val="12"/>
      <color theme="1"/>
      <name val="Verdana"/>
      <family val="2"/>
    </font>
    <font>
      <b/>
      <sz val="10"/>
      <color theme="1"/>
      <name val="Verdana"/>
      <family val="2"/>
    </font>
    <font>
      <sz val="12"/>
      <color rgb="FFFF0000"/>
      <name val="Arial"/>
      <family val="2"/>
    </font>
    <font>
      <i/>
      <sz val="9"/>
      <color rgb="FF000080"/>
      <name val="Arial"/>
      <family val="2"/>
    </font>
    <font>
      <b/>
      <sz val="8"/>
      <color rgb="FF1F497D"/>
      <name val="Arial"/>
      <family val="2"/>
    </font>
    <font>
      <i/>
      <sz val="9"/>
      <color rgb="FF0070C0"/>
      <name val="Arial"/>
      <family val="2"/>
    </font>
    <font>
      <b/>
      <i/>
      <sz val="16"/>
      <color theme="3"/>
      <name val="Calibri"/>
      <family val="2"/>
      <scheme val="minor"/>
    </font>
    <font>
      <b/>
      <sz val="14"/>
      <color theme="3"/>
      <name val="Calibri"/>
      <family val="2"/>
      <scheme val="minor"/>
    </font>
    <font>
      <b/>
      <i/>
      <sz val="14"/>
      <color theme="3"/>
      <name val="Calibri"/>
      <family val="2"/>
      <scheme val="minor"/>
    </font>
    <font>
      <b/>
      <sz val="10"/>
      <color theme="3"/>
      <name val="Arial"/>
      <family val="2"/>
    </font>
    <font>
      <sz val="9"/>
      <color rgb="FFFF0000"/>
      <name val="Arial"/>
      <family val="2"/>
    </font>
    <font>
      <b/>
      <sz val="10"/>
      <color theme="1"/>
      <name val="Arial"/>
      <family val="2"/>
    </font>
    <font>
      <b/>
      <sz val="10"/>
      <color rgb="FF00B0F0"/>
      <name val="Arial"/>
      <family val="2"/>
    </font>
    <font>
      <b/>
      <sz val="8"/>
      <color indexed="8"/>
      <name val="Arial"/>
      <family val="2"/>
    </font>
    <font>
      <sz val="10"/>
      <color theme="5"/>
      <name val="Arial"/>
      <family val="2"/>
    </font>
    <font>
      <sz val="10"/>
      <color rgb="FF0053A3"/>
      <name val="Arial"/>
      <family val="2"/>
    </font>
    <font>
      <b/>
      <sz val="10"/>
      <color theme="5"/>
      <name val="Arial"/>
      <family val="2"/>
    </font>
    <font>
      <sz val="11"/>
      <color indexed="8"/>
      <name val="Calibri"/>
      <family val="2"/>
      <scheme val="minor"/>
    </font>
    <font>
      <sz val="11"/>
      <name val="Calibri"/>
      <family val="2"/>
      <scheme val="minor"/>
    </font>
    <font>
      <b/>
      <sz val="11"/>
      <color theme="0"/>
      <name val="Calibri"/>
      <family val="2"/>
      <scheme val="minor"/>
    </font>
    <font>
      <b/>
      <sz val="11"/>
      <color theme="1"/>
      <name val="Calibri"/>
      <family val="2"/>
      <scheme val="minor"/>
    </font>
    <font>
      <b/>
      <sz val="11"/>
      <color indexed="8"/>
      <name val="Calibri"/>
      <family val="2"/>
      <scheme val="minor"/>
    </font>
    <font>
      <b/>
      <sz val="11"/>
      <color indexed="9"/>
      <name val="Calibri"/>
      <family val="2"/>
      <scheme val="minor"/>
    </font>
    <font>
      <sz val="12"/>
      <name val="Calibri"/>
      <family val="2"/>
      <scheme val="minor"/>
    </font>
    <font>
      <b/>
      <sz val="12"/>
      <color rgb="FFFF0000"/>
      <name val="Calibri"/>
      <family val="2"/>
      <scheme val="minor"/>
    </font>
    <font>
      <b/>
      <sz val="10"/>
      <color theme="1"/>
      <name val="Calibri"/>
      <family val="2"/>
      <scheme val="minor"/>
    </font>
    <font>
      <b/>
      <sz val="9"/>
      <color theme="1"/>
      <name val="Calibri"/>
      <family val="2"/>
      <scheme val="minor"/>
    </font>
    <font>
      <sz val="10"/>
      <color theme="1"/>
      <name val="Calibri"/>
      <family val="2"/>
      <scheme val="minor"/>
    </font>
    <font>
      <b/>
      <sz val="12"/>
      <color theme="1"/>
      <name val="Calibri"/>
      <family val="2"/>
      <scheme val="minor"/>
    </font>
    <font>
      <sz val="10"/>
      <name val="Calibri"/>
      <family val="2"/>
      <scheme val="minor"/>
    </font>
    <font>
      <b/>
      <sz val="12"/>
      <color rgb="FFFF0000"/>
      <name val="Arial"/>
      <family val="2"/>
    </font>
    <font>
      <b/>
      <sz val="11"/>
      <color theme="1"/>
      <name val="Arial"/>
      <family val="2"/>
    </font>
    <font>
      <b/>
      <sz val="9"/>
      <color theme="1"/>
      <name val="Arial"/>
      <family val="2"/>
    </font>
    <font>
      <b/>
      <sz val="8"/>
      <color theme="1"/>
      <name val="Arial"/>
      <family val="2"/>
    </font>
    <font>
      <sz val="10"/>
      <name val="Century Gothic"/>
      <family val="2"/>
    </font>
    <font>
      <u/>
      <sz val="8"/>
      <color indexed="12"/>
      <name val="Arial"/>
      <family val="2"/>
    </font>
    <font>
      <b/>
      <u/>
      <sz val="8"/>
      <color indexed="12"/>
      <name val="Arial"/>
      <family val="2"/>
    </font>
    <font>
      <sz val="11"/>
      <color rgb="FFFF0000"/>
      <name val="Calibri"/>
      <family val="2"/>
      <scheme val="minor"/>
    </font>
    <font>
      <sz val="10"/>
      <color indexed="81"/>
      <name val="Tahoma"/>
      <family val="2"/>
    </font>
    <font>
      <b/>
      <sz val="10"/>
      <color indexed="81"/>
      <name val="Tahoma"/>
      <family val="2"/>
    </font>
    <font>
      <sz val="9"/>
      <name val="Tahoma"/>
      <family val="2"/>
    </font>
    <font>
      <sz val="9"/>
      <color theme="1"/>
      <name val="Arial"/>
      <family val="2"/>
    </font>
    <font>
      <b/>
      <sz val="8"/>
      <color theme="0"/>
      <name val="Arial"/>
      <family val="2"/>
    </font>
    <font>
      <sz val="10"/>
      <color theme="0"/>
      <name val="Arial"/>
      <family val="2"/>
    </font>
    <font>
      <b/>
      <sz val="10"/>
      <color theme="0"/>
      <name val="Calibri"/>
      <family val="2"/>
      <scheme val="minor"/>
    </font>
    <font>
      <b/>
      <sz val="10"/>
      <color indexed="9"/>
      <name val="Calibri"/>
      <family val="2"/>
      <scheme val="minor"/>
    </font>
    <font>
      <b/>
      <sz val="9"/>
      <color theme="1"/>
      <name val="Verdana"/>
      <family val="2"/>
    </font>
    <font>
      <sz val="9"/>
      <name val="Calibri"/>
      <family val="2"/>
      <scheme val="minor"/>
    </font>
    <font>
      <sz val="9"/>
      <color indexed="8"/>
      <name val="Calibri"/>
      <family val="2"/>
      <scheme val="minor"/>
    </font>
    <font>
      <b/>
      <sz val="10"/>
      <color theme="0"/>
      <name val="Verdana"/>
      <family val="2"/>
    </font>
    <font>
      <b/>
      <sz val="9"/>
      <color theme="0"/>
      <name val="Calibri"/>
      <family val="2"/>
      <scheme val="minor"/>
    </font>
    <font>
      <sz val="10"/>
      <color indexed="8"/>
      <name val="Tahoma"/>
      <family val="2"/>
    </font>
    <font>
      <b/>
      <sz val="10"/>
      <color rgb="FF0070C0"/>
      <name val="Arial"/>
      <family val="2"/>
    </font>
    <font>
      <b/>
      <sz val="14"/>
      <name val="Arial"/>
      <family val="2"/>
    </font>
    <font>
      <b/>
      <sz val="10"/>
      <color theme="0"/>
      <name val="Arial"/>
      <family val="2"/>
    </font>
    <font>
      <b/>
      <sz val="12"/>
      <color theme="0"/>
      <name val="Arial"/>
      <family val="2"/>
    </font>
    <font>
      <b/>
      <sz val="9"/>
      <color theme="0"/>
      <name val="Arial"/>
      <family val="2"/>
    </font>
    <font>
      <sz val="9"/>
      <color theme="0"/>
      <name val="Arial"/>
      <family val="2"/>
    </font>
    <font>
      <sz val="11"/>
      <color rgb="FF000000"/>
      <name val="Calibri"/>
      <family val="2"/>
    </font>
    <font>
      <b/>
      <sz val="11"/>
      <color theme="0"/>
      <name val="Arial"/>
      <family val="2"/>
    </font>
    <font>
      <i/>
      <sz val="9"/>
      <color theme="1"/>
      <name val="Arial"/>
      <family val="2"/>
    </font>
    <font>
      <b/>
      <sz val="12"/>
      <color theme="0"/>
      <name val="Calibri"/>
      <family val="2"/>
      <scheme val="minor"/>
    </font>
    <font>
      <b/>
      <sz val="14"/>
      <color theme="1"/>
      <name val="Calibri"/>
      <family val="2"/>
      <scheme val="minor"/>
    </font>
    <font>
      <b/>
      <sz val="9"/>
      <color indexed="12"/>
      <name val="Arial"/>
      <family val="2"/>
    </font>
    <font>
      <b/>
      <sz val="16"/>
      <name val="Arial"/>
      <family val="2"/>
    </font>
    <font>
      <b/>
      <i/>
      <sz val="8"/>
      <color theme="1"/>
      <name val="Arial"/>
      <family val="2"/>
    </font>
    <font>
      <b/>
      <i/>
      <sz val="10"/>
      <color theme="1"/>
      <name val="Arial"/>
      <family val="2"/>
    </font>
    <font>
      <sz val="12"/>
      <name val="Arial"/>
      <family val="2"/>
    </font>
  </fonts>
  <fills count="33">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00"/>
        <bgColor indexed="64"/>
      </patternFill>
    </fill>
    <fill>
      <patternFill patternType="solid">
        <fgColor rgb="FFFFFFCC"/>
        <bgColor indexed="64"/>
      </patternFill>
    </fill>
    <fill>
      <patternFill patternType="solid">
        <fgColor theme="0"/>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theme="0"/>
        <bgColor indexed="46"/>
      </patternFill>
    </fill>
    <fill>
      <patternFill patternType="solid">
        <fgColor them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2" tint="-0.249977111117893"/>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bgColor indexed="64"/>
      </patternFill>
    </fill>
    <fill>
      <patternFill patternType="solid">
        <fgColor theme="9"/>
        <bgColor indexed="64"/>
      </patternFill>
    </fill>
    <fill>
      <patternFill patternType="solid">
        <fgColor rgb="FF0152A1"/>
        <bgColor indexed="64"/>
      </patternFill>
    </fill>
    <fill>
      <patternFill patternType="solid">
        <fgColor rgb="FF0152A1"/>
        <bgColor indexed="21"/>
      </patternFill>
    </fill>
    <fill>
      <patternFill patternType="solid">
        <fgColor rgb="FF0152A1"/>
        <bgColor indexed="13"/>
      </patternFill>
    </fill>
    <fill>
      <patternFill patternType="solid">
        <fgColor theme="4" tint="0.59999389629810485"/>
        <bgColor indexed="64"/>
      </patternFill>
    </fill>
    <fill>
      <patternFill patternType="solid">
        <fgColor theme="0" tint="-0.14996795556505021"/>
        <bgColor indexed="64"/>
      </patternFill>
    </fill>
  </fills>
  <borders count="197">
    <border>
      <left/>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35"/>
      </top>
      <bottom style="thin">
        <color indexed="35"/>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35"/>
      </top>
      <bottom/>
      <diagonal/>
    </border>
    <border>
      <left style="thin">
        <color indexed="64"/>
      </left>
      <right style="thin">
        <color indexed="64"/>
      </right>
      <top/>
      <bottom style="thin">
        <color indexed="35"/>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rgb="FF99CCFF"/>
      </top>
      <bottom style="thin">
        <color rgb="FF99CCFF"/>
      </bottom>
      <diagonal/>
    </border>
    <border>
      <left style="medium">
        <color indexed="64"/>
      </left>
      <right style="medium">
        <color indexed="64"/>
      </right>
      <top style="thin">
        <color rgb="FF99CCFF"/>
      </top>
      <bottom style="thin">
        <color rgb="FF99CCFF"/>
      </bottom>
      <diagonal/>
    </border>
    <border>
      <left/>
      <right/>
      <top style="thin">
        <color rgb="FF99CCFF"/>
      </top>
      <bottom style="thin">
        <color rgb="FF99CCFF"/>
      </bottom>
      <diagonal/>
    </border>
    <border>
      <left/>
      <right style="medium">
        <color indexed="64"/>
      </right>
      <top style="thin">
        <color rgb="FF99CCFF"/>
      </top>
      <bottom style="thin">
        <color rgb="FF99CCFF"/>
      </bottom>
      <diagonal/>
    </border>
    <border>
      <left style="thin">
        <color indexed="64"/>
      </left>
      <right/>
      <top style="thin">
        <color rgb="FF99CCFF"/>
      </top>
      <bottom style="thin">
        <color rgb="FF99CCFF"/>
      </bottom>
      <diagonal/>
    </border>
    <border>
      <left style="medium">
        <color indexed="64"/>
      </left>
      <right/>
      <top style="thin">
        <color rgb="FF99CCFF"/>
      </top>
      <bottom style="thin">
        <color rgb="FF99CCFF"/>
      </bottom>
      <diagonal/>
    </border>
    <border>
      <left style="medium">
        <color indexed="64"/>
      </left>
      <right/>
      <top style="medium">
        <color theme="3" tint="0.79998168889431442"/>
      </top>
      <bottom style="medium">
        <color theme="3" tint="0.79998168889431442"/>
      </bottom>
      <diagonal/>
    </border>
    <border>
      <left/>
      <right/>
      <top style="medium">
        <color theme="3" tint="0.79998168889431442"/>
      </top>
      <bottom style="medium">
        <color theme="3" tint="0.79998168889431442"/>
      </bottom>
      <diagonal/>
    </border>
    <border>
      <left style="thin">
        <color indexed="64"/>
      </left>
      <right style="thin">
        <color indexed="64"/>
      </right>
      <top style="medium">
        <color theme="3" tint="0.79998168889431442"/>
      </top>
      <bottom style="medium">
        <color theme="3" tint="0.79998168889431442"/>
      </bottom>
      <diagonal/>
    </border>
    <border>
      <left style="medium">
        <color indexed="64"/>
      </left>
      <right/>
      <top/>
      <bottom style="thin">
        <color theme="3" tint="0.59996337778862885"/>
      </bottom>
      <diagonal/>
    </border>
    <border>
      <left/>
      <right style="thin">
        <color indexed="64"/>
      </right>
      <top style="medium">
        <color theme="3" tint="0.79998168889431442"/>
      </top>
      <bottom style="thin">
        <color theme="3" tint="0.59996337778862885"/>
      </bottom>
      <diagonal/>
    </border>
    <border>
      <left style="thin">
        <color indexed="64"/>
      </left>
      <right style="thin">
        <color indexed="64"/>
      </right>
      <top style="medium">
        <color theme="3" tint="0.79998168889431442"/>
      </top>
      <bottom style="thin">
        <color theme="3" tint="0.59996337778862885"/>
      </bottom>
      <diagonal/>
    </border>
    <border>
      <left style="medium">
        <color indexed="64"/>
      </left>
      <right/>
      <top style="thin">
        <color theme="3" tint="0.59996337778862885"/>
      </top>
      <bottom style="medium">
        <color indexed="64"/>
      </bottom>
      <diagonal/>
    </border>
    <border>
      <left style="thin">
        <color indexed="64"/>
      </left>
      <right style="thin">
        <color indexed="64"/>
      </right>
      <top style="thin">
        <color theme="3" tint="0.59996337778862885"/>
      </top>
      <bottom style="medium">
        <color indexed="64"/>
      </bottom>
      <diagonal/>
    </border>
    <border>
      <left/>
      <right style="medium">
        <color indexed="64"/>
      </right>
      <top style="thin">
        <color theme="3" tint="0.59996337778862885"/>
      </top>
      <bottom style="medium">
        <color indexed="64"/>
      </bottom>
      <diagonal/>
    </border>
    <border>
      <left/>
      <right style="thin">
        <color indexed="64"/>
      </right>
      <top style="thin">
        <color theme="3" tint="0.59996337778862885"/>
      </top>
      <bottom style="medium">
        <color indexed="64"/>
      </bottom>
      <diagonal/>
    </border>
    <border>
      <left/>
      <right style="thin">
        <color indexed="64"/>
      </right>
      <top style="thin">
        <color theme="4" tint="0.59996337778862885"/>
      </top>
      <bottom style="thin">
        <color theme="4" tint="0.59996337778862885"/>
      </bottom>
      <diagonal/>
    </border>
    <border>
      <left style="hair">
        <color indexed="8"/>
      </left>
      <right style="hair">
        <color indexed="8"/>
      </right>
      <top/>
      <bottom/>
      <diagonal/>
    </border>
    <border>
      <left style="hair">
        <color indexed="8"/>
      </left>
      <right style="thin">
        <color indexed="64"/>
      </right>
      <top/>
      <bottom/>
      <diagonal/>
    </border>
    <border>
      <left style="hair">
        <color indexed="8"/>
      </left>
      <right style="hair">
        <color indexed="8"/>
      </right>
      <top/>
      <bottom style="thin">
        <color indexed="64"/>
      </bottom>
      <diagonal/>
    </border>
    <border>
      <left style="hair">
        <color indexed="8"/>
      </left>
      <right style="thin">
        <color indexed="64"/>
      </right>
      <top/>
      <bottom style="thin">
        <color indexed="64"/>
      </bottom>
      <diagonal/>
    </border>
    <border>
      <left style="hair">
        <color indexed="8"/>
      </left>
      <right/>
      <top/>
      <bottom style="thin">
        <color indexed="64"/>
      </bottom>
      <diagonal/>
    </border>
    <border>
      <left style="hair">
        <color indexed="8"/>
      </left>
      <right/>
      <top/>
      <bottom/>
      <diagonal/>
    </border>
    <border>
      <left/>
      <right/>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style="thin">
        <color theme="0" tint="-0.34998626667073579"/>
      </left>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34998626667073579"/>
      </left>
      <right style="medium">
        <color theme="0" tint="-0.34998626667073579"/>
      </right>
      <top/>
      <bottom/>
      <diagonal/>
    </border>
    <border>
      <left style="medium">
        <color theme="0" tint="-0.34998626667073579"/>
      </left>
      <right style="thin">
        <color theme="0" tint="-0.34998626667073579"/>
      </right>
      <top/>
      <bottom/>
      <diagonal/>
    </border>
    <border>
      <left/>
      <right style="medium">
        <color theme="0" tint="-0.34998626667073579"/>
      </right>
      <top/>
      <bottom/>
      <diagonal/>
    </border>
    <border>
      <left style="medium">
        <color theme="0" tint="-0.34998626667073579"/>
      </left>
      <right style="medium">
        <color theme="0" tint="-0.34998626667073579"/>
      </right>
      <top/>
      <bottom/>
      <diagonal/>
    </border>
    <border>
      <left style="medium">
        <color theme="0" tint="-0.34998626667073579"/>
      </left>
      <right/>
      <top/>
      <bottom/>
      <diagonal/>
    </border>
    <border>
      <left/>
      <right style="thin">
        <color theme="0" tint="-0.2499465926084170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rgb="FF99CCFF"/>
      </top>
      <bottom/>
      <diagonal/>
    </border>
    <border>
      <left/>
      <right/>
      <top/>
      <bottom style="thin">
        <color rgb="FF99CCFF"/>
      </bottom>
      <diagonal/>
    </border>
    <border>
      <left style="thin">
        <color indexed="64"/>
      </left>
      <right style="thin">
        <color indexed="64"/>
      </right>
      <top/>
      <bottom style="thin">
        <color rgb="FF99CCFF"/>
      </bottom>
      <diagonal/>
    </border>
    <border>
      <left/>
      <right style="thin">
        <color indexed="64"/>
      </right>
      <top style="thin">
        <color theme="1"/>
      </top>
      <bottom style="thin">
        <color theme="1"/>
      </bottom>
      <diagonal/>
    </border>
    <border>
      <left/>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style="thin">
        <color theme="1"/>
      </right>
      <top/>
      <bottom/>
      <diagonal/>
    </border>
    <border>
      <left style="thin">
        <color theme="1"/>
      </left>
      <right style="thin">
        <color indexed="64"/>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style="thin">
        <color theme="1"/>
      </left>
      <right/>
      <top/>
      <bottom/>
      <diagonal/>
    </border>
    <border>
      <left style="thin">
        <color theme="0" tint="-0.34998626667073579"/>
      </left>
      <right style="thin">
        <color theme="0" tint="-0.34998626667073579"/>
      </right>
      <top/>
      <bottom/>
      <diagonal/>
    </border>
    <border>
      <left/>
      <right/>
      <top style="thin">
        <color theme="1"/>
      </top>
      <bottom/>
      <diagonal/>
    </border>
    <border>
      <left/>
      <right style="thin">
        <color theme="1"/>
      </right>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style="thin">
        <color theme="0" tint="-0.34998626667073579"/>
      </right>
      <top/>
      <bottom style="thin">
        <color theme="1"/>
      </bottom>
      <diagonal/>
    </border>
    <border>
      <left style="thin">
        <color theme="0" tint="-0.34998626667073579"/>
      </left>
      <right style="thin">
        <color theme="0" tint="-0.34998626667073579"/>
      </right>
      <top/>
      <bottom style="thin">
        <color theme="1"/>
      </bottom>
      <diagonal/>
    </border>
    <border>
      <left style="thin">
        <color theme="0" tint="-0.34998626667073579"/>
      </left>
      <right style="thin">
        <color theme="1"/>
      </right>
      <top/>
      <bottom style="thin">
        <color theme="1"/>
      </bottom>
      <diagonal/>
    </border>
    <border>
      <left style="thin">
        <color theme="1"/>
      </left>
      <right style="thin">
        <color theme="0" tint="-0.34998626667073579"/>
      </right>
      <top style="thin">
        <color theme="1"/>
      </top>
      <bottom style="thin">
        <color theme="1"/>
      </bottom>
      <diagonal/>
    </border>
    <border>
      <left style="thin">
        <color theme="0" tint="-0.34998626667073579"/>
      </left>
      <right style="thin">
        <color theme="0" tint="-0.34998626667073579"/>
      </right>
      <top style="thin">
        <color theme="1"/>
      </top>
      <bottom style="thin">
        <color theme="1"/>
      </bottom>
      <diagonal/>
    </border>
    <border>
      <left style="thin">
        <color theme="0" tint="-0.34998626667073579"/>
      </left>
      <right style="thin">
        <color theme="1"/>
      </right>
      <top style="thin">
        <color theme="1"/>
      </top>
      <bottom style="thin">
        <color theme="1"/>
      </bottom>
      <diagonal/>
    </border>
    <border>
      <left/>
      <right style="thin">
        <color theme="1"/>
      </right>
      <top/>
      <bottom/>
      <diagonal/>
    </border>
    <border>
      <left style="thin">
        <color theme="1"/>
      </left>
      <right/>
      <top style="thin">
        <color theme="1"/>
      </top>
      <bottom style="thin">
        <color theme="0" tint="-0.34998626667073579"/>
      </bottom>
      <diagonal/>
    </border>
    <border>
      <left/>
      <right style="thin">
        <color theme="1"/>
      </right>
      <top style="thin">
        <color theme="1"/>
      </top>
      <bottom style="thin">
        <color theme="0" tint="-0.34998626667073579"/>
      </bottom>
      <diagonal/>
    </border>
    <border>
      <left style="thin">
        <color theme="1"/>
      </left>
      <right/>
      <top style="thin">
        <color theme="0" tint="-0.34998626667073579"/>
      </top>
      <bottom style="thin">
        <color theme="1"/>
      </bottom>
      <diagonal/>
    </border>
    <border>
      <left/>
      <right style="thin">
        <color theme="1"/>
      </right>
      <top style="thin">
        <color theme="0" tint="-0.34998626667073579"/>
      </top>
      <bottom style="thin">
        <color theme="1"/>
      </bottom>
      <diagonal/>
    </border>
    <border>
      <left/>
      <right/>
      <top style="thin">
        <color theme="0" tint="-0.34998626667073579"/>
      </top>
      <bottom style="thin">
        <color theme="1"/>
      </bottom>
      <diagonal/>
    </border>
    <border>
      <left/>
      <right style="thin">
        <color theme="1"/>
      </right>
      <top/>
      <bottom style="thin">
        <color theme="0" tint="-0.34998626667073579"/>
      </bottom>
      <diagonal/>
    </border>
    <border>
      <left style="thin">
        <color theme="1"/>
      </left>
      <right style="thin">
        <color theme="1"/>
      </right>
      <top/>
      <bottom style="medium">
        <color indexed="64"/>
      </bottom>
      <diagonal/>
    </border>
    <border>
      <left style="thin">
        <color theme="1"/>
      </left>
      <right style="thin">
        <color theme="1"/>
      </right>
      <top/>
      <bottom style="thin">
        <color indexed="64"/>
      </bottom>
      <diagonal/>
    </border>
    <border>
      <left style="thin">
        <color theme="1"/>
      </left>
      <right style="thin">
        <color theme="1"/>
      </right>
      <top style="thin">
        <color indexed="64"/>
      </top>
      <bottom style="thin">
        <color indexed="64"/>
      </bottom>
      <diagonal/>
    </border>
    <border>
      <left style="thin">
        <color theme="1"/>
      </left>
      <right style="thin">
        <color theme="1"/>
      </right>
      <top style="thin">
        <color indexed="64"/>
      </top>
      <bottom style="medium">
        <color indexed="64"/>
      </bottom>
      <diagonal/>
    </border>
    <border>
      <left style="thin">
        <color theme="1"/>
      </left>
      <right style="thin">
        <color theme="1"/>
      </right>
      <top style="thin">
        <color indexed="64"/>
      </top>
      <bottom/>
      <diagonal/>
    </border>
    <border>
      <left style="thin">
        <color theme="1"/>
      </left>
      <right style="thin">
        <color theme="1"/>
      </right>
      <top style="medium">
        <color indexed="64"/>
      </top>
      <bottom style="thin">
        <color theme="1"/>
      </bottom>
      <diagonal/>
    </border>
    <border>
      <left style="thin">
        <color indexed="64"/>
      </left>
      <right style="medium">
        <color indexed="64"/>
      </right>
      <top style="medium">
        <color indexed="64"/>
      </top>
      <bottom style="medium">
        <color indexed="64"/>
      </bottom>
      <diagonal/>
    </border>
    <border>
      <left style="thin">
        <color indexed="64"/>
      </left>
      <right style="thin">
        <color theme="1"/>
      </right>
      <top style="medium">
        <color indexed="64"/>
      </top>
      <bottom style="thin">
        <color indexed="64"/>
      </bottom>
      <diagonal/>
    </border>
    <border>
      <left style="thin">
        <color indexed="64"/>
      </left>
      <right style="thin">
        <color theme="1"/>
      </right>
      <top style="medium">
        <color indexed="64"/>
      </top>
      <bottom style="medium">
        <color indexed="64"/>
      </bottom>
      <diagonal/>
    </border>
    <border>
      <left/>
      <right/>
      <top style="medium">
        <color indexed="64"/>
      </top>
      <bottom style="thin">
        <color theme="1"/>
      </bottom>
      <diagonal/>
    </border>
    <border>
      <left style="thin">
        <color indexed="64"/>
      </left>
      <right style="thin">
        <color indexed="64"/>
      </right>
      <top style="medium">
        <color indexed="64"/>
      </top>
      <bottom style="thin">
        <color theme="1"/>
      </bottom>
      <diagonal/>
    </border>
    <border>
      <left/>
      <right style="thin">
        <color theme="1"/>
      </right>
      <top/>
      <bottom style="thin">
        <color auto="1"/>
      </bottom>
      <diagonal/>
    </border>
    <border>
      <left style="thin">
        <color auto="1"/>
      </left>
      <right style="thin">
        <color theme="1"/>
      </right>
      <top style="thin">
        <color auto="1"/>
      </top>
      <bottom style="thin">
        <color auto="1"/>
      </bottom>
      <diagonal/>
    </border>
    <border>
      <left style="thin">
        <color auto="1"/>
      </left>
      <right style="thin">
        <color theme="1"/>
      </right>
      <top style="thin">
        <color auto="1"/>
      </top>
      <bottom/>
      <diagonal/>
    </border>
    <border>
      <left style="thin">
        <color indexed="64"/>
      </left>
      <right style="medium">
        <color theme="0" tint="-0.34998626667073579"/>
      </right>
      <top/>
      <bottom style="thin">
        <color indexed="64"/>
      </bottom>
      <diagonal/>
    </border>
    <border>
      <left style="medium">
        <color theme="0" tint="-0.34998626667073579"/>
      </left>
      <right style="thin">
        <color indexed="64"/>
      </right>
      <top/>
      <bottom style="thin">
        <color indexed="64"/>
      </bottom>
      <diagonal/>
    </border>
    <border>
      <left style="medium">
        <color theme="0" tint="-0.34998626667073579"/>
      </left>
      <right style="medium">
        <color theme="0" tint="-0.34998626667073579"/>
      </right>
      <top/>
      <bottom style="thin">
        <color indexed="64"/>
      </bottom>
      <diagonal/>
    </border>
    <border>
      <left/>
      <right/>
      <top style="thin">
        <color indexed="64"/>
      </top>
      <bottom style="thin">
        <color theme="1"/>
      </bottom>
      <diagonal/>
    </border>
    <border>
      <left style="thin">
        <color indexed="64"/>
      </left>
      <right style="thin">
        <color theme="0" tint="-0.34998626667073579"/>
      </right>
      <top style="thin">
        <color indexed="64"/>
      </top>
      <bottom style="thin">
        <color indexed="64"/>
      </bottom>
      <diagonal/>
    </border>
    <border>
      <left style="thin">
        <color theme="0" tint="-0.34998626667073579"/>
      </left>
      <right style="thin">
        <color indexed="64"/>
      </right>
      <top style="thin">
        <color indexed="64"/>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right style="thin">
        <color theme="0" tint="-0.24994659260841701"/>
      </right>
      <top style="thin">
        <color indexed="64"/>
      </top>
      <bottom style="thin">
        <color indexed="64"/>
      </bottom>
      <diagonal/>
    </border>
    <border>
      <left style="thin">
        <color indexed="64"/>
      </left>
      <right style="thin">
        <color theme="0" tint="-0.34998626667073579"/>
      </right>
      <top style="thin">
        <color indexed="64"/>
      </top>
      <bottom/>
      <diagonal/>
    </border>
    <border>
      <left style="thin">
        <color theme="0" tint="-0.34998626667073579"/>
      </left>
      <right style="thin">
        <color indexed="64"/>
      </right>
      <top style="thin">
        <color indexed="64"/>
      </top>
      <bottom/>
      <diagonal/>
    </border>
    <border>
      <left style="thin">
        <color indexed="64"/>
      </left>
      <right style="thin">
        <color theme="0" tint="-0.34998626667073579"/>
      </right>
      <top/>
      <bottom style="thin">
        <color indexed="64"/>
      </bottom>
      <diagonal/>
    </border>
    <border>
      <left style="thin">
        <color theme="0" tint="-0.34998626667073579"/>
      </left>
      <right style="thin">
        <color indexed="64"/>
      </right>
      <top/>
      <bottom style="thin">
        <color indexed="64"/>
      </bottom>
      <diagonal/>
    </border>
    <border>
      <left/>
      <right style="thin">
        <color theme="0" tint="-0.34998626667073579"/>
      </right>
      <top/>
      <bottom style="thin">
        <color theme="1"/>
      </bottom>
      <diagonal/>
    </border>
    <border>
      <left style="thin">
        <color theme="0" tint="-0.34998626667073579"/>
      </left>
      <right style="thin">
        <color indexed="64"/>
      </right>
      <top/>
      <bottom/>
      <diagonal/>
    </border>
    <border>
      <left style="thin">
        <color theme="0" tint="-0.34998626667073579"/>
      </left>
      <right style="thin">
        <color indexed="64"/>
      </right>
      <top/>
      <bottom style="thin">
        <color theme="1"/>
      </bottom>
      <diagonal/>
    </border>
    <border>
      <left style="thin">
        <color theme="1"/>
      </left>
      <right/>
      <top/>
      <bottom style="thin">
        <color indexed="64"/>
      </bottom>
      <diagonal/>
    </border>
    <border>
      <left style="medium">
        <color theme="0" tint="-0.34998626667073579"/>
      </left>
      <right style="thin">
        <color theme="1"/>
      </right>
      <top/>
      <bottom style="thin">
        <color indexed="64"/>
      </bottom>
      <diagonal/>
    </border>
    <border>
      <left style="thin">
        <color theme="1"/>
      </left>
      <right/>
      <top style="thin">
        <color indexed="64"/>
      </top>
      <bottom style="thin">
        <color indexed="64"/>
      </bottom>
      <diagonal/>
    </border>
    <border>
      <left style="thin">
        <color theme="1"/>
      </left>
      <right/>
      <top style="thin">
        <color indexed="64"/>
      </top>
      <bottom style="thin">
        <color theme="1"/>
      </bottom>
      <diagonal/>
    </border>
    <border>
      <left/>
      <right style="thin">
        <color indexed="64"/>
      </right>
      <top style="thin">
        <color indexed="64"/>
      </top>
      <bottom style="thin">
        <color theme="1"/>
      </bottom>
      <diagonal/>
    </border>
    <border>
      <left style="thin">
        <color auto="1"/>
      </left>
      <right style="thin">
        <color auto="1"/>
      </right>
      <top style="thin">
        <color auto="1"/>
      </top>
      <bottom style="thin">
        <color theme="1"/>
      </bottom>
      <diagonal/>
    </border>
    <border>
      <left style="thin">
        <color indexed="64"/>
      </left>
      <right style="thin">
        <color theme="0" tint="-0.34998626667073579"/>
      </right>
      <top style="thin">
        <color indexed="64"/>
      </top>
      <bottom style="thin">
        <color theme="1"/>
      </bottom>
      <diagonal/>
    </border>
    <border>
      <left style="thin">
        <color theme="0" tint="-0.34998626667073579"/>
      </left>
      <right style="thin">
        <color indexed="64"/>
      </right>
      <top style="thin">
        <color indexed="64"/>
      </top>
      <bottom style="thin">
        <color theme="1"/>
      </bottom>
      <diagonal/>
    </border>
    <border>
      <left style="thin">
        <color auto="1"/>
      </left>
      <right style="thin">
        <color theme="1"/>
      </right>
      <top style="thin">
        <color auto="1"/>
      </top>
      <bottom style="thin">
        <color theme="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34998626667073579"/>
      </left>
      <right style="thin">
        <color theme="0" tint="-0.34998626667073579"/>
      </right>
      <top style="thin">
        <color indexed="64"/>
      </top>
      <bottom/>
      <diagonal/>
    </border>
    <border>
      <left style="thin">
        <color theme="0" tint="-0.34998626667073579"/>
      </left>
      <right style="thin">
        <color theme="0" tint="-0.34998626667073579"/>
      </right>
      <top/>
      <bottom style="thin">
        <color indexed="64"/>
      </bottom>
      <diagonal/>
    </border>
    <border>
      <left/>
      <right/>
      <top style="thin">
        <color auto="1"/>
      </top>
      <bottom/>
      <diagonal/>
    </border>
  </borders>
  <cellStyleXfs count="5">
    <xf numFmtId="0" fontId="0" fillId="0" borderId="0"/>
    <xf numFmtId="0" fontId="11" fillId="0" borderId="0" applyNumberFormat="0" applyFill="0" applyBorder="0" applyAlignment="0" applyProtection="0">
      <alignment vertical="top"/>
      <protection locked="0"/>
    </xf>
    <xf numFmtId="9" fontId="4" fillId="0" borderId="0" applyFont="0" applyFill="0" applyBorder="0" applyAlignment="0" applyProtection="0"/>
    <xf numFmtId="0" fontId="4" fillId="0" borderId="0"/>
    <xf numFmtId="0" fontId="115" fillId="0" borderId="0" applyNumberFormat="0" applyBorder="0" applyAlignment="0"/>
  </cellStyleXfs>
  <cellXfs count="2028">
    <xf numFmtId="0" fontId="0" fillId="0" borderId="0" xfId="0"/>
    <xf numFmtId="0" fontId="6" fillId="0" borderId="0" xfId="0" applyFont="1"/>
    <xf numFmtId="0" fontId="7" fillId="0" borderId="0" xfId="0" applyFont="1"/>
    <xf numFmtId="0" fontId="5" fillId="0" borderId="1" xfId="0" applyFont="1" applyBorder="1" applyAlignment="1">
      <alignment horizontal="center"/>
    </xf>
    <xf numFmtId="3" fontId="7" fillId="0" borderId="0" xfId="0" applyNumberFormat="1" applyFont="1"/>
    <xf numFmtId="4" fontId="0" fillId="0" borderId="0" xfId="0" applyNumberFormat="1"/>
    <xf numFmtId="3" fontId="7" fillId="0" borderId="0" xfId="0" applyNumberFormat="1" applyFont="1" applyProtection="1">
      <protection hidden="1"/>
    </xf>
    <xf numFmtId="0" fontId="7" fillId="0" borderId="0" xfId="0" applyFont="1" applyProtection="1">
      <protection hidden="1"/>
    </xf>
    <xf numFmtId="4" fontId="0" fillId="0" borderId="0" xfId="0" applyNumberFormat="1" applyProtection="1">
      <protection hidden="1"/>
    </xf>
    <xf numFmtId="0" fontId="16" fillId="0" borderId="0" xfId="0" applyFont="1"/>
    <xf numFmtId="0" fontId="5" fillId="0" borderId="2" xfId="0" applyFont="1" applyBorder="1" applyAlignment="1">
      <alignment horizontal="right"/>
    </xf>
    <xf numFmtId="0" fontId="5" fillId="0" borderId="3" xfId="0" applyFont="1" applyBorder="1" applyAlignment="1">
      <alignment horizontal="right"/>
    </xf>
    <xf numFmtId="4" fontId="7" fillId="2" borderId="4" xfId="0" applyNumberFormat="1" applyFont="1" applyFill="1" applyBorder="1" applyProtection="1">
      <protection hidden="1"/>
    </xf>
    <xf numFmtId="0" fontId="9" fillId="0" borderId="0" xfId="0" applyFont="1"/>
    <xf numFmtId="14" fontId="7" fillId="0" borderId="0" xfId="0" applyNumberFormat="1" applyFont="1" applyAlignment="1">
      <alignment horizontal="center"/>
    </xf>
    <xf numFmtId="0" fontId="7" fillId="0" borderId="0" xfId="0" applyFont="1" applyAlignment="1">
      <alignment horizontal="center"/>
    </xf>
    <xf numFmtId="0" fontId="12" fillId="0" borderId="0" xfId="0" applyFont="1" applyAlignment="1">
      <alignment horizontal="center"/>
    </xf>
    <xf numFmtId="0" fontId="5" fillId="0" borderId="5" xfId="0" applyFont="1" applyBorder="1" applyAlignment="1">
      <alignment horizontal="center"/>
    </xf>
    <xf numFmtId="3" fontId="6" fillId="0" borderId="0" xfId="0" applyNumberFormat="1" applyFont="1" applyProtection="1">
      <protection hidden="1"/>
    </xf>
    <xf numFmtId="0" fontId="5" fillId="0" borderId="0" xfId="0" applyFont="1" applyAlignment="1">
      <alignment horizontal="right"/>
    </xf>
    <xf numFmtId="0" fontId="0" fillId="3" borderId="0" xfId="0" applyFill="1"/>
    <xf numFmtId="3" fontId="7" fillId="3" borderId="0" xfId="0" applyNumberFormat="1" applyFont="1" applyFill="1" applyProtection="1">
      <protection hidden="1"/>
    </xf>
    <xf numFmtId="4" fontId="6" fillId="3" borderId="0" xfId="0" applyNumberFormat="1" applyFont="1" applyFill="1" applyProtection="1">
      <protection hidden="1"/>
    </xf>
    <xf numFmtId="3" fontId="6" fillId="3" borderId="0" xfId="0" applyNumberFormat="1" applyFont="1" applyFill="1" applyProtection="1">
      <protection hidden="1"/>
    </xf>
    <xf numFmtId="0" fontId="12" fillId="3" borderId="0" xfId="0" applyFont="1" applyFill="1"/>
    <xf numFmtId="164" fontId="6" fillId="3" borderId="0" xfId="0" applyNumberFormat="1" applyFont="1" applyFill="1" applyProtection="1">
      <protection hidden="1"/>
    </xf>
    <xf numFmtId="4" fontId="7" fillId="3" borderId="0" xfId="0" applyNumberFormat="1" applyFont="1" applyFill="1" applyProtection="1">
      <protection hidden="1"/>
    </xf>
    <xf numFmtId="3" fontId="0" fillId="3" borderId="0" xfId="0" applyNumberFormat="1" applyFill="1" applyProtection="1">
      <protection hidden="1"/>
    </xf>
    <xf numFmtId="167" fontId="7" fillId="3" borderId="0" xfId="0" applyNumberFormat="1" applyFont="1" applyFill="1" applyProtection="1">
      <protection hidden="1"/>
    </xf>
    <xf numFmtId="14" fontId="0" fillId="0" borderId="0" xfId="0" applyNumberFormat="1"/>
    <xf numFmtId="0" fontId="21" fillId="0" borderId="0" xfId="0" applyFont="1"/>
    <xf numFmtId="1" fontId="7" fillId="3" borderId="0" xfId="0" applyNumberFormat="1" applyFont="1" applyFill="1" applyAlignment="1" applyProtection="1">
      <alignment horizontal="center"/>
      <protection hidden="1"/>
    </xf>
    <xf numFmtId="0" fontId="6" fillId="3" borderId="0" xfId="0" applyFont="1" applyFill="1"/>
    <xf numFmtId="14" fontId="7" fillId="0" borderId="0" xfId="0" applyNumberFormat="1" applyFont="1" applyAlignment="1" applyProtection="1">
      <alignment horizontal="right"/>
      <protection hidden="1"/>
    </xf>
    <xf numFmtId="1" fontId="0" fillId="0" borderId="0" xfId="0" applyNumberFormat="1"/>
    <xf numFmtId="0" fontId="0" fillId="3" borderId="0" xfId="0" applyFill="1" applyProtection="1">
      <protection hidden="1"/>
    </xf>
    <xf numFmtId="0" fontId="8" fillId="0" borderId="0" xfId="0" applyFont="1" applyAlignment="1">
      <alignment horizontal="right" vertical="top" wrapText="1"/>
    </xf>
    <xf numFmtId="3" fontId="6" fillId="3" borderId="0" xfId="0" applyNumberFormat="1" applyFont="1" applyFill="1" applyAlignment="1" applyProtection="1">
      <alignment horizontal="right"/>
      <protection hidden="1"/>
    </xf>
    <xf numFmtId="4" fontId="6" fillId="3" borderId="0" xfId="0" applyNumberFormat="1" applyFont="1" applyFill="1" applyAlignment="1" applyProtection="1">
      <alignment horizontal="right"/>
      <protection hidden="1"/>
    </xf>
    <xf numFmtId="0" fontId="0" fillId="0" borderId="0" xfId="0" applyAlignment="1">
      <alignment horizontal="right" vertical="top" wrapText="1"/>
    </xf>
    <xf numFmtId="3" fontId="15" fillId="0" borderId="0" xfId="0" applyNumberFormat="1" applyFont="1" applyProtection="1">
      <protection hidden="1"/>
    </xf>
    <xf numFmtId="14" fontId="8" fillId="0" borderId="0" xfId="0" applyNumberFormat="1" applyFont="1"/>
    <xf numFmtId="0" fontId="25" fillId="0" borderId="0" xfId="0" applyFont="1" applyAlignment="1">
      <alignment horizontal="center"/>
    </xf>
    <xf numFmtId="0" fontId="10" fillId="0" borderId="0" xfId="0" applyFont="1" applyAlignment="1">
      <alignment horizontal="right"/>
    </xf>
    <xf numFmtId="0" fontId="6" fillId="0" borderId="0" xfId="0" applyFont="1" applyAlignment="1">
      <alignment horizontal="right" vertical="top" wrapText="1"/>
    </xf>
    <xf numFmtId="165" fontId="7" fillId="0" borderId="0" xfId="0" applyNumberFormat="1" applyFont="1" applyProtection="1">
      <protection hidden="1"/>
    </xf>
    <xf numFmtId="3" fontId="6" fillId="0" borderId="0" xfId="0" applyNumberFormat="1" applyFont="1"/>
    <xf numFmtId="0" fontId="5" fillId="0" borderId="0" xfId="0" applyFont="1" applyAlignment="1">
      <alignment horizontal="center"/>
    </xf>
    <xf numFmtId="1" fontId="7" fillId="0" borderId="0" xfId="0" applyNumberFormat="1" applyFont="1" applyAlignment="1">
      <alignment horizontal="center"/>
    </xf>
    <xf numFmtId="167" fontId="6" fillId="0" borderId="0" xfId="0" applyNumberFormat="1" applyFont="1"/>
    <xf numFmtId="164" fontId="6" fillId="0" borderId="0" xfId="0" applyNumberFormat="1" applyFont="1"/>
    <xf numFmtId="2" fontId="6" fillId="0" borderId="0" xfId="0" applyNumberFormat="1" applyFont="1"/>
    <xf numFmtId="3" fontId="0" fillId="0" borderId="0" xfId="0" applyNumberFormat="1"/>
    <xf numFmtId="0" fontId="0" fillId="0" borderId="0" xfId="0" applyProtection="1">
      <protection hidden="1"/>
    </xf>
    <xf numFmtId="0" fontId="10" fillId="0" borderId="0" xfId="0" applyFont="1" applyProtection="1">
      <protection hidden="1"/>
    </xf>
    <xf numFmtId="0" fontId="0" fillId="0" borderId="0" xfId="0" applyAlignment="1" applyProtection="1">
      <alignment horizontal="right"/>
      <protection hidden="1"/>
    </xf>
    <xf numFmtId="0" fontId="16" fillId="0" borderId="63" xfId="0" applyFont="1" applyBorder="1" applyProtection="1">
      <protection hidden="1"/>
    </xf>
    <xf numFmtId="3" fontId="16" fillId="0" borderId="64" xfId="0" applyNumberFormat="1" applyFont="1" applyBorder="1" applyProtection="1">
      <protection hidden="1"/>
    </xf>
    <xf numFmtId="0" fontId="16" fillId="0" borderId="65" xfId="0" applyFont="1" applyBorder="1" applyProtection="1">
      <protection hidden="1"/>
    </xf>
    <xf numFmtId="0" fontId="16" fillId="0" borderId="66" xfId="0" applyFont="1" applyBorder="1" applyProtection="1">
      <protection hidden="1"/>
    </xf>
    <xf numFmtId="0" fontId="16" fillId="0" borderId="67" xfId="0" applyFont="1" applyBorder="1" applyProtection="1">
      <protection hidden="1"/>
    </xf>
    <xf numFmtId="0" fontId="16" fillId="0" borderId="0" xfId="0" applyFont="1" applyProtection="1">
      <protection hidden="1"/>
    </xf>
    <xf numFmtId="0" fontId="15" fillId="0" borderId="0" xfId="0" applyFont="1" applyProtection="1">
      <protection hidden="1"/>
    </xf>
    <xf numFmtId="0" fontId="15" fillId="0" borderId="0" xfId="0" applyFont="1"/>
    <xf numFmtId="3" fontId="16" fillId="0" borderId="0" xfId="0" applyNumberFormat="1" applyFont="1" applyProtection="1">
      <protection hidden="1"/>
    </xf>
    <xf numFmtId="0" fontId="16" fillId="0" borderId="65" xfId="0" applyFont="1" applyBorder="1" applyAlignment="1" applyProtection="1">
      <alignment horizontal="left"/>
      <protection hidden="1"/>
    </xf>
    <xf numFmtId="0" fontId="16" fillId="0" borderId="66" xfId="0" applyFont="1" applyBorder="1" applyAlignment="1" applyProtection="1">
      <alignment horizontal="left"/>
      <protection hidden="1"/>
    </xf>
    <xf numFmtId="164" fontId="16" fillId="0" borderId="64" xfId="0" applyNumberFormat="1" applyFont="1" applyBorder="1" applyProtection="1">
      <protection hidden="1"/>
    </xf>
    <xf numFmtId="0" fontId="6" fillId="0" borderId="0" xfId="0" applyFont="1" applyProtection="1">
      <protection hidden="1"/>
    </xf>
    <xf numFmtId="3" fontId="16" fillId="0" borderId="0" xfId="0" applyNumberFormat="1" applyFont="1"/>
    <xf numFmtId="164" fontId="16" fillId="0" borderId="0" xfId="0" applyNumberFormat="1" applyFont="1"/>
    <xf numFmtId="0" fontId="10" fillId="0" borderId="0" xfId="0" applyFont="1"/>
    <xf numFmtId="0" fontId="5" fillId="0" borderId="0" xfId="0" applyFont="1" applyProtection="1">
      <protection hidden="1"/>
    </xf>
    <xf numFmtId="0" fontId="5" fillId="3" borderId="0" xfId="0" applyFont="1" applyFill="1" applyAlignment="1">
      <alignment horizontal="center"/>
    </xf>
    <xf numFmtId="4" fontId="5" fillId="3" borderId="0" xfId="0" applyNumberFormat="1" applyFont="1" applyFill="1" applyAlignment="1">
      <alignment horizontal="center"/>
    </xf>
    <xf numFmtId="166" fontId="6" fillId="3" borderId="0" xfId="0" applyNumberFormat="1" applyFont="1" applyFill="1" applyAlignment="1">
      <alignment horizontal="right"/>
    </xf>
    <xf numFmtId="9" fontId="6" fillId="3" borderId="0" xfId="0" applyNumberFormat="1" applyFont="1" applyFill="1" applyAlignment="1">
      <alignment horizontal="right"/>
    </xf>
    <xf numFmtId="166" fontId="6" fillId="3" borderId="0" xfId="0" applyNumberFormat="1" applyFont="1" applyFill="1"/>
    <xf numFmtId="9" fontId="6" fillId="3" borderId="0" xfId="0" applyNumberFormat="1" applyFont="1" applyFill="1"/>
    <xf numFmtId="49" fontId="6" fillId="3" borderId="0" xfId="0" applyNumberFormat="1" applyFont="1" applyFill="1" applyAlignment="1">
      <alignment horizontal="right"/>
    </xf>
    <xf numFmtId="0" fontId="7" fillId="3" borderId="0" xfId="0" applyFont="1" applyFill="1"/>
    <xf numFmtId="0" fontId="7" fillId="3" borderId="0" xfId="0" applyFont="1" applyFill="1" applyAlignment="1">
      <alignment horizontal="right"/>
    </xf>
    <xf numFmtId="49" fontId="7" fillId="3" borderId="0" xfId="0" applyNumberFormat="1" applyFont="1" applyFill="1" applyAlignment="1">
      <alignment horizontal="right"/>
    </xf>
    <xf numFmtId="167" fontId="6" fillId="3" borderId="0" xfId="0" applyNumberFormat="1" applyFont="1" applyFill="1"/>
    <xf numFmtId="166" fontId="7" fillId="3" borderId="0" xfId="0" applyNumberFormat="1" applyFont="1" applyFill="1"/>
    <xf numFmtId="3" fontId="6" fillId="3" borderId="0" xfId="0" applyNumberFormat="1" applyFont="1" applyFill="1"/>
    <xf numFmtId="0" fontId="6" fillId="0" borderId="0" xfId="0" applyFont="1" applyAlignment="1" applyProtection="1">
      <alignment horizontal="center" vertical="center"/>
      <protection hidden="1"/>
    </xf>
    <xf numFmtId="3" fontId="51" fillId="0" borderId="0" xfId="0" applyNumberFormat="1" applyFont="1" applyAlignment="1" applyProtection="1">
      <alignment horizontal="right" vertical="center"/>
      <protection hidden="1"/>
    </xf>
    <xf numFmtId="2" fontId="0" fillId="0" borderId="0" xfId="0" applyNumberFormat="1"/>
    <xf numFmtId="0" fontId="6" fillId="0" borderId="0" xfId="0" applyFont="1" applyAlignment="1" applyProtection="1">
      <alignment horizontal="center"/>
      <protection hidden="1"/>
    </xf>
    <xf numFmtId="2" fontId="0" fillId="0" borderId="0" xfId="0" applyNumberFormat="1" applyProtection="1">
      <protection hidden="1"/>
    </xf>
    <xf numFmtId="3" fontId="0" fillId="0" borderId="0" xfId="0" applyNumberFormat="1" applyProtection="1">
      <protection hidden="1"/>
    </xf>
    <xf numFmtId="0" fontId="8" fillId="0" borderId="0" xfId="0" applyFont="1" applyAlignment="1">
      <alignment horizontal="right" vertical="top"/>
    </xf>
    <xf numFmtId="0" fontId="0" fillId="0" borderId="0" xfId="0" applyAlignment="1">
      <alignment horizontal="center"/>
    </xf>
    <xf numFmtId="0" fontId="16" fillId="0" borderId="0" xfId="0" applyFont="1" applyAlignment="1">
      <alignment horizontal="center"/>
    </xf>
    <xf numFmtId="0" fontId="0" fillId="3" borderId="0" xfId="0" applyFill="1" applyAlignment="1">
      <alignment horizontal="center"/>
    </xf>
    <xf numFmtId="0" fontId="7" fillId="3" borderId="0" xfId="0" applyFont="1" applyFill="1" applyAlignment="1">
      <alignment horizontal="center"/>
    </xf>
    <xf numFmtId="0" fontId="12" fillId="0" borderId="0" xfId="0" applyFont="1" applyAlignment="1">
      <alignment horizontal="left"/>
    </xf>
    <xf numFmtId="167" fontId="7" fillId="0" borderId="0" xfId="0" applyNumberFormat="1" applyFont="1" applyAlignment="1">
      <alignment horizontal="center"/>
    </xf>
    <xf numFmtId="0" fontId="5" fillId="0" borderId="0" xfId="0" applyFont="1"/>
    <xf numFmtId="0" fontId="8" fillId="0" borderId="0" xfId="0" applyFont="1"/>
    <xf numFmtId="0" fontId="5" fillId="0" borderId="0" xfId="0" quotePrefix="1" applyFont="1" applyAlignment="1">
      <alignment horizontal="right"/>
    </xf>
    <xf numFmtId="16" fontId="5" fillId="0" borderId="20" xfId="0" quotePrefix="1" applyNumberFormat="1" applyFont="1" applyBorder="1" applyAlignment="1">
      <alignment horizontal="right"/>
    </xf>
    <xf numFmtId="1" fontId="0" fillId="0" borderId="21" xfId="0" applyNumberFormat="1" applyBorder="1"/>
    <xf numFmtId="1" fontId="0" fillId="0" borderId="6" xfId="0" applyNumberFormat="1" applyBorder="1"/>
    <xf numFmtId="0" fontId="5" fillId="0" borderId="22" xfId="0" applyFont="1" applyBorder="1" applyAlignment="1">
      <alignment horizontal="right"/>
    </xf>
    <xf numFmtId="0" fontId="5" fillId="0" borderId="23" xfId="0" applyFont="1" applyBorder="1" applyAlignment="1">
      <alignment horizontal="right"/>
    </xf>
    <xf numFmtId="0" fontId="5" fillId="0" borderId="24" xfId="0" applyFont="1" applyBorder="1" applyAlignment="1">
      <alignment horizontal="right"/>
    </xf>
    <xf numFmtId="0" fontId="5" fillId="0" borderId="20" xfId="0" applyFont="1" applyBorder="1" applyAlignment="1">
      <alignment horizontal="right"/>
    </xf>
    <xf numFmtId="0" fontId="6" fillId="0" borderId="20" xfId="0" quotePrefix="1" applyFont="1" applyBorder="1" applyAlignment="1">
      <alignment horizontal="right"/>
    </xf>
    <xf numFmtId="3" fontId="15" fillId="0" borderId="0" xfId="0" applyNumberFormat="1" applyFont="1" applyAlignment="1" applyProtection="1">
      <alignment horizontal="right"/>
      <protection hidden="1"/>
    </xf>
    <xf numFmtId="0" fontId="8" fillId="0" borderId="0" xfId="0" applyFont="1" applyAlignment="1">
      <alignment horizontal="right"/>
    </xf>
    <xf numFmtId="0" fontId="6" fillId="0" borderId="0" xfId="0" applyFont="1" applyAlignment="1">
      <alignment horizontal="right" vertical="top"/>
    </xf>
    <xf numFmtId="10" fontId="0" fillId="0" borderId="0" xfId="0" applyNumberFormat="1"/>
    <xf numFmtId="0" fontId="16" fillId="0" borderId="14" xfId="0" applyFont="1" applyBorder="1" applyAlignment="1">
      <alignment horizontal="left"/>
    </xf>
    <xf numFmtId="9" fontId="0" fillId="0" borderId="0" xfId="2" applyFont="1"/>
    <xf numFmtId="164" fontId="0" fillId="0" borderId="0" xfId="2" applyNumberFormat="1" applyFont="1"/>
    <xf numFmtId="165" fontId="0" fillId="0" borderId="0" xfId="0" applyNumberFormat="1"/>
    <xf numFmtId="9" fontId="0" fillId="0" borderId="0" xfId="0" applyNumberFormat="1"/>
    <xf numFmtId="9" fontId="6" fillId="0" borderId="0" xfId="0" applyNumberFormat="1" applyFont="1"/>
    <xf numFmtId="1" fontId="7" fillId="0" borderId="0" xfId="0" applyNumberFormat="1" applyFont="1"/>
    <xf numFmtId="0" fontId="6" fillId="0" borderId="0" xfId="0" applyFont="1" applyAlignment="1">
      <alignment horizontal="center"/>
    </xf>
    <xf numFmtId="9" fontId="16" fillId="0" borderId="9" xfId="2" applyFont="1" applyBorder="1" applyAlignment="1">
      <alignment horizontal="right"/>
    </xf>
    <xf numFmtId="0" fontId="0" fillId="0" borderId="25" xfId="0" applyBorder="1"/>
    <xf numFmtId="0" fontId="9" fillId="0" borderId="26" xfId="0" applyFont="1" applyBorder="1"/>
    <xf numFmtId="0" fontId="0" fillId="0" borderId="26" xfId="0" applyBorder="1"/>
    <xf numFmtId="0" fontId="0" fillId="0" borderId="12" xfId="0" applyBorder="1"/>
    <xf numFmtId="0" fontId="0" fillId="0" borderId="18" xfId="0" applyBorder="1"/>
    <xf numFmtId="10" fontId="0" fillId="0" borderId="0" xfId="2" applyNumberFormat="1" applyFont="1"/>
    <xf numFmtId="0" fontId="0" fillId="0" borderId="27" xfId="0" applyBorder="1"/>
    <xf numFmtId="8" fontId="0" fillId="0" borderId="0" xfId="0" applyNumberFormat="1"/>
    <xf numFmtId="0" fontId="6" fillId="0" borderId="18" xfId="0" applyFont="1" applyBorder="1"/>
    <xf numFmtId="0" fontId="0" fillId="0" borderId="28" xfId="0" applyBorder="1"/>
    <xf numFmtId="0" fontId="0" fillId="0" borderId="29" xfId="0" applyBorder="1"/>
    <xf numFmtId="0" fontId="0" fillId="0" borderId="30" xfId="0" applyBorder="1"/>
    <xf numFmtId="0" fontId="9" fillId="0" borderId="18" xfId="0" applyFont="1" applyBorder="1"/>
    <xf numFmtId="0" fontId="6" fillId="0" borderId="26" xfId="0" applyFont="1" applyBorder="1"/>
    <xf numFmtId="0" fontId="0" fillId="0" borderId="18" xfId="0" applyBorder="1" applyProtection="1">
      <protection hidden="1"/>
    </xf>
    <xf numFmtId="3" fontId="0" fillId="0" borderId="27" xfId="0" applyNumberFormat="1" applyBorder="1"/>
    <xf numFmtId="0" fontId="6" fillId="0" borderId="0" xfId="0" applyFont="1" applyAlignment="1">
      <alignment horizontal="left" vertical="center"/>
    </xf>
    <xf numFmtId="0" fontId="9" fillId="0" borderId="26" xfId="0" applyFont="1" applyBorder="1" applyProtection="1">
      <protection hidden="1"/>
    </xf>
    <xf numFmtId="0" fontId="9" fillId="0" borderId="0" xfId="0" applyFont="1" applyProtection="1">
      <protection hidden="1"/>
    </xf>
    <xf numFmtId="0" fontId="51" fillId="0" borderId="0" xfId="0" applyFont="1"/>
    <xf numFmtId="0" fontId="34" fillId="0" borderId="0" xfId="0" applyFont="1" applyAlignment="1">
      <alignment horizontal="right" vertical="center"/>
    </xf>
    <xf numFmtId="14" fontId="34" fillId="0" borderId="0" xfId="0" applyNumberFormat="1" applyFont="1" applyAlignment="1">
      <alignment horizontal="right" vertical="center"/>
    </xf>
    <xf numFmtId="0" fontId="34" fillId="0" borderId="0" xfId="0" applyFont="1" applyAlignment="1" applyProtection="1">
      <alignment horizontal="right"/>
      <protection hidden="1"/>
    </xf>
    <xf numFmtId="0" fontId="0" fillId="0" borderId="5" xfId="0" applyBorder="1"/>
    <xf numFmtId="0" fontId="0" fillId="0" borderId="19" xfId="0" applyBorder="1"/>
    <xf numFmtId="0" fontId="0" fillId="0" borderId="8" xfId="0" applyBorder="1"/>
    <xf numFmtId="0" fontId="15" fillId="0" borderId="0" xfId="0" applyFont="1" applyAlignment="1">
      <alignment horizontal="center" vertical="center"/>
    </xf>
    <xf numFmtId="0" fontId="0" fillId="0" borderId="10" xfId="0" applyBorder="1"/>
    <xf numFmtId="0" fontId="21" fillId="0" borderId="0" xfId="0" applyFont="1" applyProtection="1">
      <protection hidden="1"/>
    </xf>
    <xf numFmtId="0" fontId="0" fillId="0" borderId="7" xfId="0" applyBorder="1"/>
    <xf numFmtId="0" fontId="16" fillId="0" borderId="0" xfId="0" applyFont="1" applyAlignment="1" applyProtection="1">
      <alignment vertical="center"/>
      <protection hidden="1"/>
    </xf>
    <xf numFmtId="0" fontId="0" fillId="0" borderId="0" xfId="0" applyAlignment="1">
      <alignment vertical="center"/>
    </xf>
    <xf numFmtId="0" fontId="53" fillId="0" borderId="0" xfId="0" applyFont="1" applyAlignment="1">
      <alignment horizontal="center" vertical="center"/>
    </xf>
    <xf numFmtId="0" fontId="35" fillId="3" borderId="0" xfId="0" applyFont="1" applyFill="1"/>
    <xf numFmtId="0" fontId="36" fillId="3" borderId="0" xfId="0" applyFont="1" applyFill="1"/>
    <xf numFmtId="49" fontId="6" fillId="3" borderId="0" xfId="0" applyNumberFormat="1" applyFont="1" applyFill="1" applyAlignment="1">
      <alignment horizontal="right" vertical="center"/>
    </xf>
    <xf numFmtId="3" fontId="6" fillId="0" borderId="0" xfId="0" applyNumberFormat="1" applyFont="1" applyAlignment="1">
      <alignment horizontal="right"/>
    </xf>
    <xf numFmtId="0" fontId="30" fillId="0" borderId="0" xfId="0" applyFont="1" applyAlignment="1">
      <alignment horizontal="right"/>
    </xf>
    <xf numFmtId="0" fontId="6" fillId="7" borderId="35" xfId="0" applyFont="1" applyFill="1" applyBorder="1" applyAlignment="1" applyProtection="1">
      <alignment horizontal="center" vertical="center"/>
      <protection hidden="1"/>
    </xf>
    <xf numFmtId="0" fontId="0" fillId="7" borderId="36" xfId="0" applyFill="1" applyBorder="1" applyAlignment="1" applyProtection="1">
      <alignment horizontal="center"/>
      <protection hidden="1"/>
    </xf>
    <xf numFmtId="0" fontId="6" fillId="0" borderId="17" xfId="0" applyFont="1" applyBorder="1" applyProtection="1">
      <protection hidden="1"/>
    </xf>
    <xf numFmtId="3" fontId="0" fillId="0" borderId="37" xfId="0" applyNumberFormat="1" applyBorder="1" applyAlignment="1" applyProtection="1">
      <alignment horizontal="right"/>
      <protection hidden="1"/>
    </xf>
    <xf numFmtId="166" fontId="6" fillId="0" borderId="0" xfId="0" applyNumberFormat="1" applyFont="1" applyAlignment="1" applyProtection="1">
      <alignment horizontal="center" vertical="center"/>
      <protection hidden="1"/>
    </xf>
    <xf numFmtId="0" fontId="6" fillId="0" borderId="17" xfId="0" applyFont="1" applyBorder="1" applyAlignment="1" applyProtection="1">
      <alignment horizontal="left"/>
      <protection hidden="1"/>
    </xf>
    <xf numFmtId="3" fontId="39" fillId="0" borderId="37" xfId="0" applyNumberFormat="1" applyFont="1" applyBorder="1" applyAlignment="1" applyProtection="1">
      <alignment horizontal="right"/>
      <protection hidden="1"/>
    </xf>
    <xf numFmtId="3" fontId="0" fillId="0" borderId="19" xfId="0" applyNumberFormat="1" applyBorder="1" applyAlignment="1" applyProtection="1">
      <alignment horizontal="right"/>
      <protection hidden="1"/>
    </xf>
    <xf numFmtId="3" fontId="39" fillId="0" borderId="37" xfId="0" applyNumberFormat="1" applyFont="1" applyBorder="1" applyProtection="1">
      <protection hidden="1"/>
    </xf>
    <xf numFmtId="3" fontId="0" fillId="0" borderId="19" xfId="0" applyNumberFormat="1" applyBorder="1" applyProtection="1">
      <protection hidden="1"/>
    </xf>
    <xf numFmtId="0" fontId="6" fillId="0" borderId="21" xfId="0" applyFont="1" applyBorder="1" applyAlignment="1" applyProtection="1">
      <alignment horizontal="left"/>
      <protection hidden="1"/>
    </xf>
    <xf numFmtId="166" fontId="6" fillId="0" borderId="21" xfId="0" applyNumberFormat="1" applyFont="1" applyBorder="1" applyAlignment="1" applyProtection="1">
      <alignment horizontal="center"/>
      <protection hidden="1"/>
    </xf>
    <xf numFmtId="3" fontId="39" fillId="0" borderId="21" xfId="0" applyNumberFormat="1" applyFont="1" applyBorder="1" applyProtection="1">
      <protection hidden="1"/>
    </xf>
    <xf numFmtId="3" fontId="0" fillId="0" borderId="21" xfId="0" applyNumberFormat="1" applyBorder="1" applyProtection="1">
      <protection hidden="1"/>
    </xf>
    <xf numFmtId="3" fontId="6" fillId="0" borderId="37" xfId="0" applyNumberFormat="1" applyFont="1" applyBorder="1" applyAlignment="1" applyProtection="1">
      <alignment horizontal="right"/>
      <protection hidden="1"/>
    </xf>
    <xf numFmtId="2" fontId="6" fillId="0" borderId="70" xfId="0" applyNumberFormat="1" applyFont="1" applyBorder="1" applyAlignment="1" applyProtection="1">
      <alignment horizontal="center" vertical="center"/>
      <protection hidden="1"/>
    </xf>
    <xf numFmtId="3" fontId="0" fillId="0" borderId="71" xfId="0" applyNumberFormat="1" applyBorder="1" applyAlignment="1" applyProtection="1">
      <alignment horizontal="right"/>
      <protection hidden="1"/>
    </xf>
    <xf numFmtId="0" fontId="6" fillId="0" borderId="72" xfId="0" applyFont="1" applyBorder="1" applyAlignment="1" applyProtection="1">
      <alignment horizontal="left"/>
      <protection hidden="1"/>
    </xf>
    <xf numFmtId="166" fontId="0" fillId="0" borderId="73" xfId="0" applyNumberFormat="1" applyBorder="1" applyAlignment="1" applyProtection="1">
      <alignment horizontal="center"/>
      <protection hidden="1"/>
    </xf>
    <xf numFmtId="3" fontId="0" fillId="0" borderId="74" xfId="0" applyNumberFormat="1" applyBorder="1" applyProtection="1">
      <protection hidden="1"/>
    </xf>
    <xf numFmtId="0" fontId="6" fillId="0" borderId="75" xfId="0" applyFont="1" applyBorder="1" applyAlignment="1" applyProtection="1">
      <alignment horizontal="left"/>
      <protection hidden="1"/>
    </xf>
    <xf numFmtId="3" fontId="39" fillId="0" borderId="76" xfId="0" applyNumberFormat="1" applyFont="1" applyBorder="1" applyProtection="1">
      <protection hidden="1"/>
    </xf>
    <xf numFmtId="3" fontId="0" fillId="0" borderId="77" xfId="0" applyNumberFormat="1" applyBorder="1" applyProtection="1">
      <protection hidden="1"/>
    </xf>
    <xf numFmtId="0" fontId="6" fillId="8" borderId="38" xfId="0" applyFont="1" applyFill="1" applyBorder="1" applyProtection="1">
      <protection hidden="1"/>
    </xf>
    <xf numFmtId="166" fontId="6" fillId="8" borderId="39" xfId="0" applyNumberFormat="1" applyFont="1" applyFill="1" applyBorder="1" applyAlignment="1" applyProtection="1">
      <alignment horizontal="center"/>
      <protection hidden="1"/>
    </xf>
    <xf numFmtId="3" fontId="39" fillId="8" borderId="40" xfId="0" applyNumberFormat="1" applyFont="1" applyFill="1" applyBorder="1" applyAlignment="1" applyProtection="1">
      <alignment horizontal="center"/>
      <protection hidden="1"/>
    </xf>
    <xf numFmtId="0" fontId="6" fillId="0" borderId="42" xfId="0" applyFont="1" applyBorder="1" applyProtection="1">
      <protection hidden="1"/>
    </xf>
    <xf numFmtId="166" fontId="0" fillId="0" borderId="0" xfId="0" applyNumberFormat="1" applyAlignment="1" applyProtection="1">
      <alignment horizontal="center"/>
      <protection hidden="1"/>
    </xf>
    <xf numFmtId="3" fontId="39" fillId="0" borderId="0" xfId="0" applyNumberFormat="1" applyFont="1" applyProtection="1">
      <protection hidden="1"/>
    </xf>
    <xf numFmtId="0" fontId="6" fillId="0" borderId="15" xfId="0" applyFont="1" applyBorder="1" applyProtection="1">
      <protection hidden="1"/>
    </xf>
    <xf numFmtId="166" fontId="0" fillId="0" borderId="7" xfId="0" applyNumberFormat="1" applyBorder="1" applyAlignment="1" applyProtection="1">
      <alignment horizontal="center"/>
      <protection hidden="1"/>
    </xf>
    <xf numFmtId="0" fontId="0" fillId="8" borderId="5" xfId="0" applyFill="1" applyBorder="1" applyAlignment="1" applyProtection="1">
      <alignment horizontal="center"/>
      <protection hidden="1"/>
    </xf>
    <xf numFmtId="0" fontId="38" fillId="0" borderId="43" xfId="0" applyFont="1" applyBorder="1" applyProtection="1">
      <protection hidden="1"/>
    </xf>
    <xf numFmtId="166" fontId="38" fillId="0" borderId="25" xfId="0" applyNumberFormat="1" applyFont="1" applyBorder="1" applyAlignment="1" applyProtection="1">
      <alignment horizontal="center"/>
      <protection hidden="1"/>
    </xf>
    <xf numFmtId="0" fontId="38" fillId="0" borderId="44" xfId="0" applyFont="1" applyBorder="1" applyProtection="1">
      <protection hidden="1"/>
    </xf>
    <xf numFmtId="166" fontId="38" fillId="0" borderId="28" xfId="0" applyNumberFormat="1" applyFont="1" applyBorder="1" applyAlignment="1" applyProtection="1">
      <alignment horizontal="center"/>
      <protection hidden="1"/>
    </xf>
    <xf numFmtId="0" fontId="38" fillId="0" borderId="17" xfId="0" applyFont="1" applyBorder="1" applyProtection="1">
      <protection hidden="1"/>
    </xf>
    <xf numFmtId="166" fontId="38" fillId="0" borderId="18" xfId="0" applyNumberFormat="1" applyFont="1" applyBorder="1" applyAlignment="1" applyProtection="1">
      <alignment horizontal="center"/>
      <protection hidden="1"/>
    </xf>
    <xf numFmtId="0" fontId="0" fillId="0" borderId="7" xfId="0" applyBorder="1" applyProtection="1">
      <protection hidden="1"/>
    </xf>
    <xf numFmtId="0" fontId="38" fillId="0" borderId="0" xfId="0" applyFont="1" applyProtection="1">
      <protection hidden="1"/>
    </xf>
    <xf numFmtId="0" fontId="6" fillId="6" borderId="0" xfId="0" applyFont="1" applyFill="1" applyAlignment="1" applyProtection="1">
      <alignment horizontal="center" vertical="center"/>
      <protection hidden="1"/>
    </xf>
    <xf numFmtId="3" fontId="54" fillId="0" borderId="0" xfId="0" applyNumberFormat="1" applyFont="1" applyProtection="1">
      <protection hidden="1"/>
    </xf>
    <xf numFmtId="0" fontId="6" fillId="0" borderId="13" xfId="0" applyFont="1" applyBorder="1"/>
    <xf numFmtId="0" fontId="0" fillId="0" borderId="13" xfId="0" applyBorder="1"/>
    <xf numFmtId="3" fontId="0" fillId="0" borderId="13" xfId="0" applyNumberFormat="1" applyBorder="1"/>
    <xf numFmtId="3" fontId="6" fillId="0" borderId="13" xfId="0" applyNumberFormat="1" applyFont="1" applyBorder="1"/>
    <xf numFmtId="3" fontId="39" fillId="0" borderId="0" xfId="0" applyNumberFormat="1" applyFont="1" applyAlignment="1" applyProtection="1">
      <alignment horizontal="right"/>
      <protection hidden="1"/>
    </xf>
    <xf numFmtId="0" fontId="6" fillId="6" borderId="79" xfId="0" applyFont="1" applyFill="1" applyBorder="1" applyAlignment="1" applyProtection="1">
      <alignment horizontal="center" vertical="center"/>
      <protection hidden="1"/>
    </xf>
    <xf numFmtId="166" fontId="6" fillId="0" borderId="79" xfId="0" applyNumberFormat="1" applyFont="1" applyBorder="1" applyAlignment="1" applyProtection="1">
      <alignment horizontal="center" vertical="center"/>
      <protection hidden="1"/>
    </xf>
    <xf numFmtId="2" fontId="6" fillId="9" borderId="79" xfId="0" applyNumberFormat="1" applyFont="1" applyFill="1" applyBorder="1" applyAlignment="1" applyProtection="1">
      <alignment horizontal="center" vertical="center"/>
      <protection hidden="1"/>
    </xf>
    <xf numFmtId="166" fontId="38" fillId="0" borderId="0" xfId="0" applyNumberFormat="1" applyFont="1" applyAlignment="1" applyProtection="1">
      <alignment horizontal="center"/>
      <protection hidden="1"/>
    </xf>
    <xf numFmtId="3" fontId="39" fillId="0" borderId="0" xfId="0" applyNumberFormat="1" applyFont="1" applyAlignment="1" applyProtection="1">
      <alignment horizontal="center"/>
      <protection hidden="1"/>
    </xf>
    <xf numFmtId="166" fontId="38" fillId="0" borderId="17" xfId="0" applyNumberFormat="1" applyFont="1" applyBorder="1" applyAlignment="1" applyProtection="1">
      <alignment horizontal="center"/>
      <protection hidden="1"/>
    </xf>
    <xf numFmtId="167" fontId="39" fillId="0" borderId="0" xfId="0" applyNumberFormat="1" applyFont="1" applyProtection="1">
      <protection hidden="1"/>
    </xf>
    <xf numFmtId="167" fontId="0" fillId="0" borderId="0" xfId="0" applyNumberFormat="1" applyProtection="1">
      <protection hidden="1"/>
    </xf>
    <xf numFmtId="0" fontId="35" fillId="0" borderId="0" xfId="0" applyFont="1"/>
    <xf numFmtId="0" fontId="16" fillId="0" borderId="13" xfId="0" applyFont="1" applyBorder="1" applyAlignment="1">
      <alignment horizontal="left"/>
    </xf>
    <xf numFmtId="0" fontId="0" fillId="0" borderId="38" xfId="0" applyBorder="1"/>
    <xf numFmtId="0" fontId="0" fillId="0" borderId="17" xfId="0" applyBorder="1"/>
    <xf numFmtId="3" fontId="0" fillId="0" borderId="17" xfId="0" applyNumberFormat="1" applyBorder="1"/>
    <xf numFmtId="0" fontId="6" fillId="0" borderId="17" xfId="0" applyFont="1" applyBorder="1"/>
    <xf numFmtId="0" fontId="7" fillId="0" borderId="15" xfId="0" applyFont="1" applyBorder="1"/>
    <xf numFmtId="3" fontId="7" fillId="0" borderId="7" xfId="0" applyNumberFormat="1" applyFont="1" applyBorder="1"/>
    <xf numFmtId="0" fontId="16" fillId="0" borderId="68" xfId="0" applyFont="1" applyBorder="1" applyProtection="1">
      <protection hidden="1"/>
    </xf>
    <xf numFmtId="49" fontId="6" fillId="0" borderId="0" xfId="0" applyNumberFormat="1" applyFont="1" applyAlignment="1">
      <alignment horizontal="right" vertical="center"/>
    </xf>
    <xf numFmtId="0" fontId="6" fillId="0" borderId="0" xfId="0" applyFont="1" applyAlignment="1">
      <alignment horizontal="center" vertical="center"/>
    </xf>
    <xf numFmtId="167" fontId="6" fillId="0" borderId="0" xfId="0" applyNumberFormat="1" applyFont="1" applyAlignment="1">
      <alignment horizontal="center" vertical="center"/>
    </xf>
    <xf numFmtId="9" fontId="16" fillId="0" borderId="13" xfId="2" applyFont="1" applyBorder="1" applyAlignment="1">
      <alignment horizontal="right"/>
    </xf>
    <xf numFmtId="10" fontId="0" fillId="0" borderId="13" xfId="0" applyNumberFormat="1" applyBorder="1"/>
    <xf numFmtId="1" fontId="0" fillId="0" borderId="13" xfId="0" applyNumberFormat="1" applyBorder="1"/>
    <xf numFmtId="10" fontId="6" fillId="0" borderId="13" xfId="0" applyNumberFormat="1" applyFont="1" applyBorder="1"/>
    <xf numFmtId="0" fontId="6" fillId="0" borderId="13" xfId="0" applyFont="1" applyBorder="1" applyAlignment="1">
      <alignment horizontal="right"/>
    </xf>
    <xf numFmtId="3" fontId="7" fillId="0" borderId="13" xfId="0" applyNumberFormat="1" applyFont="1" applyBorder="1"/>
    <xf numFmtId="1" fontId="7" fillId="0" borderId="13" xfId="0" applyNumberFormat="1" applyFont="1" applyBorder="1"/>
    <xf numFmtId="9" fontId="0" fillId="0" borderId="13" xfId="2" applyFont="1" applyBorder="1"/>
    <xf numFmtId="0" fontId="55" fillId="0" borderId="13" xfId="0" applyFont="1" applyBorder="1"/>
    <xf numFmtId="1" fontId="55" fillId="0" borderId="13" xfId="0" applyNumberFormat="1" applyFont="1" applyBorder="1"/>
    <xf numFmtId="0" fontId="56" fillId="0" borderId="0" xfId="0" applyFont="1"/>
    <xf numFmtId="0" fontId="57" fillId="0" borderId="0" xfId="0" applyFont="1"/>
    <xf numFmtId="0" fontId="40" fillId="0" borderId="0" xfId="0" applyFont="1"/>
    <xf numFmtId="0" fontId="59" fillId="0" borderId="0" xfId="0" applyFont="1" applyAlignment="1">
      <alignment horizontal="center"/>
    </xf>
    <xf numFmtId="0" fontId="7" fillId="0" borderId="0" xfId="0" applyFont="1" applyAlignment="1" applyProtection="1">
      <alignment horizontal="right"/>
      <protection hidden="1"/>
    </xf>
    <xf numFmtId="0" fontId="7" fillId="0" borderId="0" xfId="0" applyFont="1" applyAlignment="1">
      <alignment vertical="center"/>
    </xf>
    <xf numFmtId="0" fontId="55" fillId="0" borderId="0" xfId="0" applyFont="1"/>
    <xf numFmtId="1" fontId="0" fillId="0" borderId="0" xfId="0" applyNumberFormat="1" applyAlignment="1" applyProtection="1">
      <alignment horizontal="center"/>
      <protection hidden="1"/>
    </xf>
    <xf numFmtId="167" fontId="0" fillId="0" borderId="0" xfId="0" applyNumberFormat="1"/>
    <xf numFmtId="3" fontId="54" fillId="0" borderId="0" xfId="0" applyNumberFormat="1" applyFont="1" applyAlignment="1" applyProtection="1">
      <alignment vertical="top"/>
      <protection hidden="1"/>
    </xf>
    <xf numFmtId="3" fontId="16" fillId="0" borderId="13" xfId="0" applyNumberFormat="1" applyFont="1" applyBorder="1" applyProtection="1">
      <protection hidden="1"/>
    </xf>
    <xf numFmtId="3" fontId="60" fillId="6" borderId="13" xfId="0" applyNumberFormat="1" applyFont="1" applyFill="1" applyBorder="1" applyProtection="1">
      <protection hidden="1"/>
    </xf>
    <xf numFmtId="0" fontId="0" fillId="0" borderId="0" xfId="0" applyAlignment="1">
      <alignment horizontal="left"/>
    </xf>
    <xf numFmtId="14" fontId="8" fillId="0" borderId="0" xfId="0" applyNumberFormat="1" applyFont="1" applyAlignment="1">
      <alignment horizontal="left"/>
    </xf>
    <xf numFmtId="0" fontId="8" fillId="0" borderId="0" xfId="0" applyFont="1" applyAlignment="1">
      <alignment horizontal="left" vertical="top" wrapText="1"/>
    </xf>
    <xf numFmtId="3" fontId="6" fillId="0" borderId="13" xfId="0" applyNumberFormat="1" applyFont="1" applyBorder="1" applyProtection="1">
      <protection hidden="1"/>
    </xf>
    <xf numFmtId="0" fontId="56" fillId="0" borderId="0" xfId="0" applyFont="1" applyAlignment="1">
      <alignment horizontal="center"/>
    </xf>
    <xf numFmtId="0" fontId="4" fillId="0" borderId="0" xfId="0" applyFont="1"/>
    <xf numFmtId="0" fontId="7" fillId="0" borderId="0" xfId="0" applyFont="1" applyAlignment="1">
      <alignment horizontal="left"/>
    </xf>
    <xf numFmtId="0" fontId="7" fillId="0" borderId="0" xfId="0" applyFont="1" applyAlignment="1">
      <alignment horizontal="left" vertical="center"/>
    </xf>
    <xf numFmtId="14" fontId="7" fillId="0" borderId="0" xfId="0" applyNumberFormat="1" applyFont="1" applyAlignment="1">
      <alignment horizontal="right"/>
    </xf>
    <xf numFmtId="0" fontId="44" fillId="0" borderId="0" xfId="0" applyFont="1"/>
    <xf numFmtId="3" fontId="16" fillId="0" borderId="0" xfId="0" applyNumberFormat="1" applyFont="1" applyAlignment="1">
      <alignment horizontal="center"/>
    </xf>
    <xf numFmtId="0" fontId="15" fillId="0" borderId="0" xfId="0" applyFont="1" applyAlignment="1">
      <alignment horizontal="right"/>
    </xf>
    <xf numFmtId="0" fontId="61" fillId="0" borderId="0" xfId="0" applyFont="1" applyAlignment="1">
      <alignment horizontal="center"/>
    </xf>
    <xf numFmtId="3" fontId="8" fillId="11" borderId="0" xfId="0" applyNumberFormat="1" applyFont="1" applyFill="1" applyAlignment="1">
      <alignment horizontal="center"/>
    </xf>
    <xf numFmtId="0" fontId="4" fillId="0" borderId="13" xfId="0" applyFont="1" applyBorder="1" applyProtection="1">
      <protection hidden="1"/>
    </xf>
    <xf numFmtId="3" fontId="42" fillId="7" borderId="13" xfId="0" applyNumberFormat="1" applyFont="1" applyFill="1" applyBorder="1" applyProtection="1">
      <protection locked="0"/>
    </xf>
    <xf numFmtId="0" fontId="42" fillId="0" borderId="13" xfId="0" applyFont="1" applyBorder="1" applyAlignment="1">
      <alignment horizontal="right"/>
    </xf>
    <xf numFmtId="3" fontId="39" fillId="0" borderId="2" xfId="0" applyNumberFormat="1" applyFont="1" applyBorder="1" applyProtection="1">
      <protection hidden="1"/>
    </xf>
    <xf numFmtId="3" fontId="0" fillId="0" borderId="57" xfId="0" applyNumberFormat="1" applyBorder="1" applyProtection="1">
      <protection hidden="1"/>
    </xf>
    <xf numFmtId="3" fontId="39" fillId="0" borderId="55" xfId="0" applyNumberFormat="1" applyFont="1" applyBorder="1" applyProtection="1">
      <protection hidden="1"/>
    </xf>
    <xf numFmtId="3" fontId="0" fillId="0" borderId="58" xfId="0" applyNumberFormat="1" applyBorder="1" applyProtection="1">
      <protection hidden="1"/>
    </xf>
    <xf numFmtId="3" fontId="39" fillId="0" borderId="7" xfId="0" applyNumberFormat="1" applyFont="1" applyBorder="1" applyProtection="1">
      <protection hidden="1"/>
    </xf>
    <xf numFmtId="3" fontId="0" fillId="0" borderId="2" xfId="0" applyNumberFormat="1" applyBorder="1" applyProtection="1">
      <protection hidden="1"/>
    </xf>
    <xf numFmtId="3" fontId="0" fillId="0" borderId="59" xfId="0" applyNumberFormat="1" applyBorder="1" applyProtection="1">
      <protection hidden="1"/>
    </xf>
    <xf numFmtId="3" fontId="0" fillId="0" borderId="37" xfId="0" applyNumberFormat="1" applyBorder="1" applyProtection="1">
      <protection hidden="1"/>
    </xf>
    <xf numFmtId="3" fontId="0" fillId="0" borderId="60" xfId="0" applyNumberFormat="1" applyBorder="1" applyProtection="1">
      <protection hidden="1"/>
    </xf>
    <xf numFmtId="3" fontId="0" fillId="0" borderId="46" xfId="0" applyNumberFormat="1" applyBorder="1" applyProtection="1">
      <protection hidden="1"/>
    </xf>
    <xf numFmtId="3" fontId="0" fillId="0" borderId="16" xfId="0" applyNumberFormat="1" applyBorder="1" applyProtection="1">
      <protection hidden="1"/>
    </xf>
    <xf numFmtId="0" fontId="15" fillId="0" borderId="0" xfId="0" applyFont="1" applyAlignment="1">
      <alignment horizontal="center"/>
    </xf>
    <xf numFmtId="3" fontId="7" fillId="0" borderId="0" xfId="0" applyNumberFormat="1" applyFont="1" applyAlignment="1" applyProtection="1">
      <alignment vertical="center"/>
      <protection hidden="1"/>
    </xf>
    <xf numFmtId="0" fontId="15" fillId="0" borderId="7" xfId="0" applyFont="1" applyBorder="1" applyAlignment="1">
      <alignment horizontal="center"/>
    </xf>
    <xf numFmtId="0" fontId="16" fillId="0" borderId="11" xfId="0" applyFont="1" applyBorder="1" applyAlignment="1">
      <alignment horizontal="left" vertical="center"/>
    </xf>
    <xf numFmtId="3" fontId="7" fillId="3" borderId="0" xfId="0" applyNumberFormat="1" applyFont="1" applyFill="1"/>
    <xf numFmtId="49" fontId="4" fillId="3" borderId="0" xfId="0" applyNumberFormat="1" applyFont="1" applyFill="1" applyAlignment="1">
      <alignment horizontal="left"/>
    </xf>
    <xf numFmtId="3" fontId="7" fillId="3" borderId="0" xfId="0" applyNumberFormat="1" applyFont="1" applyFill="1" applyAlignment="1">
      <alignment horizontal="right"/>
    </xf>
    <xf numFmtId="3" fontId="4" fillId="3" borderId="0" xfId="0" applyNumberFormat="1" applyFont="1" applyFill="1"/>
    <xf numFmtId="3" fontId="16" fillId="0" borderId="0" xfId="0" applyNumberFormat="1" applyFont="1" applyAlignment="1" applyProtection="1">
      <alignment vertical="center"/>
      <protection hidden="1"/>
    </xf>
    <xf numFmtId="3" fontId="4" fillId="3" borderId="0" xfId="0" applyNumberFormat="1" applyFont="1" applyFill="1" applyAlignment="1">
      <alignment horizontal="right"/>
    </xf>
    <xf numFmtId="0" fontId="16" fillId="6" borderId="0" xfId="0" applyFont="1" applyFill="1" applyProtection="1">
      <protection hidden="1"/>
    </xf>
    <xf numFmtId="0" fontId="16" fillId="6" borderId="0" xfId="0" applyFont="1" applyFill="1" applyAlignment="1" applyProtection="1">
      <alignment vertical="center"/>
      <protection hidden="1"/>
    </xf>
    <xf numFmtId="167" fontId="51" fillId="0" borderId="0" xfId="0" applyNumberFormat="1" applyFont="1" applyAlignment="1">
      <alignment horizontal="center" vertical="center"/>
    </xf>
    <xf numFmtId="0" fontId="15" fillId="0" borderId="0" xfId="0" applyFont="1" applyAlignment="1" applyProtection="1">
      <alignment horizontal="center" vertical="top"/>
      <protection locked="0"/>
    </xf>
    <xf numFmtId="0" fontId="16" fillId="3" borderId="0" xfId="0" applyFont="1" applyFill="1"/>
    <xf numFmtId="49" fontId="4" fillId="3" borderId="0" xfId="0" applyNumberFormat="1" applyFont="1" applyFill="1"/>
    <xf numFmtId="0" fontId="4" fillId="3" borderId="0" xfId="0" applyFont="1" applyFill="1"/>
    <xf numFmtId="0" fontId="15" fillId="0" borderId="0" xfId="0" applyFont="1" applyAlignment="1" applyProtection="1">
      <alignment horizontal="left"/>
      <protection hidden="1"/>
    </xf>
    <xf numFmtId="0" fontId="16" fillId="0" borderId="7" xfId="0" applyFont="1" applyBorder="1" applyAlignment="1">
      <alignment vertical="center"/>
    </xf>
    <xf numFmtId="164" fontId="8" fillId="10" borderId="31" xfId="0" applyNumberFormat="1" applyFont="1" applyFill="1" applyBorder="1" applyAlignment="1" applyProtection="1">
      <alignment horizontal="center" vertical="center"/>
      <protection locked="0"/>
    </xf>
    <xf numFmtId="164" fontId="8" fillId="10" borderId="13" xfId="0" applyNumberFormat="1" applyFont="1" applyFill="1" applyBorder="1" applyAlignment="1" applyProtection="1">
      <alignment horizontal="center" vertical="center"/>
      <protection locked="0"/>
    </xf>
    <xf numFmtId="0" fontId="8" fillId="0" borderId="0" xfId="0" applyFont="1" applyAlignment="1">
      <alignment horizontal="center" vertical="center"/>
    </xf>
    <xf numFmtId="0" fontId="32" fillId="3" borderId="0" xfId="0" applyFont="1" applyFill="1" applyAlignment="1">
      <alignment horizontal="center" vertical="center"/>
    </xf>
    <xf numFmtId="0" fontId="16" fillId="0" borderId="53" xfId="0" applyFont="1" applyBorder="1" applyAlignment="1">
      <alignment vertical="center"/>
    </xf>
    <xf numFmtId="0" fontId="16" fillId="0" borderId="50" xfId="0" applyFont="1" applyBorder="1" applyAlignment="1">
      <alignment vertical="center"/>
    </xf>
    <xf numFmtId="0" fontId="16" fillId="0" borderId="11" xfId="0" applyFont="1" applyBorder="1" applyAlignment="1">
      <alignment vertical="center"/>
    </xf>
    <xf numFmtId="0" fontId="16" fillId="0" borderId="50" xfId="0" applyFont="1" applyBorder="1" applyAlignment="1">
      <alignment horizontal="left" vertical="center"/>
    </xf>
    <xf numFmtId="0" fontId="15" fillId="0" borderId="21" xfId="0" applyFont="1" applyBorder="1" applyAlignment="1">
      <alignment vertical="center"/>
    </xf>
    <xf numFmtId="0" fontId="15" fillId="0" borderId="50" xfId="0" applyFont="1" applyBorder="1" applyAlignment="1">
      <alignment vertical="center"/>
    </xf>
    <xf numFmtId="0" fontId="15" fillId="0" borderId="11" xfId="0" applyFont="1" applyBorder="1" applyAlignment="1">
      <alignment vertical="center"/>
    </xf>
    <xf numFmtId="0" fontId="15" fillId="0" borderId="0" xfId="0" applyFont="1" applyAlignment="1">
      <alignment vertical="center"/>
    </xf>
    <xf numFmtId="0" fontId="16" fillId="0" borderId="0" xfId="0" applyFont="1" applyAlignment="1">
      <alignment horizontal="center" vertical="center"/>
    </xf>
    <xf numFmtId="0" fontId="15" fillId="0" borderId="7" xfId="0" applyFont="1" applyBorder="1" applyAlignment="1">
      <alignment horizontal="center" vertical="center"/>
    </xf>
    <xf numFmtId="0" fontId="29" fillId="0" borderId="0" xfId="0" applyFont="1"/>
    <xf numFmtId="0" fontId="47" fillId="0" borderId="0" xfId="0" applyFont="1"/>
    <xf numFmtId="0" fontId="51" fillId="0" borderId="0" xfId="0" applyFont="1" applyProtection="1">
      <protection hidden="1"/>
    </xf>
    <xf numFmtId="0" fontId="16" fillId="0" borderId="0" xfId="0" applyFont="1" applyAlignment="1">
      <alignment horizontal="left" vertical="center"/>
    </xf>
    <xf numFmtId="0" fontId="24" fillId="3" borderId="0" xfId="0" applyFont="1" applyFill="1" applyProtection="1">
      <protection hidden="1"/>
    </xf>
    <xf numFmtId="164" fontId="6" fillId="0" borderId="0" xfId="0" applyNumberFormat="1" applyFont="1" applyProtection="1">
      <protection hidden="1"/>
    </xf>
    <xf numFmtId="0" fontId="12" fillId="3" borderId="0" xfId="0" applyFont="1" applyFill="1" applyProtection="1">
      <protection hidden="1"/>
    </xf>
    <xf numFmtId="167" fontId="6" fillId="3" borderId="0" xfId="0" applyNumberFormat="1" applyFont="1" applyFill="1" applyProtection="1">
      <protection hidden="1"/>
    </xf>
    <xf numFmtId="49" fontId="16" fillId="0" borderId="0" xfId="0" applyNumberFormat="1" applyFont="1" applyAlignment="1">
      <alignment horizontal="left"/>
    </xf>
    <xf numFmtId="0" fontId="8" fillId="0" borderId="0" xfId="0" applyFont="1" applyAlignment="1">
      <alignment horizontal="left" vertical="center"/>
    </xf>
    <xf numFmtId="164" fontId="8" fillId="12" borderId="13" xfId="0" applyNumberFormat="1" applyFont="1" applyFill="1" applyBorder="1" applyAlignment="1" applyProtection="1">
      <alignment vertical="center"/>
      <protection locked="0"/>
    </xf>
    <xf numFmtId="3" fontId="8" fillId="0" borderId="0" xfId="0" applyNumberFormat="1" applyFont="1" applyAlignment="1" applyProtection="1">
      <alignment vertical="center"/>
      <protection hidden="1"/>
    </xf>
    <xf numFmtId="0" fontId="8" fillId="0" borderId="0" xfId="0" applyFont="1" applyAlignment="1">
      <alignment vertical="center"/>
    </xf>
    <xf numFmtId="3" fontId="8" fillId="11" borderId="0" xfId="0" applyNumberFormat="1" applyFont="1" applyFill="1" applyAlignment="1">
      <alignment horizontal="center" vertical="center"/>
    </xf>
    <xf numFmtId="3" fontId="8" fillId="0" borderId="0" xfId="0" applyNumberFormat="1" applyFont="1" applyAlignment="1">
      <alignment vertical="center"/>
    </xf>
    <xf numFmtId="166" fontId="6" fillId="3" borderId="0" xfId="0" applyNumberFormat="1" applyFont="1" applyFill="1" applyProtection="1">
      <protection hidden="1"/>
    </xf>
    <xf numFmtId="0" fontId="32" fillId="0" borderId="0" xfId="0" applyFont="1" applyAlignment="1">
      <alignment vertical="center"/>
    </xf>
    <xf numFmtId="0" fontId="0" fillId="0" borderId="0" xfId="0" applyAlignment="1">
      <alignment horizontal="left" vertical="center"/>
    </xf>
    <xf numFmtId="0" fontId="8" fillId="3" borderId="26" xfId="0" applyFont="1" applyFill="1" applyBorder="1" applyAlignment="1">
      <alignment vertical="center"/>
    </xf>
    <xf numFmtId="0" fontId="5" fillId="3" borderId="0" xfId="0" applyFont="1" applyFill="1" applyAlignment="1">
      <alignment vertical="center"/>
    </xf>
    <xf numFmtId="1" fontId="5" fillId="3" borderId="0" xfId="0" applyNumberFormat="1" applyFont="1" applyFill="1" applyAlignment="1" applyProtection="1">
      <alignment horizontal="center" vertical="center"/>
      <protection hidden="1"/>
    </xf>
    <xf numFmtId="0" fontId="5" fillId="0" borderId="0" xfId="0" applyFont="1" applyAlignment="1" applyProtection="1">
      <alignment vertical="center"/>
      <protection hidden="1"/>
    </xf>
    <xf numFmtId="0" fontId="4" fillId="0" borderId="0" xfId="0" applyFont="1" applyAlignment="1" applyProtection="1">
      <alignment horizontal="left"/>
      <protection hidden="1"/>
    </xf>
    <xf numFmtId="164" fontId="4" fillId="0" borderId="0" xfId="2" applyNumberFormat="1" applyAlignment="1" applyProtection="1">
      <alignment horizontal="center"/>
      <protection hidden="1"/>
    </xf>
    <xf numFmtId="3" fontId="0" fillId="0" borderId="15" xfId="0" applyNumberFormat="1" applyBorder="1"/>
    <xf numFmtId="3" fontId="0" fillId="0" borderId="8" xfId="0" applyNumberFormat="1" applyBorder="1"/>
    <xf numFmtId="17" fontId="0" fillId="7" borderId="47" xfId="0" applyNumberFormat="1" applyFill="1" applyBorder="1" applyAlignment="1" applyProtection="1">
      <alignment horizontal="center"/>
      <protection hidden="1"/>
    </xf>
    <xf numFmtId="17" fontId="39" fillId="8" borderId="45" xfId="0" applyNumberFormat="1" applyFont="1" applyFill="1" applyBorder="1" applyAlignment="1" applyProtection="1">
      <alignment horizontal="center"/>
      <protection hidden="1"/>
    </xf>
    <xf numFmtId="17" fontId="0" fillId="8" borderId="10" xfId="0" applyNumberFormat="1" applyFill="1" applyBorder="1" applyAlignment="1" applyProtection="1">
      <alignment horizontal="center"/>
      <protection hidden="1"/>
    </xf>
    <xf numFmtId="0" fontId="0" fillId="0" borderId="0" xfId="0" applyProtection="1">
      <protection locked="0"/>
    </xf>
    <xf numFmtId="0" fontId="0" fillId="11" borderId="0" xfId="0" applyFill="1"/>
    <xf numFmtId="14" fontId="0" fillId="11" borderId="0" xfId="0" applyNumberFormat="1" applyFill="1"/>
    <xf numFmtId="0" fontId="15" fillId="0" borderId="0" xfId="0" applyFont="1" applyAlignment="1" applyProtection="1">
      <alignment horizontal="left" vertical="center"/>
      <protection hidden="1"/>
    </xf>
    <xf numFmtId="0" fontId="7" fillId="6" borderId="0" xfId="0" applyFont="1" applyFill="1" applyAlignment="1">
      <alignment horizontal="left" vertical="center"/>
    </xf>
    <xf numFmtId="0" fontId="0" fillId="0" borderId="0" xfId="0" applyAlignment="1">
      <alignment horizontal="center" vertical="center"/>
    </xf>
    <xf numFmtId="166" fontId="4" fillId="0" borderId="79" xfId="0" applyNumberFormat="1" applyFont="1" applyBorder="1" applyAlignment="1" applyProtection="1">
      <alignment horizontal="center"/>
      <protection hidden="1"/>
    </xf>
    <xf numFmtId="0" fontId="49" fillId="0" borderId="0" xfId="0" applyFont="1"/>
    <xf numFmtId="0" fontId="0" fillId="0" borderId="0" xfId="0" applyAlignment="1" applyProtection="1">
      <alignment vertical="center"/>
      <protection hidden="1"/>
    </xf>
    <xf numFmtId="3" fontId="15" fillId="0" borderId="0" xfId="0" applyNumberFormat="1" applyFont="1"/>
    <xf numFmtId="0" fontId="52" fillId="0" borderId="0" xfId="0" applyFont="1" applyAlignment="1">
      <alignment horizontal="left" vertical="center"/>
    </xf>
    <xf numFmtId="164" fontId="7" fillId="0" borderId="0" xfId="0" applyNumberFormat="1" applyFont="1" applyProtection="1">
      <protection hidden="1"/>
    </xf>
    <xf numFmtId="0" fontId="44" fillId="0" borderId="0" xfId="0" applyFont="1" applyAlignment="1">
      <alignment horizontal="right" vertical="top"/>
    </xf>
    <xf numFmtId="0" fontId="63" fillId="0" borderId="0" xfId="0" applyFont="1"/>
    <xf numFmtId="0" fontId="16" fillId="0" borderId="0" xfId="0" applyFont="1" applyAlignment="1">
      <alignment vertical="center"/>
    </xf>
    <xf numFmtId="0" fontId="6" fillId="3" borderId="0" xfId="0" applyFont="1" applyFill="1" applyAlignment="1" applyProtection="1">
      <alignment vertical="center"/>
      <protection hidden="1"/>
    </xf>
    <xf numFmtId="0" fontId="6" fillId="3" borderId="0" xfId="0" applyFont="1" applyFill="1" applyAlignment="1">
      <alignment vertical="center"/>
    </xf>
    <xf numFmtId="0" fontId="0" fillId="3" borderId="0" xfId="0" applyFill="1" applyAlignment="1">
      <alignment vertical="center"/>
    </xf>
    <xf numFmtId="3" fontId="51" fillId="0" borderId="0" xfId="0" applyNumberFormat="1" applyFont="1" applyAlignment="1">
      <alignment horizontal="right" vertical="center"/>
    </xf>
    <xf numFmtId="3" fontId="15" fillId="0" borderId="0" xfId="0" applyNumberFormat="1" applyFont="1" applyAlignment="1">
      <alignment vertical="center"/>
    </xf>
    <xf numFmtId="3" fontId="15" fillId="0" borderId="0" xfId="0" applyNumberFormat="1" applyFont="1" applyAlignment="1">
      <alignment horizontal="right" vertical="center"/>
    </xf>
    <xf numFmtId="14" fontId="7" fillId="0" borderId="0" xfId="0" applyNumberFormat="1" applyFont="1" applyAlignment="1">
      <alignment horizontal="center" vertical="center"/>
    </xf>
    <xf numFmtId="0" fontId="4" fillId="11" borderId="0" xfId="0" applyFont="1" applyFill="1"/>
    <xf numFmtId="0" fontId="64" fillId="0" borderId="0" xfId="0" applyFont="1" applyAlignment="1">
      <alignment horizontal="center" vertical="center"/>
    </xf>
    <xf numFmtId="0" fontId="7" fillId="6" borderId="14" xfId="0" applyFont="1" applyFill="1" applyBorder="1" applyAlignment="1" applyProtection="1">
      <alignment horizontal="left"/>
      <protection hidden="1"/>
    </xf>
    <xf numFmtId="166" fontId="4" fillId="6" borderId="13" xfId="0" applyNumberFormat="1" applyFont="1" applyFill="1" applyBorder="1" applyAlignment="1" applyProtection="1">
      <alignment horizontal="center"/>
      <protection hidden="1"/>
    </xf>
    <xf numFmtId="3" fontId="39" fillId="6" borderId="13" xfId="0" applyNumberFormat="1" applyFont="1" applyFill="1" applyBorder="1" applyProtection="1">
      <protection hidden="1"/>
    </xf>
    <xf numFmtId="3" fontId="4" fillId="6" borderId="16" xfId="0" applyNumberFormat="1" applyFont="1" applyFill="1" applyBorder="1" applyProtection="1">
      <protection hidden="1"/>
    </xf>
    <xf numFmtId="0" fontId="7" fillId="6" borderId="17" xfId="0" applyFont="1" applyFill="1" applyBorder="1" applyAlignment="1">
      <alignment horizontal="center" vertical="center"/>
    </xf>
    <xf numFmtId="0" fontId="7" fillId="6" borderId="19" xfId="0" applyFont="1" applyFill="1" applyBorder="1" applyAlignment="1">
      <alignment horizontal="center" vertical="center"/>
    </xf>
    <xf numFmtId="0" fontId="4" fillId="0" borderId="14" xfId="0" applyFont="1" applyBorder="1" applyAlignment="1" applyProtection="1">
      <alignment horizontal="left"/>
      <protection hidden="1"/>
    </xf>
    <xf numFmtId="0" fontId="4" fillId="0" borderId="13" xfId="0" applyFont="1" applyBorder="1"/>
    <xf numFmtId="3" fontId="39" fillId="0" borderId="13" xfId="0" applyNumberFormat="1" applyFont="1" applyBorder="1" applyProtection="1">
      <protection hidden="1"/>
    </xf>
    <xf numFmtId="3" fontId="4" fillId="0" borderId="16" xfId="0" applyNumberFormat="1" applyFont="1" applyBorder="1" applyProtection="1">
      <protection hidden="1"/>
    </xf>
    <xf numFmtId="166" fontId="4" fillId="0" borderId="13" xfId="0" applyNumberFormat="1" applyFont="1" applyBorder="1" applyAlignment="1" applyProtection="1">
      <alignment horizontal="center"/>
      <protection hidden="1"/>
    </xf>
    <xf numFmtId="3" fontId="4" fillId="0" borderId="13" xfId="0" applyNumberFormat="1" applyFont="1" applyBorder="1" applyProtection="1">
      <protection hidden="1"/>
    </xf>
    <xf numFmtId="3" fontId="4" fillId="0" borderId="49" xfId="0" applyNumberFormat="1" applyFont="1" applyBorder="1" applyProtection="1">
      <protection hidden="1"/>
    </xf>
    <xf numFmtId="0" fontId="7" fillId="0" borderId="56" xfId="0" applyFont="1" applyBorder="1" applyAlignment="1" applyProtection="1">
      <alignment horizontal="left"/>
      <protection hidden="1"/>
    </xf>
    <xf numFmtId="164" fontId="7" fillId="0" borderId="48" xfId="2" applyNumberFormat="1" applyFont="1" applyBorder="1" applyAlignment="1" applyProtection="1">
      <alignment horizontal="center"/>
      <protection hidden="1"/>
    </xf>
    <xf numFmtId="3" fontId="7" fillId="0" borderId="48" xfId="0" applyNumberFormat="1" applyFont="1" applyBorder="1" applyProtection="1">
      <protection hidden="1"/>
    </xf>
    <xf numFmtId="3" fontId="39" fillId="0" borderId="48" xfId="0" applyNumberFormat="1" applyFont="1" applyBorder="1" applyProtection="1">
      <protection hidden="1"/>
    </xf>
    <xf numFmtId="3" fontId="7" fillId="0" borderId="33" xfId="0" applyNumberFormat="1" applyFont="1" applyBorder="1" applyProtection="1">
      <protection hidden="1"/>
    </xf>
    <xf numFmtId="3" fontId="7" fillId="0" borderId="32" xfId="0" applyNumberFormat="1" applyFont="1" applyBorder="1" applyProtection="1">
      <protection hidden="1"/>
    </xf>
    <xf numFmtId="3" fontId="4" fillId="0" borderId="15" xfId="0" applyNumberFormat="1" applyFont="1" applyBorder="1"/>
    <xf numFmtId="3" fontId="4" fillId="0" borderId="8" xfId="0" applyNumberFormat="1" applyFont="1" applyBorder="1"/>
    <xf numFmtId="3" fontId="4" fillId="6" borderId="31" xfId="0" applyNumberFormat="1" applyFont="1" applyFill="1" applyBorder="1" applyProtection="1">
      <protection hidden="1"/>
    </xf>
    <xf numFmtId="3" fontId="4" fillId="0" borderId="13" xfId="0" applyNumberFormat="1" applyFont="1" applyBorder="1"/>
    <xf numFmtId="3" fontId="4" fillId="0" borderId="31" xfId="0" applyNumberFormat="1" applyFont="1" applyBorder="1" applyProtection="1">
      <protection hidden="1"/>
    </xf>
    <xf numFmtId="3" fontId="4" fillId="0" borderId="49" xfId="0" applyNumberFormat="1" applyFont="1" applyBorder="1"/>
    <xf numFmtId="3" fontId="39" fillId="0" borderId="16" xfId="0" applyNumberFormat="1" applyFont="1" applyBorder="1" applyProtection="1">
      <protection hidden="1"/>
    </xf>
    <xf numFmtId="1" fontId="4" fillId="0" borderId="13" xfId="0" applyNumberFormat="1" applyFont="1" applyBorder="1"/>
    <xf numFmtId="1" fontId="39" fillId="0" borderId="13" xfId="0" applyNumberFormat="1" applyFont="1" applyBorder="1" applyProtection="1">
      <protection hidden="1"/>
    </xf>
    <xf numFmtId="166" fontId="4" fillId="6" borderId="31" xfId="0" applyNumberFormat="1" applyFont="1" applyFill="1" applyBorder="1" applyAlignment="1" applyProtection="1">
      <alignment horizontal="center"/>
      <protection hidden="1"/>
    </xf>
    <xf numFmtId="164" fontId="4" fillId="9" borderId="31" xfId="2" applyNumberFormat="1" applyFill="1" applyBorder="1" applyAlignment="1" applyProtection="1">
      <alignment horizontal="center"/>
      <protection hidden="1"/>
    </xf>
    <xf numFmtId="166" fontId="4" fillId="0" borderId="31" xfId="0" applyNumberFormat="1" applyFont="1" applyBorder="1" applyAlignment="1" applyProtection="1">
      <alignment horizontal="center"/>
      <protection hidden="1"/>
    </xf>
    <xf numFmtId="164" fontId="7" fillId="0" borderId="52" xfId="2" applyNumberFormat="1" applyFont="1" applyBorder="1" applyAlignment="1" applyProtection="1">
      <alignment horizontal="center"/>
      <protection hidden="1"/>
    </xf>
    <xf numFmtId="3" fontId="39" fillId="0" borderId="9" xfId="0" applyNumberFormat="1" applyFont="1" applyBorder="1" applyProtection="1">
      <protection hidden="1"/>
    </xf>
    <xf numFmtId="3" fontId="7" fillId="0" borderId="54" xfId="0" applyNumberFormat="1" applyFont="1" applyBorder="1" applyProtection="1">
      <protection hidden="1"/>
    </xf>
    <xf numFmtId="3" fontId="7" fillId="6" borderId="36" xfId="0" applyNumberFormat="1" applyFont="1" applyFill="1" applyBorder="1" applyAlignment="1" applyProtection="1">
      <alignment horizontal="center"/>
      <protection hidden="1"/>
    </xf>
    <xf numFmtId="0" fontId="4" fillId="0" borderId="49" xfId="0" applyFont="1" applyBorder="1"/>
    <xf numFmtId="3" fontId="39" fillId="6" borderId="9" xfId="0" applyNumberFormat="1" applyFont="1" applyFill="1" applyBorder="1" applyProtection="1">
      <protection hidden="1"/>
    </xf>
    <xf numFmtId="3" fontId="39" fillId="0" borderId="49" xfId="0" applyNumberFormat="1" applyFont="1" applyBorder="1" applyProtection="1">
      <protection hidden="1"/>
    </xf>
    <xf numFmtId="0" fontId="6" fillId="0" borderId="0" xfId="0" applyFont="1" applyAlignment="1" applyProtection="1">
      <alignment horizontal="left"/>
      <protection hidden="1"/>
    </xf>
    <xf numFmtId="17" fontId="15" fillId="0" borderId="0" xfId="0" applyNumberFormat="1" applyFont="1"/>
    <xf numFmtId="1" fontId="15" fillId="0" borderId="0" xfId="0" applyNumberFormat="1" applyFont="1"/>
    <xf numFmtId="0" fontId="16" fillId="15" borderId="0" xfId="0" applyFont="1" applyFill="1"/>
    <xf numFmtId="3" fontId="16" fillId="15" borderId="0" xfId="0" applyNumberFormat="1" applyFont="1" applyFill="1"/>
    <xf numFmtId="3" fontId="5" fillId="0" borderId="0" xfId="0" applyNumberFormat="1" applyFont="1" applyAlignment="1" applyProtection="1">
      <alignment horizontal="right"/>
      <protection hidden="1"/>
    </xf>
    <xf numFmtId="0" fontId="58" fillId="0" borderId="0" xfId="0" applyFont="1" applyAlignment="1">
      <alignment horizontal="right"/>
    </xf>
    <xf numFmtId="0" fontId="50" fillId="0" borderId="0" xfId="0" applyFont="1" applyAlignment="1">
      <alignment horizontal="right" vertical="center"/>
    </xf>
    <xf numFmtId="0" fontId="65" fillId="0" borderId="0" xfId="0" applyFont="1" applyAlignment="1">
      <alignment horizontal="center"/>
    </xf>
    <xf numFmtId="0" fontId="66" fillId="0" borderId="0" xfId="0" applyFont="1" applyAlignment="1">
      <alignment horizontal="center" vertical="center"/>
    </xf>
    <xf numFmtId="0" fontId="50" fillId="0" borderId="0" xfId="0" applyFont="1" applyAlignment="1">
      <alignment horizontal="left" vertical="center"/>
    </xf>
    <xf numFmtId="0" fontId="5" fillId="0" borderId="0" xfId="0" applyFont="1" applyAlignment="1">
      <alignment vertical="center"/>
    </xf>
    <xf numFmtId="0" fontId="5" fillId="0" borderId="0" xfId="0" applyFont="1" applyAlignment="1">
      <alignment horizontal="left" vertical="center"/>
    </xf>
    <xf numFmtId="0" fontId="10" fillId="0" borderId="0" xfId="0" applyFont="1" applyAlignment="1" applyProtection="1">
      <alignment vertical="center"/>
      <protection hidden="1"/>
    </xf>
    <xf numFmtId="0" fontId="48" fillId="0" borderId="0" xfId="0" applyFont="1" applyAlignment="1">
      <alignment horizontal="left" vertical="center"/>
    </xf>
    <xf numFmtId="0" fontId="16" fillId="0" borderId="21" xfId="0" applyFont="1" applyBorder="1" applyAlignment="1">
      <alignment vertical="center"/>
    </xf>
    <xf numFmtId="3" fontId="0" fillId="0" borderId="32" xfId="0" applyNumberFormat="1" applyBorder="1" applyProtection="1">
      <protection hidden="1"/>
    </xf>
    <xf numFmtId="0" fontId="10" fillId="0" borderId="0" xfId="1" applyFont="1" applyAlignment="1" applyProtection="1">
      <alignment horizontal="center" vertical="center" wrapText="1"/>
      <protection hidden="1"/>
    </xf>
    <xf numFmtId="0" fontId="0" fillId="0" borderId="0" xfId="0" applyAlignment="1">
      <alignment horizontal="center" wrapText="1"/>
    </xf>
    <xf numFmtId="0" fontId="9" fillId="0" borderId="0" xfId="0" applyFont="1" applyAlignment="1">
      <alignment horizontal="left"/>
    </xf>
    <xf numFmtId="0" fontId="21" fillId="0" borderId="0" xfId="0" applyFont="1" applyAlignment="1">
      <alignment horizontal="right"/>
    </xf>
    <xf numFmtId="0" fontId="5" fillId="0" borderId="0" xfId="0" applyFont="1" applyAlignment="1">
      <alignment horizontal="left"/>
    </xf>
    <xf numFmtId="0" fontId="5" fillId="0" borderId="0" xfId="0" applyFont="1" applyAlignment="1" applyProtection="1">
      <alignment horizontal="left"/>
      <protection hidden="1"/>
    </xf>
    <xf numFmtId="0" fontId="8" fillId="0" borderId="0" xfId="0" applyFont="1" applyAlignment="1">
      <alignment horizontal="right" vertical="center"/>
    </xf>
    <xf numFmtId="0" fontId="8" fillId="0" borderId="0" xfId="0" applyFont="1" applyAlignment="1">
      <alignment horizontal="right" wrapText="1"/>
    </xf>
    <xf numFmtId="0" fontId="0" fillId="0" borderId="0" xfId="0" applyAlignment="1">
      <alignment vertical="top"/>
    </xf>
    <xf numFmtId="0" fontId="16" fillId="0" borderId="0" xfId="0" applyFont="1" applyAlignment="1" applyProtection="1">
      <alignment vertical="top"/>
      <protection hidden="1"/>
    </xf>
    <xf numFmtId="3" fontId="4" fillId="3" borderId="0" xfId="0" applyNumberFormat="1" applyFont="1" applyFill="1" applyAlignment="1">
      <alignment vertical="top"/>
    </xf>
    <xf numFmtId="49" fontId="4" fillId="3" borderId="0" xfId="0" applyNumberFormat="1" applyFont="1" applyFill="1" applyAlignment="1">
      <alignment horizontal="left" vertical="top"/>
    </xf>
    <xf numFmtId="3" fontId="16" fillId="0" borderId="0" xfId="0" applyNumberFormat="1" applyFont="1" applyAlignment="1" applyProtection="1">
      <alignment vertical="top"/>
      <protection hidden="1"/>
    </xf>
    <xf numFmtId="3" fontId="4" fillId="3" borderId="0" xfId="0" applyNumberFormat="1" applyFont="1" applyFill="1" applyAlignment="1">
      <alignment horizontal="right" vertical="top"/>
    </xf>
    <xf numFmtId="0" fontId="65" fillId="0" borderId="0" xfId="0" applyFont="1"/>
    <xf numFmtId="164" fontId="4" fillId="0" borderId="13" xfId="2" applyNumberFormat="1" applyBorder="1" applyAlignment="1" applyProtection="1">
      <alignment horizontal="center"/>
      <protection hidden="1"/>
    </xf>
    <xf numFmtId="0" fontId="0" fillId="3" borderId="0" xfId="0" applyFill="1" applyProtection="1">
      <protection locked="0"/>
    </xf>
    <xf numFmtId="0" fontId="15" fillId="0" borderId="0" xfId="0" applyFont="1" applyAlignment="1">
      <alignment horizontal="right" vertical="center"/>
    </xf>
    <xf numFmtId="0" fontId="15" fillId="0" borderId="0" xfId="0" applyFont="1" applyAlignment="1">
      <alignment horizontal="left"/>
    </xf>
    <xf numFmtId="0" fontId="4" fillId="0" borderId="0" xfId="0" applyFont="1" applyAlignment="1" applyProtection="1">
      <alignment horizontal="center"/>
      <protection hidden="1"/>
    </xf>
    <xf numFmtId="1" fontId="0" fillId="0" borderId="0" xfId="0" applyNumberFormat="1" applyAlignment="1">
      <alignment horizontal="center" vertical="center"/>
    </xf>
    <xf numFmtId="0" fontId="4" fillId="0" borderId="0" xfId="0" applyFont="1" applyProtection="1">
      <protection hidden="1"/>
    </xf>
    <xf numFmtId="164" fontId="6" fillId="0" borderId="0" xfId="2" applyNumberFormat="1" applyFont="1" applyProtection="1">
      <protection hidden="1"/>
    </xf>
    <xf numFmtId="164" fontId="0" fillId="0" borderId="0" xfId="2" applyNumberFormat="1" applyFont="1" applyAlignment="1" applyProtection="1">
      <alignment horizontal="center"/>
      <protection hidden="1"/>
    </xf>
    <xf numFmtId="1" fontId="6" fillId="0" borderId="0" xfId="0" applyNumberFormat="1" applyFont="1" applyProtection="1">
      <protection hidden="1"/>
    </xf>
    <xf numFmtId="3" fontId="4" fillId="0" borderId="0" xfId="0" applyNumberFormat="1" applyFont="1" applyProtection="1">
      <protection hidden="1"/>
    </xf>
    <xf numFmtId="0" fontId="69" fillId="0" borderId="0" xfId="0" applyFont="1" applyProtection="1">
      <protection hidden="1"/>
    </xf>
    <xf numFmtId="3" fontId="69" fillId="0" borderId="0" xfId="0" applyNumberFormat="1" applyFont="1" applyProtection="1">
      <protection hidden="1"/>
    </xf>
    <xf numFmtId="3" fontId="69" fillId="0" borderId="0" xfId="0" applyNumberFormat="1" applyFont="1" applyAlignment="1" applyProtection="1">
      <alignment horizontal="center"/>
      <protection hidden="1"/>
    </xf>
    <xf numFmtId="0" fontId="69" fillId="0" borderId="0" xfId="0" applyFont="1"/>
    <xf numFmtId="0" fontId="4" fillId="0" borderId="18" xfId="0" applyFont="1" applyBorder="1"/>
    <xf numFmtId="0" fontId="4" fillId="0" borderId="27" xfId="0" applyFont="1" applyBorder="1" applyAlignment="1" applyProtection="1">
      <alignment horizontal="center"/>
      <protection hidden="1"/>
    </xf>
    <xf numFmtId="0" fontId="4" fillId="0" borderId="18" xfId="0" applyFont="1" applyBorder="1" applyAlignment="1" applyProtection="1">
      <alignment horizontal="center"/>
      <protection hidden="1"/>
    </xf>
    <xf numFmtId="0" fontId="0" fillId="16" borderId="0" xfId="0" applyFill="1" applyProtection="1">
      <protection hidden="1"/>
    </xf>
    <xf numFmtId="1" fontId="6" fillId="16" borderId="0" xfId="0" applyNumberFormat="1" applyFont="1" applyFill="1" applyProtection="1">
      <protection hidden="1"/>
    </xf>
    <xf numFmtId="3" fontId="39" fillId="16" borderId="0" xfId="0" applyNumberFormat="1" applyFont="1" applyFill="1" applyProtection="1">
      <protection hidden="1"/>
    </xf>
    <xf numFmtId="0" fontId="4" fillId="17" borderId="0" xfId="0" applyFont="1" applyFill="1" applyAlignment="1" applyProtection="1">
      <alignment horizontal="right" vertical="center"/>
      <protection hidden="1"/>
    </xf>
    <xf numFmtId="0" fontId="4" fillId="18" borderId="0" xfId="0" applyFont="1" applyFill="1" applyAlignment="1" applyProtection="1">
      <alignment horizontal="right" vertical="center"/>
      <protection hidden="1"/>
    </xf>
    <xf numFmtId="0" fontId="4" fillId="19" borderId="0" xfId="0" applyFont="1" applyFill="1" applyAlignment="1" applyProtection="1">
      <alignment horizontal="right" vertical="center"/>
      <protection hidden="1"/>
    </xf>
    <xf numFmtId="1" fontId="0" fillId="17" borderId="0" xfId="0" applyNumberFormat="1" applyFill="1" applyProtection="1">
      <protection hidden="1"/>
    </xf>
    <xf numFmtId="3" fontId="39" fillId="17" borderId="0" xfId="0" applyNumberFormat="1" applyFont="1" applyFill="1" applyProtection="1">
      <protection hidden="1"/>
    </xf>
    <xf numFmtId="3" fontId="4" fillId="19" borderId="0" xfId="0" applyNumberFormat="1" applyFont="1" applyFill="1" applyProtection="1">
      <protection hidden="1"/>
    </xf>
    <xf numFmtId="3" fontId="39" fillId="19" borderId="0" xfId="0" applyNumberFormat="1" applyFont="1" applyFill="1" applyProtection="1">
      <protection hidden="1"/>
    </xf>
    <xf numFmtId="3" fontId="39" fillId="20" borderId="0" xfId="0" applyNumberFormat="1" applyFont="1" applyFill="1" applyProtection="1">
      <protection hidden="1"/>
    </xf>
    <xf numFmtId="3" fontId="4" fillId="20" borderId="0" xfId="0" applyNumberFormat="1" applyFont="1" applyFill="1" applyProtection="1">
      <protection hidden="1"/>
    </xf>
    <xf numFmtId="3" fontId="4" fillId="18" borderId="0" xfId="0" applyNumberFormat="1" applyFont="1" applyFill="1" applyProtection="1">
      <protection hidden="1"/>
    </xf>
    <xf numFmtId="3" fontId="39" fillId="18" borderId="0" xfId="0" applyNumberFormat="1" applyFont="1" applyFill="1" applyProtection="1">
      <protection hidden="1"/>
    </xf>
    <xf numFmtId="3" fontId="39" fillId="21" borderId="0" xfId="0" applyNumberFormat="1" applyFont="1" applyFill="1" applyProtection="1">
      <protection hidden="1"/>
    </xf>
    <xf numFmtId="3" fontId="4" fillId="21" borderId="0" xfId="0" applyNumberFormat="1" applyFont="1" applyFill="1" applyProtection="1">
      <protection hidden="1"/>
    </xf>
    <xf numFmtId="0" fontId="4" fillId="21" borderId="0" xfId="0" applyFont="1" applyFill="1" applyAlignment="1" applyProtection="1">
      <alignment horizontal="right" vertical="center"/>
      <protection hidden="1"/>
    </xf>
    <xf numFmtId="0" fontId="4" fillId="8" borderId="0" xfId="0" applyFont="1" applyFill="1" applyAlignment="1" applyProtection="1">
      <alignment horizontal="right" vertical="center"/>
      <protection hidden="1"/>
    </xf>
    <xf numFmtId="0" fontId="4" fillId="13" borderId="0" xfId="0" applyFont="1" applyFill="1" applyAlignment="1" applyProtection="1">
      <alignment horizontal="right" vertical="center"/>
      <protection hidden="1"/>
    </xf>
    <xf numFmtId="0" fontId="4" fillId="22" borderId="0" xfId="0" applyFont="1" applyFill="1" applyAlignment="1" applyProtection="1">
      <alignment horizontal="right" vertical="center"/>
      <protection hidden="1"/>
    </xf>
    <xf numFmtId="0" fontId="4" fillId="23" borderId="0" xfId="0" applyFont="1" applyFill="1" applyAlignment="1" applyProtection="1">
      <alignment horizontal="right" vertical="center"/>
      <protection hidden="1"/>
    </xf>
    <xf numFmtId="3" fontId="4" fillId="23" borderId="0" xfId="0" applyNumberFormat="1" applyFont="1" applyFill="1" applyProtection="1">
      <protection hidden="1"/>
    </xf>
    <xf numFmtId="3" fontId="39" fillId="23" borderId="0" xfId="0" applyNumberFormat="1" applyFont="1" applyFill="1" applyProtection="1">
      <protection hidden="1"/>
    </xf>
    <xf numFmtId="3" fontId="39" fillId="8" borderId="0" xfId="0" applyNumberFormat="1" applyFont="1" applyFill="1" applyProtection="1">
      <protection hidden="1"/>
    </xf>
    <xf numFmtId="3" fontId="39" fillId="13" borderId="0" xfId="0" applyNumberFormat="1" applyFont="1" applyFill="1" applyProtection="1">
      <protection hidden="1"/>
    </xf>
    <xf numFmtId="3" fontId="39" fillId="22" borderId="0" xfId="0" applyNumberFormat="1" applyFont="1" applyFill="1" applyProtection="1">
      <protection hidden="1"/>
    </xf>
    <xf numFmtId="3" fontId="39" fillId="24" borderId="0" xfId="0" applyNumberFormat="1" applyFont="1" applyFill="1" applyProtection="1">
      <protection hidden="1"/>
    </xf>
    <xf numFmtId="3" fontId="4" fillId="8" borderId="0" xfId="0" applyNumberFormat="1" applyFont="1" applyFill="1" applyProtection="1">
      <protection hidden="1"/>
    </xf>
    <xf numFmtId="3" fontId="4" fillId="13" borderId="0" xfId="0" applyNumberFormat="1" applyFont="1" applyFill="1" applyProtection="1">
      <protection hidden="1"/>
    </xf>
    <xf numFmtId="3" fontId="4" fillId="22" borderId="0" xfId="0" applyNumberFormat="1" applyFont="1" applyFill="1" applyProtection="1">
      <protection hidden="1"/>
    </xf>
    <xf numFmtId="0" fontId="4" fillId="24" borderId="0" xfId="0" applyFont="1" applyFill="1" applyAlignment="1" applyProtection="1">
      <alignment horizontal="right" vertical="center"/>
      <protection hidden="1"/>
    </xf>
    <xf numFmtId="3" fontId="4" fillId="24" borderId="0" xfId="0" applyNumberFormat="1" applyFont="1" applyFill="1" applyProtection="1">
      <protection hidden="1"/>
    </xf>
    <xf numFmtId="3" fontId="39" fillId="25" borderId="0" xfId="0" applyNumberFormat="1" applyFont="1" applyFill="1" applyProtection="1">
      <protection hidden="1"/>
    </xf>
    <xf numFmtId="3" fontId="4" fillId="25" borderId="0" xfId="0" applyNumberFormat="1" applyFont="1" applyFill="1" applyProtection="1">
      <protection hidden="1"/>
    </xf>
    <xf numFmtId="0" fontId="4" fillId="25" borderId="0" xfId="0" applyFont="1" applyFill="1" applyAlignment="1" applyProtection="1">
      <alignment horizontal="right" vertical="center"/>
      <protection hidden="1"/>
    </xf>
    <xf numFmtId="0" fontId="4" fillId="26" borderId="0" xfId="0" applyFont="1" applyFill="1" applyAlignment="1" applyProtection="1">
      <alignment horizontal="right" vertical="center"/>
      <protection hidden="1"/>
    </xf>
    <xf numFmtId="3" fontId="4" fillId="26" borderId="0" xfId="0" applyNumberFormat="1" applyFont="1" applyFill="1" applyProtection="1">
      <protection hidden="1"/>
    </xf>
    <xf numFmtId="3" fontId="39" fillId="26" borderId="0" xfId="0" applyNumberFormat="1" applyFont="1" applyFill="1" applyProtection="1">
      <protection hidden="1"/>
    </xf>
    <xf numFmtId="0" fontId="0" fillId="27" borderId="0" xfId="0" applyFill="1" applyProtection="1">
      <protection hidden="1"/>
    </xf>
    <xf numFmtId="3" fontId="39" fillId="27" borderId="0" xfId="0" applyNumberFormat="1" applyFont="1" applyFill="1" applyProtection="1">
      <protection hidden="1"/>
    </xf>
    <xf numFmtId="3" fontId="0" fillId="27" borderId="0" xfId="0" applyNumberFormat="1" applyFill="1" applyProtection="1">
      <protection hidden="1"/>
    </xf>
    <xf numFmtId="0" fontId="0" fillId="27" borderId="0" xfId="0" applyFill="1"/>
    <xf numFmtId="0" fontId="68" fillId="27" borderId="0" xfId="0" applyFont="1" applyFill="1"/>
    <xf numFmtId="0" fontId="68" fillId="27" borderId="0" xfId="0" applyFont="1" applyFill="1" applyAlignment="1" applyProtection="1">
      <alignment horizontal="center"/>
      <protection hidden="1"/>
    </xf>
    <xf numFmtId="1" fontId="68" fillId="27" borderId="0" xfId="0" applyNumberFormat="1" applyFont="1" applyFill="1" applyAlignment="1" applyProtection="1">
      <alignment horizontal="center"/>
      <protection hidden="1"/>
    </xf>
    <xf numFmtId="0" fontId="69" fillId="0" borderId="38" xfId="0" applyFont="1" applyBorder="1" applyProtection="1">
      <protection hidden="1"/>
    </xf>
    <xf numFmtId="3" fontId="69" fillId="0" borderId="10" xfId="0" applyNumberFormat="1" applyFont="1" applyBorder="1" applyProtection="1">
      <protection hidden="1"/>
    </xf>
    <xf numFmtId="3" fontId="69" fillId="0" borderId="5" xfId="0" applyNumberFormat="1" applyFont="1" applyBorder="1" applyProtection="1">
      <protection hidden="1"/>
    </xf>
    <xf numFmtId="0" fontId="4" fillId="0" borderId="17" xfId="0" applyFont="1" applyBorder="1" applyProtection="1">
      <protection hidden="1"/>
    </xf>
    <xf numFmtId="0" fontId="0" fillId="16" borderId="17" xfId="0" applyFill="1" applyBorder="1" applyProtection="1">
      <protection hidden="1"/>
    </xf>
    <xf numFmtId="0" fontId="4" fillId="17" borderId="17" xfId="0" applyFont="1" applyFill="1" applyBorder="1" applyAlignment="1" applyProtection="1">
      <alignment horizontal="right" vertical="center"/>
      <protection hidden="1"/>
    </xf>
    <xf numFmtId="0" fontId="4" fillId="19" borderId="17" xfId="0" applyFont="1" applyFill="1" applyBorder="1" applyAlignment="1" applyProtection="1">
      <alignment horizontal="right" vertical="center"/>
      <protection hidden="1"/>
    </xf>
    <xf numFmtId="0" fontId="4" fillId="18" borderId="17" xfId="0" applyFont="1" applyFill="1" applyBorder="1" applyAlignment="1" applyProtection="1">
      <alignment horizontal="right" vertical="center"/>
      <protection hidden="1"/>
    </xf>
    <xf numFmtId="0" fontId="4" fillId="21" borderId="17" xfId="0" applyFont="1" applyFill="1" applyBorder="1" applyAlignment="1" applyProtection="1">
      <alignment horizontal="right" vertical="center"/>
      <protection hidden="1"/>
    </xf>
    <xf numFmtId="0" fontId="4" fillId="23" borderId="17" xfId="0" applyFont="1" applyFill="1" applyBorder="1" applyAlignment="1" applyProtection="1">
      <alignment horizontal="right" vertical="center"/>
      <protection hidden="1"/>
    </xf>
    <xf numFmtId="0" fontId="4" fillId="8" borderId="17" xfId="0" applyFont="1" applyFill="1" applyBorder="1" applyAlignment="1" applyProtection="1">
      <alignment horizontal="right" vertical="center"/>
      <protection hidden="1"/>
    </xf>
    <xf numFmtId="0" fontId="4" fillId="13" borderId="17" xfId="0" applyFont="1" applyFill="1" applyBorder="1" applyAlignment="1" applyProtection="1">
      <alignment horizontal="right" vertical="center"/>
      <protection hidden="1"/>
    </xf>
    <xf numFmtId="0" fontId="4" fillId="22" borderId="17" xfId="0" applyFont="1" applyFill="1" applyBorder="1" applyAlignment="1" applyProtection="1">
      <alignment horizontal="right" vertical="center"/>
      <protection hidden="1"/>
    </xf>
    <xf numFmtId="0" fontId="4" fillId="24" borderId="17" xfId="0" applyFont="1" applyFill="1" applyBorder="1" applyAlignment="1" applyProtection="1">
      <alignment horizontal="right" vertical="center"/>
      <protection hidden="1"/>
    </xf>
    <xf numFmtId="0" fontId="4" fillId="25" borderId="17" xfId="0" applyFont="1" applyFill="1" applyBorder="1" applyAlignment="1" applyProtection="1">
      <alignment horizontal="right" vertical="center"/>
      <protection hidden="1"/>
    </xf>
    <xf numFmtId="0" fontId="4" fillId="26" borderId="15" xfId="0" applyFont="1" applyFill="1" applyBorder="1" applyAlignment="1" applyProtection="1">
      <alignment horizontal="right" vertical="center"/>
      <protection hidden="1"/>
    </xf>
    <xf numFmtId="0" fontId="6" fillId="0" borderId="7" xfId="0" applyFont="1" applyBorder="1" applyProtection="1">
      <protection hidden="1"/>
    </xf>
    <xf numFmtId="3" fontId="4" fillId="0" borderId="7" xfId="0" applyNumberFormat="1" applyFont="1" applyBorder="1" applyProtection="1">
      <protection hidden="1"/>
    </xf>
    <xf numFmtId="3" fontId="4" fillId="26" borderId="7" xfId="0" applyNumberFormat="1" applyFont="1" applyFill="1" applyBorder="1" applyProtection="1">
      <protection hidden="1"/>
    </xf>
    <xf numFmtId="3" fontId="0" fillId="0" borderId="7" xfId="0" applyNumberFormat="1" applyBorder="1" applyProtection="1">
      <protection hidden="1"/>
    </xf>
    <xf numFmtId="3" fontId="39" fillId="26" borderId="7" xfId="0" applyNumberFormat="1" applyFont="1" applyFill="1" applyBorder="1" applyProtection="1">
      <protection hidden="1"/>
    </xf>
    <xf numFmtId="3" fontId="39" fillId="26" borderId="8" xfId="0" applyNumberFormat="1" applyFont="1" applyFill="1" applyBorder="1" applyProtection="1">
      <protection hidden="1"/>
    </xf>
    <xf numFmtId="4" fontId="0" fillId="0" borderId="0" xfId="0" applyNumberFormat="1" applyAlignment="1" applyProtection="1">
      <alignment horizontal="center"/>
      <protection hidden="1"/>
    </xf>
    <xf numFmtId="4" fontId="39" fillId="0" borderId="0" xfId="0" applyNumberFormat="1" applyFont="1" applyProtection="1">
      <protection hidden="1"/>
    </xf>
    <xf numFmtId="4" fontId="69" fillId="0" borderId="0" xfId="0" applyNumberFormat="1" applyFont="1" applyAlignment="1" applyProtection="1">
      <alignment horizontal="center"/>
      <protection hidden="1"/>
    </xf>
    <xf numFmtId="3" fontId="69" fillId="0" borderId="0" xfId="0" applyNumberFormat="1" applyFont="1"/>
    <xf numFmtId="1" fontId="4" fillId="16" borderId="0" xfId="0" applyNumberFormat="1" applyFont="1" applyFill="1" applyProtection="1">
      <protection hidden="1"/>
    </xf>
    <xf numFmtId="3" fontId="69" fillId="0" borderId="10" xfId="0" applyNumberFormat="1" applyFont="1" applyBorder="1" applyAlignment="1" applyProtection="1">
      <alignment horizontal="center"/>
      <protection hidden="1"/>
    </xf>
    <xf numFmtId="3" fontId="69" fillId="0" borderId="5" xfId="0" applyNumberFormat="1" applyFont="1" applyBorder="1" applyAlignment="1" applyProtection="1">
      <alignment horizontal="center"/>
      <protection hidden="1"/>
    </xf>
    <xf numFmtId="0" fontId="6" fillId="0" borderId="19" xfId="0" applyFont="1" applyBorder="1" applyProtection="1">
      <protection hidden="1"/>
    </xf>
    <xf numFmtId="164" fontId="0" fillId="0" borderId="19" xfId="2" applyNumberFormat="1" applyFont="1" applyBorder="1" applyAlignment="1" applyProtection="1">
      <alignment horizontal="center"/>
      <protection hidden="1"/>
    </xf>
    <xf numFmtId="1" fontId="6" fillId="0" borderId="19" xfId="0" applyNumberFormat="1" applyFont="1" applyBorder="1" applyProtection="1">
      <protection hidden="1"/>
    </xf>
    <xf numFmtId="0" fontId="4" fillId="0" borderId="18" xfId="0" applyFont="1" applyBorder="1" applyAlignment="1" applyProtection="1">
      <alignment horizontal="left"/>
      <protection hidden="1"/>
    </xf>
    <xf numFmtId="0" fontId="15" fillId="0" borderId="29" xfId="0" applyFont="1" applyBorder="1"/>
    <xf numFmtId="167" fontId="6" fillId="0" borderId="0" xfId="0" applyNumberFormat="1" applyFont="1" applyAlignment="1">
      <alignment vertical="center"/>
    </xf>
    <xf numFmtId="0" fontId="71" fillId="0" borderId="17" xfId="0" applyFont="1" applyBorder="1" applyProtection="1">
      <protection hidden="1"/>
    </xf>
    <xf numFmtId="3" fontId="71" fillId="0" borderId="0" xfId="0" applyNumberFormat="1" applyFont="1" applyProtection="1">
      <protection hidden="1"/>
    </xf>
    <xf numFmtId="0" fontId="71" fillId="0" borderId="0" xfId="0" applyFont="1"/>
    <xf numFmtId="0" fontId="71" fillId="0" borderId="0" xfId="0" applyFont="1" applyAlignment="1" applyProtection="1">
      <alignment horizontal="left" vertical="center" wrapText="1"/>
      <protection hidden="1"/>
    </xf>
    <xf numFmtId="3" fontId="71" fillId="0" borderId="0" xfId="0" applyNumberFormat="1" applyFont="1" applyAlignment="1" applyProtection="1">
      <alignment vertical="center"/>
      <protection hidden="1"/>
    </xf>
    <xf numFmtId="0" fontId="71" fillId="16" borderId="17" xfId="0" applyFont="1" applyFill="1" applyBorder="1" applyProtection="1">
      <protection hidden="1"/>
    </xf>
    <xf numFmtId="3" fontId="72" fillId="16" borderId="0" xfId="0" applyNumberFormat="1" applyFont="1" applyFill="1" applyProtection="1">
      <protection hidden="1"/>
    </xf>
    <xf numFmtId="3" fontId="72" fillId="0" borderId="0" xfId="0" applyNumberFormat="1" applyFont="1" applyAlignment="1" applyProtection="1">
      <alignment vertical="center"/>
      <protection hidden="1"/>
    </xf>
    <xf numFmtId="0" fontId="38" fillId="0" borderId="7" xfId="0" applyFont="1" applyBorder="1" applyProtection="1">
      <protection hidden="1"/>
    </xf>
    <xf numFmtId="166" fontId="38" fillId="0" borderId="7" xfId="0" applyNumberFormat="1" applyFont="1" applyBorder="1" applyAlignment="1" applyProtection="1">
      <alignment horizontal="center"/>
      <protection hidden="1"/>
    </xf>
    <xf numFmtId="4" fontId="0" fillId="0" borderId="7" xfId="0" applyNumberFormat="1" applyBorder="1" applyProtection="1">
      <protection hidden="1"/>
    </xf>
    <xf numFmtId="0" fontId="7" fillId="16" borderId="0" xfId="0" applyFont="1" applyFill="1"/>
    <xf numFmtId="0" fontId="38" fillId="16" borderId="0" xfId="0" applyFont="1" applyFill="1" applyProtection="1">
      <protection hidden="1"/>
    </xf>
    <xf numFmtId="166" fontId="38" fillId="16" borderId="0" xfId="0" applyNumberFormat="1" applyFont="1" applyFill="1" applyAlignment="1" applyProtection="1">
      <alignment horizontal="center"/>
      <protection hidden="1"/>
    </xf>
    <xf numFmtId="4" fontId="0" fillId="16" borderId="0" xfId="0" applyNumberFormat="1" applyFill="1" applyProtection="1">
      <protection hidden="1"/>
    </xf>
    <xf numFmtId="0" fontId="0" fillId="16" borderId="0" xfId="0" applyFill="1"/>
    <xf numFmtId="0" fontId="73" fillId="0" borderId="0" xfId="0" applyFont="1" applyAlignment="1" applyProtection="1">
      <alignment horizontal="left" vertical="center" wrapText="1"/>
      <protection hidden="1"/>
    </xf>
    <xf numFmtId="3" fontId="73" fillId="0" borderId="0" xfId="0" applyNumberFormat="1" applyFont="1" applyAlignment="1" applyProtection="1">
      <alignment vertical="center"/>
      <protection hidden="1"/>
    </xf>
    <xf numFmtId="0" fontId="4" fillId="20" borderId="17" xfId="0" applyFont="1" applyFill="1" applyBorder="1" applyAlignment="1" applyProtection="1">
      <alignment horizontal="right" vertical="center"/>
      <protection hidden="1"/>
    </xf>
    <xf numFmtId="0" fontId="16" fillId="6" borderId="27" xfId="0" applyFont="1" applyFill="1" applyBorder="1" applyAlignment="1" applyProtection="1">
      <alignment horizontal="left"/>
      <protection hidden="1"/>
    </xf>
    <xf numFmtId="0" fontId="16" fillId="6" borderId="0" xfId="0" applyFont="1" applyFill="1" applyAlignment="1">
      <alignment vertical="center"/>
    </xf>
    <xf numFmtId="0" fontId="42" fillId="0" borderId="13" xfId="0" applyFont="1" applyBorder="1" applyAlignment="1">
      <alignment horizontal="left"/>
    </xf>
    <xf numFmtId="0" fontId="7" fillId="6" borderId="0" xfId="0" applyFont="1" applyFill="1" applyAlignment="1">
      <alignment horizontal="left"/>
    </xf>
    <xf numFmtId="0" fontId="7" fillId="16" borderId="38" xfId="0" applyFont="1" applyFill="1" applyBorder="1"/>
    <xf numFmtId="0" fontId="38" fillId="16" borderId="10" xfId="0" applyFont="1" applyFill="1" applyBorder="1" applyProtection="1">
      <protection hidden="1"/>
    </xf>
    <xf numFmtId="166" fontId="38" fillId="16" borderId="10" xfId="0" applyNumberFormat="1" applyFont="1" applyFill="1" applyBorder="1" applyAlignment="1" applyProtection="1">
      <alignment horizontal="center"/>
      <protection hidden="1"/>
    </xf>
    <xf numFmtId="4" fontId="0" fillId="16" borderId="10" xfId="0" applyNumberFormat="1" applyFill="1" applyBorder="1" applyProtection="1">
      <protection hidden="1"/>
    </xf>
    <xf numFmtId="0" fontId="0" fillId="16" borderId="10" xfId="0" applyFill="1" applyBorder="1"/>
    <xf numFmtId="0" fontId="0" fillId="16" borderId="5" xfId="0" applyFill="1" applyBorder="1"/>
    <xf numFmtId="1" fontId="7" fillId="16" borderId="17" xfId="0" applyNumberFormat="1" applyFont="1" applyFill="1" applyBorder="1" applyProtection="1">
      <protection hidden="1"/>
    </xf>
    <xf numFmtId="3" fontId="4" fillId="0" borderId="19" xfId="0" applyNumberFormat="1" applyFont="1" applyBorder="1" applyProtection="1">
      <protection hidden="1"/>
    </xf>
    <xf numFmtId="1" fontId="4" fillId="16" borderId="7" xfId="0" applyNumberFormat="1" applyFont="1" applyFill="1" applyBorder="1" applyProtection="1">
      <protection hidden="1"/>
    </xf>
    <xf numFmtId="1" fontId="4" fillId="16" borderId="8" xfId="0" applyNumberFormat="1" applyFont="1" applyFill="1" applyBorder="1" applyProtection="1">
      <protection hidden="1"/>
    </xf>
    <xf numFmtId="0" fontId="7" fillId="16" borderId="10" xfId="0" applyFont="1" applyFill="1" applyBorder="1"/>
    <xf numFmtId="0" fontId="4" fillId="7" borderId="34" xfId="0" applyFont="1" applyFill="1" applyBorder="1" applyProtection="1">
      <protection hidden="1"/>
    </xf>
    <xf numFmtId="0" fontId="4" fillId="7" borderId="0" xfId="0" applyFont="1" applyFill="1" applyProtection="1">
      <protection hidden="1"/>
    </xf>
    <xf numFmtId="0" fontId="4" fillId="0" borderId="0" xfId="0" applyFont="1" applyAlignment="1">
      <alignment horizontal="right"/>
    </xf>
    <xf numFmtId="1" fontId="0" fillId="0" borderId="0" xfId="0" applyNumberFormat="1" applyAlignment="1">
      <alignment horizontal="center"/>
    </xf>
    <xf numFmtId="0" fontId="15" fillId="0" borderId="0" xfId="0" applyFont="1" applyAlignment="1">
      <alignment horizontal="left" vertical="center"/>
    </xf>
    <xf numFmtId="0" fontId="75" fillId="0" borderId="0" xfId="0" applyFont="1" applyAlignment="1">
      <alignment horizontal="center" vertical="center"/>
    </xf>
    <xf numFmtId="0" fontId="75" fillId="0" borderId="0" xfId="0" applyFont="1" applyAlignment="1">
      <alignment horizontal="center"/>
    </xf>
    <xf numFmtId="0" fontId="75" fillId="0" borderId="0" xfId="0" applyFont="1"/>
    <xf numFmtId="0" fontId="80" fillId="0" borderId="0" xfId="0" applyFont="1"/>
    <xf numFmtId="0" fontId="15" fillId="0" borderId="21" xfId="0" applyFont="1" applyBorder="1" applyAlignment="1">
      <alignment horizontal="center" vertical="center"/>
    </xf>
    <xf numFmtId="0" fontId="5" fillId="0" borderId="0" xfId="0" applyFont="1" applyAlignment="1">
      <alignment horizontal="center" vertical="center" wrapText="1"/>
    </xf>
    <xf numFmtId="49" fontId="16" fillId="5" borderId="0" xfId="0" applyNumberFormat="1" applyFont="1" applyFill="1" applyAlignment="1">
      <alignment horizontal="center"/>
    </xf>
    <xf numFmtId="49" fontId="16" fillId="0" borderId="0" xfId="0" applyNumberFormat="1" applyFont="1" applyAlignment="1">
      <alignment horizontal="center"/>
    </xf>
    <xf numFmtId="49" fontId="15" fillId="0" borderId="0" xfId="0" applyNumberFormat="1" applyFont="1" applyAlignment="1">
      <alignment horizontal="center"/>
    </xf>
    <xf numFmtId="49" fontId="16" fillId="5" borderId="0" xfId="0" applyNumberFormat="1" applyFont="1" applyFill="1" applyAlignment="1">
      <alignment horizontal="center" vertical="center"/>
    </xf>
    <xf numFmtId="49" fontId="16" fillId="0" borderId="0" xfId="0" applyNumberFormat="1" applyFont="1" applyAlignment="1">
      <alignment horizontal="center" vertical="center"/>
    </xf>
    <xf numFmtId="49" fontId="15" fillId="0" borderId="0" xfId="0" applyNumberFormat="1" applyFont="1" applyAlignment="1">
      <alignment horizontal="center" vertical="center"/>
    </xf>
    <xf numFmtId="49" fontId="16" fillId="0" borderId="0" xfId="0" applyNumberFormat="1" applyFont="1" applyAlignment="1" applyProtection="1">
      <alignment horizontal="center" vertical="center"/>
      <protection hidden="1"/>
    </xf>
    <xf numFmtId="49" fontId="16" fillId="11" borderId="0" xfId="0" applyNumberFormat="1" applyFont="1" applyFill="1" applyAlignment="1">
      <alignment horizontal="center" vertical="center"/>
    </xf>
    <xf numFmtId="49" fontId="15" fillId="11" borderId="0" xfId="0" applyNumberFormat="1" applyFont="1" applyFill="1" applyAlignment="1">
      <alignment horizontal="center" vertical="center"/>
    </xf>
    <xf numFmtId="0" fontId="16" fillId="0" borderId="29" xfId="0" applyFont="1" applyBorder="1" applyAlignment="1">
      <alignment vertical="center"/>
    </xf>
    <xf numFmtId="0" fontId="16" fillId="0" borderId="29" xfId="0" applyFont="1" applyBorder="1" applyAlignment="1">
      <alignment horizontal="left" vertical="center"/>
    </xf>
    <xf numFmtId="0" fontId="15" fillId="0" borderId="50" xfId="1" applyFont="1" applyBorder="1" applyAlignment="1" applyProtection="1">
      <alignment vertical="center"/>
    </xf>
    <xf numFmtId="9" fontId="16" fillId="0" borderId="7" xfId="0" applyNumberFormat="1" applyFont="1" applyBorder="1" applyAlignment="1" applyProtection="1">
      <alignment vertical="center"/>
      <protection locked="0"/>
    </xf>
    <xf numFmtId="0" fontId="15" fillId="0" borderId="7" xfId="0" applyFont="1" applyBorder="1" applyAlignment="1">
      <alignment horizontal="left" vertical="center"/>
    </xf>
    <xf numFmtId="0" fontId="15" fillId="0" borderId="29" xfId="0" applyFont="1" applyBorder="1" applyAlignment="1">
      <alignment horizontal="left" vertical="center"/>
    </xf>
    <xf numFmtId="0" fontId="5" fillId="0" borderId="7" xfId="0" applyFont="1" applyBorder="1" applyAlignment="1">
      <alignment horizontal="center"/>
    </xf>
    <xf numFmtId="0" fontId="8" fillId="0" borderId="11" xfId="0" applyFont="1" applyBorder="1" applyAlignment="1">
      <alignment vertical="center"/>
    </xf>
    <xf numFmtId="0" fontId="5" fillId="10" borderId="11" xfId="0" applyFont="1" applyFill="1" applyBorder="1" applyAlignment="1" applyProtection="1">
      <alignment vertical="center"/>
      <protection locked="0"/>
    </xf>
    <xf numFmtId="0" fontId="8" fillId="0" borderId="29" xfId="0" applyFont="1" applyBorder="1" applyAlignment="1">
      <alignment vertical="center"/>
    </xf>
    <xf numFmtId="0" fontId="8" fillId="0" borderId="11" xfId="0" applyFont="1" applyBorder="1" applyAlignment="1" applyProtection="1">
      <alignment vertical="center"/>
      <protection hidden="1"/>
    </xf>
    <xf numFmtId="0" fontId="0" fillId="0" borderId="11" xfId="0" applyBorder="1" applyAlignment="1" applyProtection="1">
      <alignment vertical="center"/>
      <protection hidden="1"/>
    </xf>
    <xf numFmtId="0" fontId="8" fillId="11" borderId="29" xfId="0" applyFont="1" applyFill="1" applyBorder="1" applyAlignment="1">
      <alignment vertical="center"/>
    </xf>
    <xf numFmtId="0" fontId="5" fillId="11" borderId="0" xfId="0" applyFont="1" applyFill="1" applyAlignment="1">
      <alignment vertical="center"/>
    </xf>
    <xf numFmtId="0" fontId="5" fillId="0" borderId="0" xfId="0" applyFont="1" applyAlignment="1">
      <alignment horizontal="center" wrapText="1"/>
    </xf>
    <xf numFmtId="0" fontId="5" fillId="0" borderId="11" xfId="0" applyFont="1" applyBorder="1" applyAlignment="1">
      <alignment vertical="center"/>
    </xf>
    <xf numFmtId="0" fontId="5" fillId="0" borderId="9" xfId="0" applyFont="1" applyBorder="1" applyAlignment="1">
      <alignment vertical="center"/>
    </xf>
    <xf numFmtId="0" fontId="8" fillId="0" borderId="9" xfId="0" applyFont="1" applyBorder="1" applyAlignment="1">
      <alignment vertical="center"/>
    </xf>
    <xf numFmtId="0" fontId="5" fillId="11" borderId="9" xfId="0" applyFont="1" applyFill="1" applyBorder="1" applyAlignment="1">
      <alignment vertical="center"/>
    </xf>
    <xf numFmtId="0" fontId="5" fillId="11" borderId="11" xfId="0" applyFont="1" applyFill="1" applyBorder="1" applyAlignment="1">
      <alignment vertical="center"/>
    </xf>
    <xf numFmtId="9" fontId="46" fillId="10" borderId="13" xfId="0" applyNumberFormat="1" applyFont="1" applyFill="1" applyBorder="1" applyAlignment="1" applyProtection="1">
      <alignment horizontal="center" vertical="center"/>
      <protection locked="0"/>
    </xf>
    <xf numFmtId="0" fontId="41" fillId="0" borderId="11" xfId="0" applyFont="1" applyBorder="1" applyAlignment="1">
      <alignment horizontal="center" vertical="center"/>
    </xf>
    <xf numFmtId="0" fontId="4" fillId="9" borderId="0" xfId="0" applyFont="1" applyFill="1" applyAlignment="1">
      <alignment horizontal="center" vertical="center"/>
    </xf>
    <xf numFmtId="0" fontId="0" fillId="9" borderId="0" xfId="0" applyFill="1" applyAlignment="1">
      <alignment horizontal="center" vertical="center"/>
    </xf>
    <xf numFmtId="3" fontId="0" fillId="0" borderId="0" xfId="0" applyNumberFormat="1" applyAlignment="1">
      <alignment horizontal="center" vertical="center"/>
    </xf>
    <xf numFmtId="0" fontId="49" fillId="0" borderId="0" xfId="0" applyFont="1" applyAlignment="1">
      <alignment horizontal="center" vertical="center"/>
    </xf>
    <xf numFmtId="1" fontId="49" fillId="0" borderId="0" xfId="0" applyNumberFormat="1" applyFont="1" applyAlignment="1">
      <alignment horizontal="center" vertical="center"/>
    </xf>
    <xf numFmtId="166" fontId="0" fillId="9" borderId="0" xfId="0" applyNumberFormat="1" applyFill="1" applyAlignment="1">
      <alignment horizontal="center" vertical="center"/>
    </xf>
    <xf numFmtId="167" fontId="0" fillId="0" borderId="0" xfId="0" applyNumberFormat="1" applyAlignment="1">
      <alignment horizontal="center" vertical="center"/>
    </xf>
    <xf numFmtId="0" fontId="7" fillId="0" borderId="0" xfId="0" applyFont="1" applyAlignment="1">
      <alignment horizontal="center" vertical="center"/>
    </xf>
    <xf numFmtId="0" fontId="4" fillId="11" borderId="0" xfId="0" applyFont="1" applyFill="1" applyAlignment="1">
      <alignment horizontal="center" vertical="center"/>
    </xf>
    <xf numFmtId="0" fontId="0" fillId="11" borderId="0" xfId="0" applyFill="1" applyAlignment="1">
      <alignment horizontal="center" vertical="center"/>
    </xf>
    <xf numFmtId="0" fontId="15" fillId="0" borderId="10" xfId="0" applyFont="1" applyBorder="1" applyAlignment="1">
      <alignment horizontal="center"/>
    </xf>
    <xf numFmtId="1" fontId="0" fillId="9" borderId="0" xfId="0" applyNumberFormat="1" applyFill="1"/>
    <xf numFmtId="3" fontId="0" fillId="9" borderId="0" xfId="0" applyNumberFormat="1" applyFill="1"/>
    <xf numFmtId="1" fontId="0" fillId="9" borderId="13" xfId="0" applyNumberFormat="1" applyFill="1" applyBorder="1"/>
    <xf numFmtId="164" fontId="33" fillId="9" borderId="13" xfId="2" applyNumberFormat="1" applyFont="1" applyFill="1" applyBorder="1"/>
    <xf numFmtId="164" fontId="16" fillId="0" borderId="0" xfId="0" applyNumberFormat="1" applyFont="1" applyProtection="1">
      <protection hidden="1"/>
    </xf>
    <xf numFmtId="3" fontId="0" fillId="9" borderId="13" xfId="0" applyNumberFormat="1" applyFill="1" applyBorder="1"/>
    <xf numFmtId="3" fontId="0" fillId="9" borderId="0" xfId="0" applyNumberFormat="1" applyFill="1" applyProtection="1">
      <protection hidden="1"/>
    </xf>
    <xf numFmtId="10" fontId="4" fillId="9" borderId="13" xfId="2" applyNumberFormat="1" applyFill="1" applyBorder="1" applyAlignment="1" applyProtection="1">
      <alignment horizontal="center"/>
      <protection hidden="1"/>
    </xf>
    <xf numFmtId="0" fontId="87" fillId="0" borderId="0" xfId="0" applyFont="1"/>
    <xf numFmtId="166" fontId="0" fillId="0" borderId="0" xfId="0" applyNumberFormat="1" applyAlignment="1">
      <alignment horizontal="center" vertical="center"/>
    </xf>
    <xf numFmtId="0" fontId="15" fillId="0" borderId="26" xfId="0" applyFont="1" applyBorder="1" applyAlignment="1">
      <alignment horizontal="center" vertical="center"/>
    </xf>
    <xf numFmtId="0" fontId="16" fillId="0" borderId="29" xfId="0" applyFont="1" applyBorder="1" applyProtection="1">
      <protection hidden="1"/>
    </xf>
    <xf numFmtId="0" fontId="16" fillId="0" borderId="0" xfId="0" applyFont="1" applyAlignment="1">
      <alignment horizontal="left"/>
    </xf>
    <xf numFmtId="0" fontId="0" fillId="0" borderId="0" xfId="0" applyAlignment="1" applyProtection="1">
      <alignment horizontal="left"/>
      <protection hidden="1"/>
    </xf>
    <xf numFmtId="0" fontId="58" fillId="0" borderId="0" xfId="0" applyFont="1" applyAlignment="1">
      <alignment horizontal="center"/>
    </xf>
    <xf numFmtId="49" fontId="5" fillId="10" borderId="11" xfId="0" applyNumberFormat="1" applyFont="1" applyFill="1" applyBorder="1" applyAlignment="1" applyProtection="1">
      <alignment vertical="center"/>
      <protection locked="0"/>
    </xf>
    <xf numFmtId="0" fontId="0" fillId="0" borderId="0" xfId="0" applyAlignment="1">
      <alignment horizontal="left" vertical="top"/>
    </xf>
    <xf numFmtId="0" fontId="9" fillId="0" borderId="0" xfId="0" applyFont="1" applyAlignment="1">
      <alignment horizontal="left" vertical="center"/>
    </xf>
    <xf numFmtId="0" fontId="4" fillId="0" borderId="0" xfId="0" applyFont="1" applyAlignment="1">
      <alignment horizontal="left" vertical="center"/>
    </xf>
    <xf numFmtId="0" fontId="4" fillId="0" borderId="69" xfId="0" applyFont="1" applyBorder="1" applyProtection="1">
      <protection hidden="1"/>
    </xf>
    <xf numFmtId="0" fontId="88" fillId="0" borderId="0" xfId="0" applyFont="1" applyAlignment="1">
      <alignment vertical="center"/>
    </xf>
    <xf numFmtId="0" fontId="88" fillId="0" borderId="0" xfId="0" applyFont="1" applyAlignment="1">
      <alignment vertical="top"/>
    </xf>
    <xf numFmtId="0" fontId="88" fillId="0" borderId="0" xfId="0" applyFont="1"/>
    <xf numFmtId="0" fontId="4" fillId="0" borderId="0" xfId="0" applyFont="1" applyAlignment="1">
      <alignment horizontal="center"/>
    </xf>
    <xf numFmtId="166" fontId="45" fillId="0" borderId="13" xfId="0" applyNumberFormat="1" applyFont="1" applyBorder="1" applyAlignment="1" applyProtection="1">
      <alignment horizontal="right"/>
      <protection hidden="1"/>
    </xf>
    <xf numFmtId="0" fontId="42" fillId="0" borderId="13" xfId="0" applyFont="1" applyBorder="1" applyAlignment="1" applyProtection="1">
      <alignment horizontal="left"/>
      <protection hidden="1"/>
    </xf>
    <xf numFmtId="0" fontId="42" fillId="0" borderId="13" xfId="0" applyFont="1" applyBorder="1"/>
    <xf numFmtId="0" fontId="4" fillId="0" borderId="9" xfId="0" applyFont="1" applyBorder="1" applyProtection="1">
      <protection hidden="1"/>
    </xf>
    <xf numFmtId="49" fontId="16" fillId="6" borderId="13" xfId="0" applyNumberFormat="1" applyFont="1" applyFill="1" applyBorder="1" applyAlignment="1">
      <alignment vertical="top"/>
    </xf>
    <xf numFmtId="3" fontId="4" fillId="0" borderId="0" xfId="0" applyNumberFormat="1" applyFont="1"/>
    <xf numFmtId="0" fontId="6" fillId="0" borderId="27" xfId="0" applyFont="1" applyBorder="1"/>
    <xf numFmtId="0" fontId="16" fillId="0" borderId="9" xfId="0" applyFont="1" applyBorder="1" applyAlignment="1">
      <alignment vertical="center"/>
    </xf>
    <xf numFmtId="0" fontId="0" fillId="0" borderId="0" xfId="0" applyAlignment="1">
      <alignment horizontal="right" vertical="center"/>
    </xf>
    <xf numFmtId="0" fontId="91" fillId="0" borderId="0" xfId="0" applyFont="1"/>
    <xf numFmtId="0" fontId="4" fillId="3" borderId="0" xfId="0" applyFont="1" applyFill="1" applyProtection="1">
      <protection hidden="1"/>
    </xf>
    <xf numFmtId="0" fontId="43" fillId="3" borderId="0" xfId="0" applyFont="1" applyFill="1" applyAlignment="1" applyProtection="1">
      <alignment horizontal="left" vertical="center"/>
      <protection hidden="1"/>
    </xf>
    <xf numFmtId="0" fontId="30" fillId="3" borderId="0" xfId="0" applyFont="1" applyFill="1" applyAlignment="1" applyProtection="1">
      <alignment horizontal="left" vertical="center"/>
      <protection hidden="1"/>
    </xf>
    <xf numFmtId="1" fontId="5" fillId="0" borderId="0" xfId="0" applyNumberFormat="1" applyFont="1" applyAlignment="1">
      <alignment horizontal="center" vertical="center"/>
    </xf>
    <xf numFmtId="164" fontId="8" fillId="0" borderId="0" xfId="0" applyNumberFormat="1" applyFont="1" applyAlignment="1">
      <alignment vertical="center"/>
    </xf>
    <xf numFmtId="0" fontId="8" fillId="0" borderId="0" xfId="0" applyFont="1" applyAlignment="1" applyProtection="1">
      <alignment vertical="center"/>
      <protection locked="0"/>
    </xf>
    <xf numFmtId="0" fontId="5" fillId="0" borderId="0" xfId="0" applyFont="1" applyAlignment="1" applyProtection="1">
      <alignment vertical="center"/>
      <protection locked="0"/>
    </xf>
    <xf numFmtId="0" fontId="7" fillId="7" borderId="34" xfId="0" applyFont="1" applyFill="1" applyBorder="1" applyProtection="1">
      <protection hidden="1"/>
    </xf>
    <xf numFmtId="0" fontId="16" fillId="3" borderId="0" xfId="0" applyFont="1" applyFill="1" applyAlignment="1" applyProtection="1">
      <alignment vertical="center"/>
      <protection locked="0"/>
    </xf>
    <xf numFmtId="0" fontId="30" fillId="0" borderId="25" xfId="0" applyFont="1" applyBorder="1" applyAlignment="1">
      <alignment vertical="center"/>
    </xf>
    <xf numFmtId="0" fontId="16" fillId="0" borderId="18" xfId="0" applyFont="1" applyBorder="1" applyAlignment="1" applyProtection="1">
      <alignment vertical="center"/>
      <protection locked="0"/>
    </xf>
    <xf numFmtId="0" fontId="16" fillId="0" borderId="0" xfId="0" applyFont="1" applyAlignment="1" applyProtection="1">
      <alignment vertical="center"/>
      <protection locked="0"/>
    </xf>
    <xf numFmtId="0" fontId="16" fillId="0" borderId="28" xfId="0" applyFont="1" applyBorder="1" applyAlignment="1" applyProtection="1">
      <alignment vertical="center"/>
      <protection locked="0"/>
    </xf>
    <xf numFmtId="0" fontId="16" fillId="0" borderId="29" xfId="0" applyFont="1" applyBorder="1" applyAlignment="1" applyProtection="1">
      <alignment vertical="center"/>
      <protection locked="0"/>
    </xf>
    <xf numFmtId="3" fontId="15" fillId="0" borderId="0" xfId="0" applyNumberFormat="1" applyFont="1" applyAlignment="1" applyProtection="1">
      <alignment horizontal="center" vertical="center"/>
      <protection hidden="1"/>
    </xf>
    <xf numFmtId="0" fontId="15" fillId="0" borderId="29" xfId="0" applyFont="1" applyBorder="1" applyAlignment="1">
      <alignment vertical="center"/>
    </xf>
    <xf numFmtId="0" fontId="0" fillId="0" borderId="0" xfId="0" applyAlignment="1">
      <alignment horizontal="right"/>
    </xf>
    <xf numFmtId="0" fontId="15" fillId="0" borderId="26" xfId="0" applyFont="1" applyBorder="1" applyAlignment="1">
      <alignment vertical="center"/>
    </xf>
    <xf numFmtId="0" fontId="15" fillId="0" borderId="10" xfId="0" applyFont="1" applyBorder="1" applyAlignment="1">
      <alignment horizontal="center" vertical="center"/>
    </xf>
    <xf numFmtId="0" fontId="15" fillId="0" borderId="50" xfId="0" applyFont="1" applyBorder="1"/>
    <xf numFmtId="0" fontId="0" fillId="0" borderId="26" xfId="0" applyBorder="1" applyAlignment="1">
      <alignment vertical="center"/>
    </xf>
    <xf numFmtId="0" fontId="16" fillId="3" borderId="18" xfId="0" applyFont="1" applyFill="1" applyBorder="1" applyAlignment="1" applyProtection="1">
      <alignment vertical="center"/>
      <protection locked="0"/>
    </xf>
    <xf numFmtId="0" fontId="16" fillId="3" borderId="0" xfId="0" applyFont="1" applyFill="1" applyAlignment="1">
      <alignment vertical="center"/>
    </xf>
    <xf numFmtId="0" fontId="16" fillId="3" borderId="18" xfId="2" applyNumberFormat="1" applyFont="1" applyFill="1" applyBorder="1" applyAlignment="1" applyProtection="1">
      <alignment vertical="center"/>
      <protection locked="0"/>
    </xf>
    <xf numFmtId="0" fontId="16" fillId="3" borderId="29" xfId="0" applyFont="1" applyFill="1" applyBorder="1" applyAlignment="1" applyProtection="1">
      <alignment vertical="center"/>
      <protection locked="0"/>
    </xf>
    <xf numFmtId="0" fontId="98" fillId="0" borderId="18" xfId="0" applyFont="1" applyBorder="1" applyAlignment="1" applyProtection="1">
      <alignment vertical="center"/>
      <protection locked="0"/>
    </xf>
    <xf numFmtId="3" fontId="16" fillId="6" borderId="37" xfId="0" applyNumberFormat="1" applyFont="1" applyFill="1" applyBorder="1" applyAlignment="1" applyProtection="1">
      <alignment horizontal="center" vertical="center"/>
      <protection hidden="1"/>
    </xf>
    <xf numFmtId="3" fontId="16" fillId="6" borderId="13" xfId="0" applyNumberFormat="1" applyFont="1" applyFill="1" applyBorder="1" applyAlignment="1" applyProtection="1">
      <alignment horizontal="center" vertical="center"/>
      <protection hidden="1"/>
    </xf>
    <xf numFmtId="3" fontId="54" fillId="0" borderId="13" xfId="0" applyNumberFormat="1" applyFont="1" applyBorder="1" applyAlignment="1" applyProtection="1">
      <alignment horizontal="center" vertical="center"/>
      <protection hidden="1"/>
    </xf>
    <xf numFmtId="3" fontId="60" fillId="6" borderId="13" xfId="0" applyNumberFormat="1" applyFont="1" applyFill="1" applyBorder="1" applyAlignment="1" applyProtection="1">
      <alignment horizontal="center" vertical="center"/>
      <protection hidden="1"/>
    </xf>
    <xf numFmtId="3" fontId="42" fillId="0" borderId="13" xfId="0" applyNumberFormat="1" applyFont="1" applyBorder="1" applyAlignment="1" applyProtection="1">
      <alignment horizontal="center" vertical="center"/>
      <protection hidden="1"/>
    </xf>
    <xf numFmtId="0" fontId="81" fillId="0" borderId="0" xfId="0" applyFont="1" applyAlignment="1">
      <alignment vertical="top"/>
    </xf>
    <xf numFmtId="0" fontId="78" fillId="0" borderId="0" xfId="3" applyFont="1" applyAlignment="1">
      <alignment horizontal="center" vertical="center"/>
    </xf>
    <xf numFmtId="0" fontId="78" fillId="0" borderId="0" xfId="3" applyFont="1" applyAlignment="1">
      <alignment horizontal="right" vertical="center"/>
    </xf>
    <xf numFmtId="0" fontId="78" fillId="0" borderId="0" xfId="3" applyFont="1" applyAlignment="1">
      <alignment horizontal="left" vertical="center"/>
    </xf>
    <xf numFmtId="0" fontId="79" fillId="0" borderId="0" xfId="3" applyFont="1" applyAlignment="1">
      <alignment horizontal="center"/>
    </xf>
    <xf numFmtId="0" fontId="76" fillId="0" borderId="0" xfId="3" applyFont="1" applyAlignment="1">
      <alignment horizontal="center"/>
    </xf>
    <xf numFmtId="0" fontId="74" fillId="0" borderId="0" xfId="0" applyFont="1" applyAlignment="1">
      <alignment horizontal="center" vertical="center"/>
    </xf>
    <xf numFmtId="169" fontId="74" fillId="0" borderId="0" xfId="0" applyNumberFormat="1" applyFont="1" applyAlignment="1">
      <alignment horizontal="center" vertical="center"/>
    </xf>
    <xf numFmtId="0" fontId="94" fillId="0" borderId="0" xfId="0" applyFont="1" applyAlignment="1">
      <alignment horizontal="center" vertical="center"/>
    </xf>
    <xf numFmtId="0" fontId="78" fillId="0" borderId="0" xfId="3" applyFont="1" applyAlignment="1">
      <alignment horizontal="center"/>
    </xf>
    <xf numFmtId="0" fontId="78" fillId="0" borderId="0" xfId="3" applyFont="1" applyAlignment="1">
      <alignment horizontal="left"/>
    </xf>
    <xf numFmtId="0" fontId="86" fillId="0" borderId="0" xfId="3" applyFont="1" applyAlignment="1">
      <alignment horizontal="center"/>
    </xf>
    <xf numFmtId="6" fontId="86" fillId="0" borderId="0" xfId="3" applyNumberFormat="1" applyFont="1" applyAlignment="1">
      <alignment horizontal="center"/>
    </xf>
    <xf numFmtId="169" fontId="75" fillId="0" borderId="0" xfId="0" applyNumberFormat="1" applyFont="1" applyAlignment="1">
      <alignment horizontal="center" vertical="center"/>
    </xf>
    <xf numFmtId="166" fontId="94" fillId="0" borderId="0" xfId="0" applyNumberFormat="1" applyFont="1" applyAlignment="1">
      <alignment horizontal="center" vertical="center"/>
    </xf>
    <xf numFmtId="0" fontId="82" fillId="0" borderId="0" xfId="3" applyFont="1" applyAlignment="1">
      <alignment horizontal="center"/>
    </xf>
    <xf numFmtId="0" fontId="77" fillId="5" borderId="0" xfId="0" applyFont="1" applyFill="1" applyAlignment="1">
      <alignment horizontal="center" vertical="center"/>
    </xf>
    <xf numFmtId="0" fontId="75" fillId="11" borderId="0" xfId="0" applyFont="1" applyFill="1" applyAlignment="1">
      <alignment horizontal="center" vertical="center"/>
    </xf>
    <xf numFmtId="0" fontId="75" fillId="0" borderId="0" xfId="0" applyFont="1" applyAlignment="1">
      <alignment vertical="center"/>
    </xf>
    <xf numFmtId="172" fontId="75" fillId="0" borderId="0" xfId="0" applyNumberFormat="1" applyFont="1" applyAlignment="1">
      <alignment horizontal="center" vertical="center"/>
    </xf>
    <xf numFmtId="164" fontId="75" fillId="0" borderId="0" xfId="0" applyNumberFormat="1" applyFont="1" applyAlignment="1">
      <alignment horizontal="center" vertical="center"/>
    </xf>
    <xf numFmtId="170" fontId="75" fillId="0" borderId="0" xfId="0" applyNumberFormat="1" applyFont="1" applyAlignment="1">
      <alignment horizontal="center" vertical="center"/>
    </xf>
    <xf numFmtId="0" fontId="101" fillId="0" borderId="0" xfId="3" applyFont="1" applyAlignment="1">
      <alignment horizontal="center"/>
    </xf>
    <xf numFmtId="0" fontId="58" fillId="0" borderId="0" xfId="0" applyFont="1" applyAlignment="1">
      <alignment horizontal="center" vertical="center"/>
    </xf>
    <xf numFmtId="166" fontId="75" fillId="0" borderId="0" xfId="0" applyNumberFormat="1" applyFont="1" applyAlignment="1">
      <alignment horizontal="center" vertical="center"/>
    </xf>
    <xf numFmtId="171" fontId="74" fillId="0" borderId="0" xfId="0" applyNumberFormat="1" applyFont="1" applyAlignment="1">
      <alignment horizontal="center" vertical="center"/>
    </xf>
    <xf numFmtId="171" fontId="75" fillId="0" borderId="0" xfId="0" applyNumberFormat="1" applyFont="1" applyAlignment="1">
      <alignment horizontal="center" vertical="center"/>
    </xf>
    <xf numFmtId="3" fontId="74" fillId="0" borderId="0" xfId="0" applyNumberFormat="1" applyFont="1" applyAlignment="1">
      <alignment horizontal="center" vertical="center"/>
    </xf>
    <xf numFmtId="166" fontId="74" fillId="0" borderId="0" xfId="0" applyNumberFormat="1" applyFont="1" applyAlignment="1">
      <alignment horizontal="center" vertical="center"/>
    </xf>
    <xf numFmtId="0" fontId="105" fillId="0" borderId="0" xfId="0" applyFont="1" applyAlignment="1">
      <alignment horizontal="center" vertical="center"/>
    </xf>
    <xf numFmtId="3" fontId="15" fillId="0" borderId="0" xfId="0" applyNumberFormat="1" applyFont="1" applyAlignment="1">
      <alignment horizontal="center"/>
    </xf>
    <xf numFmtId="164" fontId="0" fillId="9" borderId="0" xfId="2" applyNumberFormat="1" applyFont="1" applyFill="1" applyAlignment="1">
      <alignment horizontal="center" vertical="center"/>
    </xf>
    <xf numFmtId="174" fontId="0" fillId="9" borderId="0" xfId="0" applyNumberFormat="1" applyFill="1" applyAlignment="1">
      <alignment horizontal="center" vertical="center"/>
    </xf>
    <xf numFmtId="174" fontId="0" fillId="0" borderId="0" xfId="0" applyNumberFormat="1" applyAlignment="1">
      <alignment horizontal="center" vertical="center"/>
    </xf>
    <xf numFmtId="167" fontId="0" fillId="9" borderId="0" xfId="0" applyNumberFormat="1" applyFill="1" applyAlignment="1">
      <alignment horizontal="center" vertical="center"/>
    </xf>
    <xf numFmtId="164" fontId="0" fillId="9" borderId="0" xfId="0" applyNumberFormat="1" applyFill="1" applyAlignment="1">
      <alignment horizontal="center" vertical="center"/>
    </xf>
    <xf numFmtId="164" fontId="0" fillId="0" borderId="0" xfId="0" applyNumberFormat="1" applyAlignment="1">
      <alignment horizontal="center" vertical="center"/>
    </xf>
    <xf numFmtId="4" fontId="8" fillId="10" borderId="13" xfId="0" applyNumberFormat="1" applyFont="1" applyFill="1" applyBorder="1" applyAlignment="1" applyProtection="1">
      <alignment horizontal="center" vertical="center"/>
      <protection locked="0"/>
    </xf>
    <xf numFmtId="4" fontId="8" fillId="10" borderId="31" xfId="0" applyNumberFormat="1" applyFont="1" applyFill="1" applyBorder="1" applyAlignment="1" applyProtection="1">
      <alignment horizontal="center" vertical="center"/>
      <protection locked="0"/>
    </xf>
    <xf numFmtId="3" fontId="8" fillId="10" borderId="13" xfId="0" applyNumberFormat="1" applyFont="1" applyFill="1" applyBorder="1" applyAlignment="1" applyProtection="1">
      <alignment horizontal="center" vertical="center"/>
      <protection locked="0"/>
    </xf>
    <xf numFmtId="3" fontId="8" fillId="10" borderId="11" xfId="0" applyNumberFormat="1" applyFont="1" applyFill="1" applyBorder="1" applyAlignment="1" applyProtection="1">
      <alignment horizontal="center" vertical="center"/>
      <protection locked="0"/>
    </xf>
    <xf numFmtId="3" fontId="8" fillId="0" borderId="13" xfId="0" applyNumberFormat="1" applyFont="1" applyBorder="1" applyAlignment="1" applyProtection="1">
      <alignment horizontal="center" vertical="center"/>
      <protection hidden="1"/>
    </xf>
    <xf numFmtId="164" fontId="8" fillId="0" borderId="13" xfId="0" applyNumberFormat="1" applyFont="1" applyBorder="1" applyAlignment="1" applyProtection="1">
      <alignment horizontal="center" vertical="center"/>
      <protection hidden="1"/>
    </xf>
    <xf numFmtId="164" fontId="8" fillId="0" borderId="31" xfId="0" applyNumberFormat="1" applyFont="1" applyBorder="1" applyAlignment="1" applyProtection="1">
      <alignment horizontal="center" vertical="center"/>
      <protection hidden="1"/>
    </xf>
    <xf numFmtId="4" fontId="8" fillId="0" borderId="13" xfId="0" applyNumberFormat="1" applyFont="1" applyBorder="1" applyAlignment="1" applyProtection="1">
      <alignment horizontal="center" vertical="center"/>
      <protection hidden="1"/>
    </xf>
    <xf numFmtId="3" fontId="8" fillId="0" borderId="31" xfId="0" applyNumberFormat="1" applyFont="1" applyBorder="1" applyAlignment="1" applyProtection="1">
      <alignment horizontal="center" vertical="center"/>
      <protection hidden="1"/>
    </xf>
    <xf numFmtId="3" fontId="8" fillId="0" borderId="0" xfId="0" applyNumberFormat="1" applyFont="1" applyAlignment="1" applyProtection="1">
      <alignment horizontal="center" vertical="center"/>
      <protection hidden="1"/>
    </xf>
    <xf numFmtId="3" fontId="8" fillId="10" borderId="31" xfId="0" applyNumberFormat="1" applyFont="1" applyFill="1" applyBorder="1" applyAlignment="1" applyProtection="1">
      <alignment horizontal="center" vertical="center"/>
      <protection locked="0"/>
    </xf>
    <xf numFmtId="2" fontId="8" fillId="10" borderId="31" xfId="0" applyNumberFormat="1" applyFont="1" applyFill="1" applyBorder="1" applyAlignment="1" applyProtection="1">
      <alignment horizontal="center" vertical="center"/>
      <protection locked="0"/>
    </xf>
    <xf numFmtId="3" fontId="8" fillId="3" borderId="26" xfId="0" applyNumberFormat="1" applyFont="1" applyFill="1" applyBorder="1" applyAlignment="1" applyProtection="1">
      <alignment horizontal="center" vertical="center"/>
      <protection hidden="1"/>
    </xf>
    <xf numFmtId="3" fontId="5" fillId="0" borderId="13" xfId="0" applyNumberFormat="1" applyFont="1" applyBorder="1" applyAlignment="1" applyProtection="1">
      <alignment horizontal="center" vertical="center"/>
      <protection hidden="1"/>
    </xf>
    <xf numFmtId="164" fontId="5" fillId="0" borderId="13" xfId="2" applyNumberFormat="1" applyFont="1" applyBorder="1" applyAlignment="1" applyProtection="1">
      <alignment horizontal="center" vertical="center"/>
      <protection hidden="1"/>
    </xf>
    <xf numFmtId="4" fontId="8" fillId="3" borderId="0" xfId="0" applyNumberFormat="1" applyFont="1" applyFill="1" applyAlignment="1" applyProtection="1">
      <alignment horizontal="center" vertical="center"/>
      <protection hidden="1"/>
    </xf>
    <xf numFmtId="0" fontId="8" fillId="3" borderId="0" xfId="0" applyFont="1" applyFill="1" applyAlignment="1">
      <alignment horizontal="center" vertical="center"/>
    </xf>
    <xf numFmtId="4" fontId="8" fillId="0" borderId="31" xfId="0" applyNumberFormat="1" applyFont="1" applyBorder="1" applyAlignment="1" applyProtection="1">
      <alignment horizontal="center" vertical="center"/>
      <protection hidden="1"/>
    </xf>
    <xf numFmtId="0" fontId="0" fillId="0" borderId="0" xfId="0" applyAlignment="1" applyProtection="1">
      <alignment horizontal="center" vertical="center"/>
      <protection hidden="1"/>
    </xf>
    <xf numFmtId="3" fontId="5" fillId="0" borderId="0" xfId="0" applyNumberFormat="1" applyFont="1" applyAlignment="1" applyProtection="1">
      <alignment horizontal="center" vertical="center"/>
      <protection hidden="1"/>
    </xf>
    <xf numFmtId="3" fontId="15" fillId="0" borderId="0" xfId="0" applyNumberFormat="1" applyFont="1" applyAlignment="1">
      <alignment horizontal="center" vertical="center"/>
    </xf>
    <xf numFmtId="3" fontId="5" fillId="0" borderId="31" xfId="0" applyNumberFormat="1" applyFont="1" applyBorder="1" applyAlignment="1" applyProtection="1">
      <alignment horizontal="center" vertical="center"/>
      <protection hidden="1"/>
    </xf>
    <xf numFmtId="9" fontId="16" fillId="10" borderId="50" xfId="0" applyNumberFormat="1" applyFont="1" applyFill="1" applyBorder="1" applyAlignment="1" applyProtection="1">
      <alignment horizontal="center" vertical="center"/>
      <protection locked="0"/>
    </xf>
    <xf numFmtId="3" fontId="8" fillId="0" borderId="0" xfId="0" applyNumberFormat="1" applyFont="1" applyAlignment="1">
      <alignment horizontal="center" vertical="center"/>
    </xf>
    <xf numFmtId="3" fontId="15" fillId="11" borderId="13" xfId="0" applyNumberFormat="1" applyFont="1" applyFill="1" applyBorder="1" applyAlignment="1" applyProtection="1">
      <alignment horizontal="center" vertical="center"/>
      <protection hidden="1"/>
    </xf>
    <xf numFmtId="164" fontId="8" fillId="12" borderId="13" xfId="0" applyNumberFormat="1" applyFont="1" applyFill="1" applyBorder="1" applyAlignment="1" applyProtection="1">
      <alignment horizontal="center" vertical="center"/>
      <protection locked="0"/>
    </xf>
    <xf numFmtId="0" fontId="16" fillId="0" borderId="13" xfId="0" applyFont="1" applyBorder="1" applyAlignment="1">
      <alignment horizontal="center" vertical="center"/>
    </xf>
    <xf numFmtId="0" fontId="16" fillId="0" borderId="13" xfId="0" applyFont="1" applyBorder="1" applyAlignment="1" applyProtection="1">
      <alignment horizontal="center" vertical="center"/>
      <protection hidden="1"/>
    </xf>
    <xf numFmtId="3" fontId="16" fillId="0" borderId="26" xfId="0" applyNumberFormat="1" applyFont="1" applyBorder="1" applyAlignment="1" applyProtection="1">
      <alignment horizontal="center" vertical="center"/>
      <protection hidden="1"/>
    </xf>
    <xf numFmtId="0" fontId="16" fillId="3" borderId="0" xfId="0" applyFont="1" applyFill="1" applyAlignment="1">
      <alignment horizontal="center" vertical="center"/>
    </xf>
    <xf numFmtId="3" fontId="16" fillId="0" borderId="29" xfId="0" applyNumberFormat="1" applyFont="1" applyBorder="1" applyAlignment="1" applyProtection="1">
      <alignment horizontal="center" vertical="center"/>
      <protection hidden="1"/>
    </xf>
    <xf numFmtId="0" fontId="41" fillId="0" borderId="9" xfId="0" applyFont="1" applyBorder="1" applyAlignment="1">
      <alignment horizontal="left" vertical="center"/>
    </xf>
    <xf numFmtId="170" fontId="3" fillId="0" borderId="0" xfId="0" applyNumberFormat="1" applyFont="1" applyAlignment="1">
      <alignment horizontal="center" vertical="center"/>
    </xf>
    <xf numFmtId="0" fontId="109" fillId="0" borderId="0" xfId="0" applyFont="1"/>
    <xf numFmtId="3" fontId="41" fillId="0" borderId="13" xfId="0" applyNumberFormat="1" applyFont="1" applyBorder="1" applyAlignment="1" applyProtection="1">
      <alignment horizontal="center" vertical="center"/>
      <protection hidden="1"/>
    </xf>
    <xf numFmtId="164" fontId="41" fillId="10" borderId="13" xfId="0" applyNumberFormat="1" applyFont="1" applyFill="1" applyBorder="1" applyAlignment="1" applyProtection="1">
      <alignment horizontal="center" vertical="center"/>
      <protection locked="0"/>
    </xf>
    <xf numFmtId="1" fontId="46" fillId="10" borderId="13" xfId="0" applyNumberFormat="1" applyFont="1" applyFill="1" applyBorder="1" applyAlignment="1" applyProtection="1">
      <alignment horizontal="center" vertical="center"/>
      <protection locked="0"/>
    </xf>
    <xf numFmtId="3" fontId="41" fillId="10" borderId="13" xfId="0" applyNumberFormat="1" applyFont="1" applyFill="1" applyBorder="1" applyAlignment="1" applyProtection="1">
      <alignment horizontal="center" vertical="center"/>
      <protection locked="0"/>
    </xf>
    <xf numFmtId="166" fontId="75" fillId="11" borderId="0" xfId="0" applyNumberFormat="1" applyFont="1" applyFill="1" applyAlignment="1">
      <alignment horizontal="center" vertical="center"/>
    </xf>
    <xf numFmtId="49" fontId="16" fillId="5" borderId="0" xfId="0" applyNumberFormat="1" applyFont="1" applyFill="1" applyAlignment="1" applyProtection="1">
      <alignment horizontal="center" vertical="center"/>
      <protection locked="0"/>
    </xf>
    <xf numFmtId="49" fontId="54" fillId="0" borderId="0" xfId="0" applyNumberFormat="1" applyFont="1" applyAlignment="1">
      <alignment horizontal="center" vertical="center"/>
    </xf>
    <xf numFmtId="49" fontId="16" fillId="0" borderId="11" xfId="0" applyNumberFormat="1" applyFont="1" applyBorder="1" applyAlignment="1">
      <alignment horizontal="center" vertical="center"/>
    </xf>
    <xf numFmtId="0" fontId="42" fillId="0" borderId="12" xfId="0" applyFont="1" applyBorder="1" applyAlignment="1">
      <alignment horizontal="right" vertical="center"/>
    </xf>
    <xf numFmtId="0" fontId="42" fillId="0" borderId="9" xfId="0" applyFont="1" applyBorder="1" applyAlignment="1">
      <alignment horizontal="right" vertical="center"/>
    </xf>
    <xf numFmtId="0" fontId="41" fillId="0" borderId="27" xfId="0" applyFont="1" applyBorder="1" applyAlignment="1">
      <alignment horizontal="left" vertical="center"/>
    </xf>
    <xf numFmtId="0" fontId="35" fillId="3" borderId="0" xfId="0" applyFont="1" applyFill="1" applyAlignment="1">
      <alignment horizontal="center" vertical="center"/>
    </xf>
    <xf numFmtId="0" fontId="36" fillId="3" borderId="0" xfId="0" applyFont="1" applyFill="1" applyAlignment="1">
      <alignment horizontal="center" vertical="center"/>
    </xf>
    <xf numFmtId="0" fontId="6" fillId="3" borderId="0" xfId="0" applyFont="1" applyFill="1" applyAlignment="1">
      <alignment horizontal="center" vertical="center"/>
    </xf>
    <xf numFmtId="164" fontId="8" fillId="0" borderId="13" xfId="2" applyNumberFormat="1" applyFont="1" applyBorder="1" applyAlignment="1" applyProtection="1">
      <alignment horizontal="center" vertical="center"/>
      <protection hidden="1"/>
    </xf>
    <xf numFmtId="3" fontId="16" fillId="0" borderId="13" xfId="0" applyNumberFormat="1" applyFont="1" applyBorder="1" applyAlignment="1" applyProtection="1">
      <alignment horizontal="center" vertical="center"/>
      <protection hidden="1"/>
    </xf>
    <xf numFmtId="3" fontId="54" fillId="10" borderId="37" xfId="0" applyNumberFormat="1" applyFont="1" applyFill="1" applyBorder="1" applyAlignment="1" applyProtection="1">
      <alignment horizontal="center" vertical="center"/>
      <protection locked="0"/>
    </xf>
    <xf numFmtId="0" fontId="16" fillId="6" borderId="13" xfId="0" applyFont="1" applyFill="1" applyBorder="1" applyAlignment="1" applyProtection="1">
      <alignment horizontal="center" vertical="center"/>
      <protection hidden="1"/>
    </xf>
    <xf numFmtId="0" fontId="15" fillId="0" borderId="26" xfId="0" applyFont="1" applyBorder="1" applyAlignment="1" applyProtection="1">
      <alignment horizontal="center" vertical="center"/>
      <protection hidden="1"/>
    </xf>
    <xf numFmtId="0" fontId="16" fillId="3" borderId="0" xfId="0" applyFont="1" applyFill="1" applyAlignment="1" applyProtection="1">
      <alignment horizontal="center" vertical="center"/>
      <protection hidden="1"/>
    </xf>
    <xf numFmtId="0" fontId="4" fillId="0" borderId="15" xfId="0" applyFont="1" applyBorder="1" applyProtection="1">
      <protection hidden="1"/>
    </xf>
    <xf numFmtId="0" fontId="4" fillId="0" borderId="41" xfId="0" applyFont="1" applyBorder="1" applyProtection="1">
      <protection hidden="1"/>
    </xf>
    <xf numFmtId="0" fontId="4" fillId="8" borderId="38" xfId="0" applyFont="1" applyFill="1" applyBorder="1" applyProtection="1">
      <protection hidden="1"/>
    </xf>
    <xf numFmtId="164" fontId="0" fillId="0" borderId="26" xfId="2" applyNumberFormat="1" applyFont="1" applyBorder="1" applyAlignment="1" applyProtection="1">
      <alignment horizontal="center"/>
      <protection hidden="1"/>
    </xf>
    <xf numFmtId="164" fontId="0" fillId="0" borderId="29" xfId="2" applyNumberFormat="1" applyFont="1" applyBorder="1" applyAlignment="1" applyProtection="1">
      <alignment horizontal="center"/>
      <protection hidden="1"/>
    </xf>
    <xf numFmtId="164" fontId="0" fillId="0" borderId="12" xfId="2" applyNumberFormat="1" applyFont="1" applyBorder="1" applyAlignment="1" applyProtection="1">
      <alignment horizontal="center"/>
      <protection hidden="1"/>
    </xf>
    <xf numFmtId="0" fontId="100" fillId="28" borderId="2" xfId="0" applyFont="1" applyFill="1" applyBorder="1" applyAlignment="1" applyProtection="1">
      <alignment horizontal="center" vertical="center"/>
      <protection hidden="1"/>
    </xf>
    <xf numFmtId="0" fontId="100" fillId="28" borderId="55" xfId="0" applyFont="1" applyFill="1" applyBorder="1" applyAlignment="1" applyProtection="1">
      <alignment horizontal="center" vertical="center"/>
      <protection hidden="1"/>
    </xf>
    <xf numFmtId="0" fontId="98" fillId="0" borderId="0" xfId="0" applyFont="1" applyAlignment="1" applyProtection="1">
      <alignment vertical="center"/>
      <protection locked="0"/>
    </xf>
    <xf numFmtId="0" fontId="89" fillId="0" borderId="13" xfId="0" applyFont="1" applyBorder="1" applyAlignment="1">
      <alignment horizontal="center"/>
    </xf>
    <xf numFmtId="164" fontId="98" fillId="10" borderId="13" xfId="0" applyNumberFormat="1" applyFont="1" applyFill="1" applyBorder="1" applyAlignment="1" applyProtection="1">
      <alignment horizontal="center" vertical="center"/>
      <protection locked="0"/>
    </xf>
    <xf numFmtId="1" fontId="89" fillId="0" borderId="13" xfId="0" applyNumberFormat="1" applyFont="1" applyBorder="1" applyAlignment="1">
      <alignment horizontal="center"/>
    </xf>
    <xf numFmtId="0" fontId="98" fillId="0" borderId="18" xfId="0" applyFont="1" applyBorder="1" applyAlignment="1" applyProtection="1">
      <alignment horizontal="left" vertical="center"/>
      <protection locked="0"/>
    </xf>
    <xf numFmtId="0" fontId="98" fillId="0" borderId="0" xfId="0" applyFont="1" applyAlignment="1" applyProtection="1">
      <alignment horizontal="left" vertical="center"/>
      <protection locked="0"/>
    </xf>
    <xf numFmtId="0" fontId="98" fillId="0" borderId="29" xfId="0" applyFont="1" applyBorder="1" applyAlignment="1" applyProtection="1">
      <alignment vertical="center"/>
      <protection locked="0"/>
    </xf>
    <xf numFmtId="0" fontId="98" fillId="0" borderId="28" xfId="0" applyFont="1" applyBorder="1" applyAlignment="1" applyProtection="1">
      <alignment vertical="center"/>
      <protection locked="0"/>
    </xf>
    <xf numFmtId="0" fontId="87" fillId="0" borderId="0" xfId="0" applyFont="1" applyAlignment="1">
      <alignment horizontal="right" vertical="center"/>
    </xf>
    <xf numFmtId="4" fontId="8" fillId="8" borderId="13" xfId="0" applyNumberFormat="1" applyFont="1" applyFill="1" applyBorder="1" applyAlignment="1" applyProtection="1">
      <alignment horizontal="center" vertical="center"/>
      <protection locked="0"/>
    </xf>
    <xf numFmtId="4" fontId="8" fillId="8" borderId="31" xfId="0" applyNumberFormat="1" applyFont="1" applyFill="1" applyBorder="1" applyAlignment="1" applyProtection="1">
      <alignment horizontal="center" vertical="center"/>
      <protection locked="0"/>
    </xf>
    <xf numFmtId="3" fontId="8" fillId="8" borderId="13" xfId="0" applyNumberFormat="1" applyFont="1" applyFill="1" applyBorder="1" applyAlignment="1" applyProtection="1">
      <alignment horizontal="center" vertical="center"/>
      <protection locked="0"/>
    </xf>
    <xf numFmtId="3" fontId="8" fillId="8" borderId="31" xfId="0" applyNumberFormat="1" applyFont="1" applyFill="1" applyBorder="1" applyAlignment="1" applyProtection="1">
      <alignment horizontal="center" vertical="center"/>
      <protection locked="0"/>
    </xf>
    <xf numFmtId="0" fontId="8" fillId="8" borderId="11" xfId="0" applyFont="1" applyFill="1" applyBorder="1" applyAlignment="1" applyProtection="1">
      <alignment vertical="center"/>
      <protection locked="0"/>
    </xf>
    <xf numFmtId="0" fontId="8" fillId="8" borderId="9" xfId="0" applyFont="1" applyFill="1" applyBorder="1" applyAlignment="1" applyProtection="1">
      <alignment vertical="center"/>
      <protection locked="0"/>
    </xf>
    <xf numFmtId="0" fontId="5" fillId="0" borderId="25" xfId="0" applyFont="1" applyBorder="1" applyAlignment="1">
      <alignment vertical="center"/>
    </xf>
    <xf numFmtId="0" fontId="5" fillId="0" borderId="13" xfId="0" applyFont="1" applyBorder="1" applyAlignment="1">
      <alignment vertical="center"/>
    </xf>
    <xf numFmtId="0" fontId="5" fillId="0" borderId="13" xfId="0" applyFont="1" applyBorder="1" applyAlignment="1" applyProtection="1">
      <alignment vertical="center"/>
      <protection hidden="1"/>
    </xf>
    <xf numFmtId="1" fontId="7" fillId="0" borderId="13" xfId="0" applyNumberFormat="1" applyFont="1" applyBorder="1" applyAlignment="1">
      <alignment horizontal="center"/>
    </xf>
    <xf numFmtId="0" fontId="5" fillId="0" borderId="2" xfId="0" applyFont="1" applyBorder="1" applyAlignment="1">
      <alignment horizontal="center"/>
    </xf>
    <xf numFmtId="1" fontId="7" fillId="0" borderId="55" xfId="0" applyNumberFormat="1" applyFont="1" applyBorder="1" applyAlignment="1" applyProtection="1">
      <alignment horizontal="center"/>
      <protection hidden="1"/>
    </xf>
    <xf numFmtId="0" fontId="7" fillId="0" borderId="0" xfId="0" applyFont="1" applyAlignment="1">
      <alignment horizontal="right" vertical="center" indent="1"/>
    </xf>
    <xf numFmtId="0" fontId="31" fillId="0" borderId="12" xfId="0" applyFont="1" applyBorder="1" applyAlignment="1">
      <alignment horizontal="center" vertical="center"/>
    </xf>
    <xf numFmtId="0" fontId="8" fillId="0" borderId="18" xfId="0" applyFont="1" applyBorder="1" applyAlignment="1" applyProtection="1">
      <alignment horizontal="left" vertical="center"/>
      <protection locked="0"/>
    </xf>
    <xf numFmtId="1" fontId="8" fillId="0" borderId="27" xfId="0" applyNumberFormat="1" applyFont="1" applyBorder="1" applyAlignment="1">
      <alignment vertical="center"/>
    </xf>
    <xf numFmtId="0" fontId="8" fillId="0" borderId="18" xfId="0" applyFont="1" applyBorder="1" applyAlignment="1">
      <alignment horizontal="left" vertical="center"/>
    </xf>
    <xf numFmtId="164" fontId="8" fillId="0" borderId="27" xfId="0" applyNumberFormat="1" applyFont="1" applyBorder="1" applyAlignment="1">
      <alignment vertical="center"/>
    </xf>
    <xf numFmtId="0" fontId="8" fillId="0" borderId="18" xfId="0" applyFont="1" applyBorder="1" applyAlignment="1" applyProtection="1">
      <alignment vertical="center"/>
      <protection locked="0"/>
    </xf>
    <xf numFmtId="0" fontId="8" fillId="0" borderId="27" xfId="0" applyFont="1" applyBorder="1" applyAlignment="1" applyProtection="1">
      <alignment vertical="center"/>
      <protection locked="0"/>
    </xf>
    <xf numFmtId="9" fontId="8" fillId="0" borderId="18" xfId="0" applyNumberFormat="1" applyFont="1" applyBorder="1" applyAlignment="1" applyProtection="1">
      <alignment horizontal="left" vertical="center"/>
      <protection locked="0"/>
    </xf>
    <xf numFmtId="1" fontId="8" fillId="0" borderId="27" xfId="0" applyNumberFormat="1" applyFont="1" applyBorder="1" applyAlignment="1">
      <alignment horizontal="center" vertical="center"/>
    </xf>
    <xf numFmtId="164" fontId="8" fillId="0" borderId="27" xfId="0" applyNumberFormat="1" applyFont="1" applyBorder="1" applyAlignment="1" applyProtection="1">
      <alignment vertical="center"/>
      <protection locked="0"/>
    </xf>
    <xf numFmtId="0" fontId="8" fillId="0" borderId="27" xfId="0" applyFont="1" applyBorder="1" applyAlignment="1">
      <alignment vertical="center"/>
    </xf>
    <xf numFmtId="0" fontId="0" fillId="0" borderId="18" xfId="0" applyBorder="1" applyAlignment="1">
      <alignment horizontal="left"/>
    </xf>
    <xf numFmtId="0" fontId="8" fillId="0" borderId="27" xfId="0" applyFont="1" applyBorder="1" applyAlignment="1">
      <alignment horizontal="left" vertical="center"/>
    </xf>
    <xf numFmtId="0" fontId="8" fillId="0" borderId="28" xfId="0" applyFont="1" applyBorder="1" applyAlignment="1" applyProtection="1">
      <alignment vertical="center"/>
      <protection locked="0"/>
    </xf>
    <xf numFmtId="0" fontId="8" fillId="0" borderId="29" xfId="0" applyFont="1" applyBorder="1" applyAlignment="1" applyProtection="1">
      <alignment vertical="center"/>
      <protection locked="0"/>
    </xf>
    <xf numFmtId="0" fontId="8" fillId="0" borderId="30" xfId="0" applyFont="1" applyBorder="1" applyAlignment="1" applyProtection="1">
      <alignment vertical="center"/>
      <protection locked="0"/>
    </xf>
    <xf numFmtId="0" fontId="5" fillId="0" borderId="2" xfId="0" applyFont="1" applyBorder="1" applyAlignment="1">
      <alignment horizontal="center" vertical="center"/>
    </xf>
    <xf numFmtId="1" fontId="7" fillId="0" borderId="55" xfId="0" applyNumberFormat="1" applyFont="1" applyBorder="1" applyAlignment="1" applyProtection="1">
      <alignment horizontal="center" vertical="center"/>
      <protection hidden="1"/>
    </xf>
    <xf numFmtId="0" fontId="15" fillId="0" borderId="25" xfId="0" applyFont="1" applyBorder="1" applyAlignment="1">
      <alignment horizontal="center" vertical="center"/>
    </xf>
    <xf numFmtId="0" fontId="15" fillId="11" borderId="18" xfId="0" applyFont="1" applyFill="1" applyBorder="1" applyAlignment="1">
      <alignment horizontal="center" vertical="center"/>
    </xf>
    <xf numFmtId="0" fontId="15" fillId="11" borderId="28" xfId="0" applyFont="1" applyFill="1" applyBorder="1" applyAlignment="1" applyProtection="1">
      <alignment horizontal="center" vertical="center"/>
      <protection hidden="1"/>
    </xf>
    <xf numFmtId="0" fontId="15" fillId="11" borderId="11" xfId="0" applyFont="1" applyFill="1" applyBorder="1" applyAlignment="1" applyProtection="1">
      <alignment horizontal="left" vertical="center"/>
      <protection hidden="1"/>
    </xf>
    <xf numFmtId="0" fontId="15" fillId="0" borderId="0" xfId="0" applyFont="1" applyAlignment="1" applyProtection="1">
      <alignment horizontal="center" vertical="center"/>
      <protection hidden="1"/>
    </xf>
    <xf numFmtId="164" fontId="15" fillId="0" borderId="0" xfId="2" applyNumberFormat="1" applyFont="1" applyBorder="1" applyAlignment="1" applyProtection="1">
      <alignment horizontal="center" vertical="center"/>
      <protection hidden="1"/>
    </xf>
    <xf numFmtId="0" fontId="15" fillId="0" borderId="18" xfId="0" applyFont="1" applyBorder="1" applyAlignment="1">
      <alignment horizontal="center" vertical="center"/>
    </xf>
    <xf numFmtId="0" fontId="15" fillId="0" borderId="28" xfId="0" applyFont="1" applyBorder="1" applyAlignment="1">
      <alignment horizontal="center" vertical="center"/>
    </xf>
    <xf numFmtId="164" fontId="8" fillId="0" borderId="31" xfId="2" applyNumberFormat="1" applyFont="1" applyBorder="1" applyAlignment="1" applyProtection="1">
      <alignment horizontal="center" vertical="center"/>
      <protection hidden="1"/>
    </xf>
    <xf numFmtId="0" fontId="8" fillId="0" borderId="0" xfId="0" applyFont="1" applyAlignment="1" applyProtection="1">
      <alignment horizontal="center" vertical="center"/>
      <protection hidden="1"/>
    </xf>
    <xf numFmtId="0" fontId="8" fillId="0" borderId="0" xfId="0" applyFont="1" applyAlignment="1" applyProtection="1">
      <alignment horizontal="left" vertical="center"/>
      <protection hidden="1"/>
    </xf>
    <xf numFmtId="0" fontId="7" fillId="0" borderId="29" xfId="0" applyFont="1" applyBorder="1" applyAlignment="1">
      <alignment horizontal="center"/>
    </xf>
    <xf numFmtId="0" fontId="5" fillId="0" borderId="0" xfId="0" applyFont="1" applyAlignment="1">
      <alignment horizontal="right" vertical="center" indent="1"/>
    </xf>
    <xf numFmtId="0" fontId="5" fillId="3" borderId="29" xfId="0" applyFont="1" applyFill="1" applyBorder="1" applyAlignment="1">
      <alignment vertical="center"/>
    </xf>
    <xf numFmtId="0" fontId="5" fillId="3" borderId="0" xfId="0" applyFont="1" applyFill="1" applyAlignment="1">
      <alignment horizontal="right" vertical="center" indent="1"/>
    </xf>
    <xf numFmtId="4" fontId="5" fillId="3" borderId="2" xfId="0" applyNumberFormat="1" applyFont="1" applyFill="1" applyBorder="1" applyAlignment="1" applyProtection="1">
      <alignment horizontal="center" vertical="center"/>
      <protection hidden="1"/>
    </xf>
    <xf numFmtId="1" fontId="7" fillId="3" borderId="55" xfId="0" applyNumberFormat="1" applyFont="1" applyFill="1" applyBorder="1" applyAlignment="1" applyProtection="1">
      <alignment horizontal="center" vertical="center"/>
      <protection hidden="1"/>
    </xf>
    <xf numFmtId="0" fontId="7" fillId="3" borderId="13" xfId="0" applyFont="1" applyFill="1" applyBorder="1" applyAlignment="1">
      <alignment horizontal="center" vertical="center"/>
    </xf>
    <xf numFmtId="0" fontId="0" fillId="0" borderId="29" xfId="0" applyBorder="1" applyAlignment="1">
      <alignment vertical="center"/>
    </xf>
    <xf numFmtId="1" fontId="7" fillId="0" borderId="55" xfId="0" applyNumberFormat="1" applyFont="1" applyBorder="1" applyAlignment="1">
      <alignment horizontal="center" vertical="center"/>
    </xf>
    <xf numFmtId="0" fontId="7" fillId="0" borderId="13" xfId="0" applyFont="1" applyBorder="1" applyAlignment="1">
      <alignment horizontal="center" vertical="center"/>
    </xf>
    <xf numFmtId="0" fontId="114" fillId="28" borderId="0" xfId="0" applyFont="1" applyFill="1" applyAlignment="1">
      <alignment horizontal="center" vertical="center"/>
    </xf>
    <xf numFmtId="0" fontId="15" fillId="11" borderId="29" xfId="0" applyFont="1" applyFill="1" applyBorder="1" applyAlignment="1" applyProtection="1">
      <alignment horizontal="left" vertical="center"/>
      <protection hidden="1"/>
    </xf>
    <xf numFmtId="0" fontId="15" fillId="11" borderId="0" xfId="0" applyFont="1" applyFill="1" applyAlignment="1" applyProtection="1">
      <alignment horizontal="center" vertical="center"/>
      <protection hidden="1"/>
    </xf>
    <xf numFmtId="0" fontId="15" fillId="11" borderId="0" xfId="0" applyFont="1" applyFill="1" applyAlignment="1" applyProtection="1">
      <alignment horizontal="left" vertical="center"/>
      <protection hidden="1"/>
    </xf>
    <xf numFmtId="164" fontId="15" fillId="11" borderId="0" xfId="2" applyNumberFormat="1" applyFont="1" applyFill="1" applyBorder="1" applyAlignment="1" applyProtection="1">
      <alignment horizontal="center" vertical="center"/>
      <protection hidden="1"/>
    </xf>
    <xf numFmtId="14" fontId="0" fillId="0" borderId="0" xfId="0" applyNumberFormat="1" applyAlignment="1">
      <alignment horizontal="left"/>
    </xf>
    <xf numFmtId="0" fontId="98" fillId="0" borderId="29" xfId="0" applyFont="1" applyBorder="1" applyAlignment="1">
      <alignment horizontal="center" vertical="center"/>
    </xf>
    <xf numFmtId="0" fontId="98" fillId="0" borderId="11" xfId="0" applyFont="1" applyBorder="1" applyAlignment="1">
      <alignment horizontal="left" vertical="center"/>
    </xf>
    <xf numFmtId="0" fontId="2" fillId="0" borderId="11" xfId="0" applyFont="1" applyBorder="1" applyAlignment="1">
      <alignment horizontal="left" vertical="center"/>
    </xf>
    <xf numFmtId="0" fontId="117" fillId="0" borderId="11" xfId="0" applyFont="1" applyBorder="1" applyAlignment="1">
      <alignment horizontal="left" vertical="center"/>
    </xf>
    <xf numFmtId="0" fontId="98" fillId="0" borderId="11" xfId="0" applyFont="1" applyBorder="1" applyAlignment="1">
      <alignment horizontal="center" vertical="center"/>
    </xf>
    <xf numFmtId="3" fontId="16" fillId="0" borderId="13" xfId="0" applyNumberFormat="1" applyFont="1" applyBorder="1" applyAlignment="1">
      <alignment horizontal="center" vertical="center"/>
    </xf>
    <xf numFmtId="0" fontId="16" fillId="6" borderId="2" xfId="0" applyFont="1" applyFill="1" applyBorder="1" applyAlignment="1">
      <alignment horizontal="center" vertical="center"/>
    </xf>
    <xf numFmtId="0" fontId="16" fillId="6" borderId="37" xfId="0" applyFont="1" applyFill="1" applyBorder="1" applyAlignment="1">
      <alignment horizontal="center" vertical="center"/>
    </xf>
    <xf numFmtId="49" fontId="16" fillId="6" borderId="37" xfId="0" applyNumberFormat="1" applyFont="1" applyFill="1" applyBorder="1" applyAlignment="1">
      <alignment horizontal="center" vertical="center"/>
    </xf>
    <xf numFmtId="3" fontId="16" fillId="0" borderId="9" xfId="0" applyNumberFormat="1" applyFont="1" applyBorder="1" applyAlignment="1">
      <alignment horizontal="center" vertical="center"/>
    </xf>
    <xf numFmtId="0" fontId="16" fillId="6" borderId="55" xfId="0" applyFont="1" applyFill="1" applyBorder="1" applyAlignment="1">
      <alignment horizontal="center" vertical="center"/>
    </xf>
    <xf numFmtId="0" fontId="85" fillId="0" borderId="0" xfId="0" applyFont="1" applyAlignment="1">
      <alignment horizontal="left" vertical="center"/>
    </xf>
    <xf numFmtId="0" fontId="101" fillId="28" borderId="18" xfId="3" applyFont="1" applyFill="1" applyBorder="1" applyAlignment="1">
      <alignment horizontal="center"/>
    </xf>
    <xf numFmtId="0" fontId="101" fillId="28" borderId="80" xfId="3" applyFont="1" applyFill="1" applyBorder="1" applyAlignment="1">
      <alignment horizontal="center"/>
    </xf>
    <xf numFmtId="0" fontId="101" fillId="28" borderId="81" xfId="3" applyFont="1" applyFill="1" applyBorder="1" applyAlignment="1">
      <alignment horizontal="center"/>
    </xf>
    <xf numFmtId="0" fontId="101" fillId="28" borderId="28" xfId="3" applyFont="1" applyFill="1" applyBorder="1" applyAlignment="1">
      <alignment horizontal="center"/>
    </xf>
    <xf numFmtId="0" fontId="101" fillId="28" borderId="82" xfId="3" applyFont="1" applyFill="1" applyBorder="1" applyAlignment="1">
      <alignment horizontal="center"/>
    </xf>
    <xf numFmtId="0" fontId="101" fillId="28" borderId="84" xfId="3" applyFont="1" applyFill="1" applyBorder="1" applyAlignment="1">
      <alignment horizontal="center"/>
    </xf>
    <xf numFmtId="0" fontId="118" fillId="28" borderId="0" xfId="0" applyFont="1" applyFill="1" applyAlignment="1">
      <alignment horizontal="left" vertical="center"/>
    </xf>
    <xf numFmtId="0" fontId="101" fillId="28" borderId="29" xfId="3" applyFont="1" applyFill="1" applyBorder="1" applyAlignment="1">
      <alignment horizontal="center"/>
    </xf>
    <xf numFmtId="0" fontId="101" fillId="28" borderId="83" xfId="3" applyFont="1" applyFill="1" applyBorder="1" applyAlignment="1">
      <alignment horizontal="center"/>
    </xf>
    <xf numFmtId="0" fontId="102" fillId="29" borderId="18" xfId="3" applyFont="1" applyFill="1" applyBorder="1" applyAlignment="1">
      <alignment horizontal="center"/>
    </xf>
    <xf numFmtId="0" fontId="102" fillId="29" borderId="80" xfId="3" applyFont="1" applyFill="1" applyBorder="1" applyAlignment="1">
      <alignment horizontal="center"/>
    </xf>
    <xf numFmtId="0" fontId="101" fillId="28" borderId="0" xfId="3" applyFont="1" applyFill="1" applyAlignment="1">
      <alignment horizontal="center"/>
    </xf>
    <xf numFmtId="0" fontId="102" fillId="29" borderId="28" xfId="3" applyFont="1" applyFill="1" applyBorder="1" applyAlignment="1">
      <alignment horizontal="center"/>
    </xf>
    <xf numFmtId="0" fontId="102" fillId="29" borderId="82" xfId="3" applyFont="1" applyFill="1" applyBorder="1" applyAlignment="1">
      <alignment horizontal="center"/>
    </xf>
    <xf numFmtId="0" fontId="102" fillId="29" borderId="0" xfId="3" applyFont="1" applyFill="1" applyAlignment="1">
      <alignment horizontal="center"/>
    </xf>
    <xf numFmtId="0" fontId="101" fillId="30" borderId="0" xfId="3" applyFont="1" applyFill="1" applyAlignment="1">
      <alignment horizontal="center"/>
    </xf>
    <xf numFmtId="0" fontId="102" fillId="29" borderId="29" xfId="3" applyFont="1" applyFill="1" applyBorder="1" applyAlignment="1">
      <alignment horizontal="center"/>
    </xf>
    <xf numFmtId="0" fontId="101" fillId="30" borderId="29" xfId="3" applyFont="1" applyFill="1" applyBorder="1" applyAlignment="1">
      <alignment horizontal="center"/>
    </xf>
    <xf numFmtId="0" fontId="101" fillId="28" borderId="85" xfId="3" applyFont="1" applyFill="1" applyBorder="1" applyAlignment="1">
      <alignment horizontal="center"/>
    </xf>
    <xf numFmtId="0" fontId="79" fillId="29" borderId="18" xfId="3" applyFont="1" applyFill="1" applyBorder="1" applyAlignment="1">
      <alignment horizontal="center"/>
    </xf>
    <xf numFmtId="0" fontId="79" fillId="29" borderId="80" xfId="3" applyFont="1" applyFill="1" applyBorder="1" applyAlignment="1">
      <alignment horizontal="center"/>
    </xf>
    <xf numFmtId="0" fontId="79" fillId="29" borderId="28" xfId="3" applyFont="1" applyFill="1" applyBorder="1" applyAlignment="1">
      <alignment horizontal="center"/>
    </xf>
    <xf numFmtId="0" fontId="79" fillId="29" borderId="82" xfId="3" applyFont="1" applyFill="1" applyBorder="1" applyAlignment="1">
      <alignment horizontal="center"/>
    </xf>
    <xf numFmtId="0" fontId="103" fillId="0" borderId="0" xfId="0" applyFont="1"/>
    <xf numFmtId="0" fontId="103" fillId="0" borderId="0" xfId="0" applyFont="1" applyAlignment="1">
      <alignment horizontal="left" vertical="center"/>
    </xf>
    <xf numFmtId="0" fontId="75" fillId="16" borderId="0" xfId="0" applyFont="1" applyFill="1" applyAlignment="1">
      <alignment horizontal="center" vertical="center"/>
    </xf>
    <xf numFmtId="170" fontId="75" fillId="16" borderId="55" xfId="0" applyNumberFormat="1" applyFont="1" applyFill="1" applyBorder="1" applyAlignment="1">
      <alignment horizontal="center" vertical="center"/>
    </xf>
    <xf numFmtId="164" fontId="75" fillId="16" borderId="55" xfId="0" applyNumberFormat="1" applyFont="1" applyFill="1" applyBorder="1" applyAlignment="1">
      <alignment horizontal="center" vertical="center"/>
    </xf>
    <xf numFmtId="0" fontId="75" fillId="11" borderId="0" xfId="0" applyFont="1" applyFill="1" applyAlignment="1">
      <alignment vertical="center"/>
    </xf>
    <xf numFmtId="0" fontId="75" fillId="16" borderId="0" xfId="0" applyFont="1" applyFill="1" applyAlignment="1">
      <alignment vertical="center"/>
    </xf>
    <xf numFmtId="0" fontId="75" fillId="16" borderId="55" xfId="0" applyFont="1" applyFill="1" applyBorder="1" applyAlignment="1">
      <alignment horizontal="center" vertical="center"/>
    </xf>
    <xf numFmtId="164" fontId="75" fillId="11" borderId="0" xfId="0" applyNumberFormat="1" applyFont="1" applyFill="1" applyAlignment="1">
      <alignment horizontal="center"/>
    </xf>
    <xf numFmtId="0" fontId="75" fillId="16" borderId="29" xfId="0" applyFont="1" applyFill="1" applyBorder="1" applyAlignment="1">
      <alignment horizontal="center" vertical="center"/>
    </xf>
    <xf numFmtId="0" fontId="75" fillId="11" borderId="29" xfId="0" applyFont="1" applyFill="1" applyBorder="1" applyAlignment="1">
      <alignment horizontal="center" vertical="center"/>
    </xf>
    <xf numFmtId="0" fontId="15" fillId="0" borderId="9" xfId="0" applyFont="1" applyBorder="1" applyAlignment="1">
      <alignment horizontal="left" vertical="center"/>
    </xf>
    <xf numFmtId="0" fontId="15" fillId="0" borderId="12" xfId="0" applyFont="1" applyBorder="1" applyAlignment="1">
      <alignment vertical="center"/>
    </xf>
    <xf numFmtId="0" fontId="15" fillId="0" borderId="30" xfId="0" applyFont="1" applyBorder="1" applyAlignment="1">
      <alignment vertical="center"/>
    </xf>
    <xf numFmtId="0" fontId="15" fillId="0" borderId="9" xfId="0" applyFont="1" applyBorder="1" applyAlignment="1">
      <alignment vertical="center"/>
    </xf>
    <xf numFmtId="14" fontId="0" fillId="0" borderId="0" xfId="0" applyNumberFormat="1" applyAlignment="1">
      <alignment horizontal="center"/>
    </xf>
    <xf numFmtId="0" fontId="0" fillId="0" borderId="0" xfId="0" applyAlignment="1">
      <alignment wrapText="1"/>
    </xf>
    <xf numFmtId="0" fontId="14" fillId="3" borderId="0" xfId="0" applyFont="1" applyFill="1"/>
    <xf numFmtId="0" fontId="4" fillId="20" borderId="0" xfId="0" applyFont="1" applyFill="1" applyAlignment="1" applyProtection="1">
      <alignment horizontal="right" vertical="center"/>
      <protection hidden="1"/>
    </xf>
    <xf numFmtId="3" fontId="69" fillId="0" borderId="0" xfId="0" applyNumberFormat="1" applyFont="1" applyAlignment="1" applyProtection="1">
      <alignment horizontal="center" vertical="center"/>
      <protection hidden="1"/>
    </xf>
    <xf numFmtId="4" fontId="69" fillId="0" borderId="0" xfId="0" applyNumberFormat="1" applyFont="1" applyAlignment="1" applyProtection="1">
      <alignment horizontal="center" vertical="center"/>
      <protection hidden="1"/>
    </xf>
    <xf numFmtId="3" fontId="69" fillId="0" borderId="0" xfId="0" applyNumberFormat="1" applyFont="1" applyAlignment="1">
      <alignment horizontal="center" vertical="center"/>
    </xf>
    <xf numFmtId="4" fontId="39" fillId="0" borderId="0" xfId="0" applyNumberFormat="1" applyFont="1" applyAlignment="1" applyProtection="1">
      <alignment horizontal="center" vertical="center"/>
      <protection hidden="1"/>
    </xf>
    <xf numFmtId="3" fontId="73" fillId="0" borderId="5" xfId="0" applyNumberFormat="1" applyFont="1" applyBorder="1" applyAlignment="1" applyProtection="1">
      <alignment vertical="center"/>
      <protection hidden="1"/>
    </xf>
    <xf numFmtId="3" fontId="71" fillId="0" borderId="19" xfId="0" applyNumberFormat="1" applyFont="1" applyBorder="1" applyAlignment="1" applyProtection="1">
      <alignment vertical="center"/>
      <protection hidden="1"/>
    </xf>
    <xf numFmtId="0" fontId="5" fillId="0" borderId="0" xfId="0" applyFont="1" applyAlignment="1" applyProtection="1">
      <alignment horizontal="left"/>
      <protection locked="0"/>
    </xf>
    <xf numFmtId="0" fontId="98" fillId="0" borderId="29" xfId="0" applyFont="1" applyBorder="1" applyAlignment="1" applyProtection="1">
      <alignment horizontal="center" vertical="center"/>
      <protection hidden="1"/>
    </xf>
    <xf numFmtId="0" fontId="113" fillId="28" borderId="18" xfId="0" applyFont="1" applyFill="1" applyBorder="1" applyAlignment="1">
      <alignment horizontal="left"/>
    </xf>
    <xf numFmtId="0" fontId="113" fillId="28" borderId="0" xfId="0" applyFont="1" applyFill="1" applyAlignment="1">
      <alignment horizontal="left"/>
    </xf>
    <xf numFmtId="0" fontId="114" fillId="28" borderId="0" xfId="0" applyFont="1" applyFill="1" applyAlignment="1">
      <alignment horizontal="left"/>
    </xf>
    <xf numFmtId="0" fontId="113" fillId="28" borderId="0" xfId="0" applyFont="1" applyFill="1" applyAlignment="1">
      <alignment horizontal="center"/>
    </xf>
    <xf numFmtId="0" fontId="113" fillId="28" borderId="0" xfId="0" applyFont="1" applyFill="1" applyAlignment="1" applyProtection="1">
      <alignment horizontal="left"/>
      <protection hidden="1"/>
    </xf>
    <xf numFmtId="0" fontId="16" fillId="0" borderId="0" xfId="0" applyFont="1" applyAlignment="1" applyProtection="1">
      <alignment horizontal="left" vertical="center" wrapText="1"/>
      <protection hidden="1"/>
    </xf>
    <xf numFmtId="0" fontId="52" fillId="0" borderId="0" xfId="0" applyFont="1" applyAlignment="1" applyProtection="1">
      <alignment horizontal="left" vertical="center"/>
      <protection hidden="1"/>
    </xf>
    <xf numFmtId="0" fontId="0" fillId="0" borderId="0" xfId="0" applyAlignment="1">
      <alignment vertical="center" wrapText="1"/>
    </xf>
    <xf numFmtId="0" fontId="16" fillId="6" borderId="18" xfId="0" applyFont="1" applyFill="1" applyBorder="1" applyAlignment="1" applyProtection="1">
      <alignment horizontal="left"/>
      <protection hidden="1"/>
    </xf>
    <xf numFmtId="0" fontId="16" fillId="0" borderId="89" xfId="0" applyFont="1" applyBorder="1" applyAlignment="1" applyProtection="1">
      <alignment vertical="center"/>
      <protection locked="0"/>
    </xf>
    <xf numFmtId="0" fontId="16" fillId="0" borderId="92" xfId="0" applyFont="1" applyBorder="1" applyAlignment="1" applyProtection="1">
      <alignment vertical="center"/>
      <protection locked="0"/>
    </xf>
    <xf numFmtId="0" fontId="7" fillId="0" borderId="0" xfId="0" applyFont="1" applyAlignment="1">
      <alignment horizontal="right"/>
    </xf>
    <xf numFmtId="0" fontId="111" fillId="28" borderId="0" xfId="0" applyFont="1" applyFill="1" applyAlignment="1">
      <alignment vertical="center"/>
    </xf>
    <xf numFmtId="0" fontId="113" fillId="28" borderId="0" xfId="0" applyFont="1" applyFill="1"/>
    <xf numFmtId="0" fontId="113" fillId="28" borderId="0" xfId="0" applyFont="1" applyFill="1" applyProtection="1">
      <protection hidden="1"/>
    </xf>
    <xf numFmtId="0" fontId="114" fillId="28" borderId="0" xfId="0" applyFont="1" applyFill="1" applyAlignment="1">
      <alignment vertical="center"/>
    </xf>
    <xf numFmtId="0" fontId="113" fillId="28" borderId="0" xfId="0" applyFont="1" applyFill="1" applyAlignment="1">
      <alignment horizontal="center" vertical="center"/>
    </xf>
    <xf numFmtId="0" fontId="120" fillId="0" borderId="21" xfId="1" applyFont="1" applyBorder="1" applyAlignment="1" applyProtection="1">
      <alignment vertical="center"/>
      <protection locked="0"/>
    </xf>
    <xf numFmtId="0" fontId="113" fillId="28" borderId="0" xfId="0" applyFont="1" applyFill="1" applyAlignment="1">
      <alignment vertical="center"/>
    </xf>
    <xf numFmtId="0" fontId="8" fillId="0" borderId="26" xfId="0" applyFont="1" applyBorder="1" applyAlignment="1">
      <alignment vertical="center"/>
    </xf>
    <xf numFmtId="3" fontId="8" fillId="0" borderId="26" xfId="0" applyNumberFormat="1" applyFont="1" applyBorder="1" applyAlignment="1">
      <alignment horizontal="center" vertical="center"/>
    </xf>
    <xf numFmtId="164" fontId="8" fillId="8" borderId="13" xfId="0" applyNumberFormat="1" applyFont="1" applyFill="1" applyBorder="1" applyAlignment="1" applyProtection="1">
      <alignment horizontal="center" vertical="center"/>
      <protection locked="0"/>
    </xf>
    <xf numFmtId="164" fontId="8" fillId="0" borderId="26" xfId="0" applyNumberFormat="1" applyFont="1" applyBorder="1" applyAlignment="1">
      <alignment horizontal="center" vertical="center"/>
    </xf>
    <xf numFmtId="0" fontId="8" fillId="0" borderId="0" xfId="0" applyFont="1" applyAlignment="1" applyProtection="1">
      <alignment horizontal="center" vertical="center"/>
      <protection locked="0"/>
    </xf>
    <xf numFmtId="164" fontId="8" fillId="0" borderId="0" xfId="0" applyNumberFormat="1" applyFont="1" applyAlignment="1">
      <alignment horizontal="center" vertical="center"/>
    </xf>
    <xf numFmtId="0" fontId="6" fillId="0" borderId="0" xfId="0" applyFont="1" applyAlignment="1">
      <alignment vertical="center"/>
    </xf>
    <xf numFmtId="3" fontId="8" fillId="3" borderId="26" xfId="0" applyNumberFormat="1" applyFont="1" applyFill="1" applyBorder="1" applyAlignment="1">
      <alignment horizontal="center" vertical="center"/>
    </xf>
    <xf numFmtId="0" fontId="5" fillId="11" borderId="29" xfId="0" applyFont="1" applyFill="1" applyBorder="1" applyAlignment="1">
      <alignment vertical="center"/>
    </xf>
    <xf numFmtId="3" fontId="8" fillId="0" borderId="11" xfId="0" applyNumberFormat="1"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8" fillId="0" borderId="0" xfId="0" applyFont="1" applyAlignment="1" applyProtection="1">
      <alignment horizontal="left" vertical="center"/>
      <protection locked="0"/>
    </xf>
    <xf numFmtId="1" fontId="15" fillId="0" borderId="55" xfId="0" applyNumberFormat="1" applyFont="1" applyBorder="1" applyAlignment="1">
      <alignment horizontal="center"/>
    </xf>
    <xf numFmtId="1" fontId="15" fillId="0" borderId="13" xfId="0" applyNumberFormat="1" applyFont="1" applyBorder="1" applyAlignment="1">
      <alignment horizontal="center"/>
    </xf>
    <xf numFmtId="0" fontId="5" fillId="8" borderId="9" xfId="0" applyFont="1" applyFill="1" applyBorder="1" applyAlignment="1" applyProtection="1">
      <alignment vertical="center"/>
      <protection locked="0"/>
    </xf>
    <xf numFmtId="0" fontId="12" fillId="0" borderId="0" xfId="0" applyFont="1" applyAlignment="1">
      <alignment horizontal="left" vertical="center"/>
    </xf>
    <xf numFmtId="164" fontId="8" fillId="0" borderId="0" xfId="0" applyNumberFormat="1" applyFont="1" applyAlignment="1" applyProtection="1">
      <alignment vertical="center"/>
      <protection locked="0"/>
    </xf>
    <xf numFmtId="1" fontId="8" fillId="0" borderId="0" xfId="0" applyNumberFormat="1" applyFont="1" applyAlignment="1">
      <alignment horizontal="center" vertical="center"/>
    </xf>
    <xf numFmtId="0" fontId="0" fillId="0" borderId="0" xfId="0" applyAlignment="1" applyProtection="1">
      <alignment horizontal="left" vertical="center"/>
      <protection locked="0"/>
    </xf>
    <xf numFmtId="1" fontId="8" fillId="0" borderId="95" xfId="0" applyNumberFormat="1" applyFont="1" applyBorder="1" applyAlignment="1">
      <alignment horizontal="center" vertical="center"/>
    </xf>
    <xf numFmtId="0" fontId="0" fillId="0" borderId="96" xfId="0" applyBorder="1" applyAlignment="1" applyProtection="1">
      <alignment vertical="center"/>
      <protection locked="0"/>
    </xf>
    <xf numFmtId="0" fontId="0" fillId="0" borderId="106" xfId="0" applyBorder="1" applyAlignment="1" applyProtection="1">
      <alignment vertical="center"/>
      <protection locked="0"/>
    </xf>
    <xf numFmtId="0" fontId="0" fillId="0" borderId="106" xfId="0" applyBorder="1" applyAlignment="1" applyProtection="1">
      <alignment horizontal="left" vertical="center"/>
      <protection locked="0"/>
    </xf>
    <xf numFmtId="0" fontId="0" fillId="0" borderId="99" xfId="0" applyBorder="1" applyAlignment="1" applyProtection="1">
      <alignment horizontal="left" vertical="center"/>
      <protection locked="0"/>
    </xf>
    <xf numFmtId="0" fontId="0" fillId="0" borderId="100" xfId="0" applyBorder="1" applyAlignment="1" applyProtection="1">
      <alignment horizontal="left" vertical="center"/>
      <protection locked="0"/>
    </xf>
    <xf numFmtId="3" fontId="15" fillId="0" borderId="13" xfId="0" applyNumberFormat="1" applyFont="1" applyBorder="1" applyAlignment="1" applyProtection="1">
      <alignment horizontal="center" vertical="center"/>
      <protection hidden="1"/>
    </xf>
    <xf numFmtId="0" fontId="15" fillId="6" borderId="13" xfId="0" applyFont="1" applyFill="1" applyBorder="1" applyAlignment="1" applyProtection="1">
      <alignment horizontal="center" vertical="center"/>
      <protection hidden="1"/>
    </xf>
    <xf numFmtId="1" fontId="0" fillId="0" borderId="2" xfId="0" applyNumberFormat="1" applyBorder="1" applyProtection="1">
      <protection hidden="1"/>
    </xf>
    <xf numFmtId="0" fontId="38" fillId="0" borderId="2" xfId="0" applyFont="1" applyBorder="1" applyProtection="1">
      <protection hidden="1"/>
    </xf>
    <xf numFmtId="0" fontId="38" fillId="0" borderId="55" xfId="0" applyFont="1" applyBorder="1" applyProtection="1">
      <protection hidden="1"/>
    </xf>
    <xf numFmtId="16" fontId="5" fillId="0" borderId="0" xfId="0" quotePrefix="1" applyNumberFormat="1" applyFont="1" applyAlignment="1">
      <alignment horizontal="right"/>
    </xf>
    <xf numFmtId="0" fontId="6" fillId="0" borderId="0" xfId="0" quotePrefix="1" applyFont="1" applyAlignment="1">
      <alignment horizontal="right"/>
    </xf>
    <xf numFmtId="164" fontId="0" fillId="0" borderId="0" xfId="2" applyNumberFormat="1" applyFont="1" applyBorder="1"/>
    <xf numFmtId="166" fontId="38" fillId="0" borderId="25" xfId="2" applyNumberFormat="1" applyFont="1" applyBorder="1" applyAlignment="1" applyProtection="1">
      <alignment horizontal="center"/>
      <protection hidden="1"/>
    </xf>
    <xf numFmtId="1" fontId="5" fillId="0" borderId="109" xfId="0" applyNumberFormat="1" applyFont="1" applyBorder="1" applyAlignment="1">
      <alignment horizontal="center" vertical="center"/>
    </xf>
    <xf numFmtId="0" fontId="8" fillId="0" borderId="110" xfId="0" applyFont="1" applyBorder="1" applyAlignment="1" applyProtection="1">
      <alignment horizontal="left" vertical="center"/>
      <protection locked="0"/>
    </xf>
    <xf numFmtId="164" fontId="8" fillId="10" borderId="111" xfId="0" applyNumberFormat="1" applyFont="1" applyFill="1" applyBorder="1" applyAlignment="1" applyProtection="1">
      <alignment horizontal="center" vertical="center"/>
      <protection locked="0"/>
    </xf>
    <xf numFmtId="164" fontId="8" fillId="10" borderId="107" xfId="0" applyNumberFormat="1" applyFont="1" applyFill="1" applyBorder="1" applyAlignment="1" applyProtection="1">
      <alignment horizontal="center" vertical="center"/>
      <protection locked="0"/>
    </xf>
    <xf numFmtId="0" fontId="8" fillId="0" borderId="18" xfId="0" applyFont="1" applyBorder="1" applyAlignment="1" applyProtection="1">
      <alignment horizontal="center" vertical="center"/>
      <protection hidden="1"/>
    </xf>
    <xf numFmtId="0" fontId="8" fillId="0" borderId="27" xfId="0" applyFont="1" applyBorder="1" applyAlignment="1" applyProtection="1">
      <alignment horizontal="left" vertical="center"/>
      <protection hidden="1"/>
    </xf>
    <xf numFmtId="0" fontId="8" fillId="0" borderId="27" xfId="0" applyFont="1" applyBorder="1" applyAlignment="1" applyProtection="1">
      <alignment horizontal="left" vertical="center"/>
      <protection locked="0"/>
    </xf>
    <xf numFmtId="0" fontId="8" fillId="0" borderId="18" xfId="0" applyFont="1" applyBorder="1" applyAlignment="1" applyProtection="1">
      <alignment horizontal="left" vertical="center"/>
      <protection hidden="1"/>
    </xf>
    <xf numFmtId="4" fontId="8" fillId="10" borderId="111" xfId="0" applyNumberFormat="1" applyFont="1" applyFill="1" applyBorder="1" applyAlignment="1" applyProtection="1">
      <alignment horizontal="center" vertical="center"/>
      <protection locked="0"/>
    </xf>
    <xf numFmtId="3" fontId="8" fillId="10" borderId="111" xfId="0" applyNumberFormat="1" applyFont="1" applyFill="1" applyBorder="1" applyAlignment="1" applyProtection="1">
      <alignment horizontal="center" vertical="center"/>
      <protection locked="0"/>
    </xf>
    <xf numFmtId="3" fontId="8" fillId="0" borderId="111" xfId="0" applyNumberFormat="1" applyFont="1" applyBorder="1" applyAlignment="1" applyProtection="1">
      <alignment horizontal="center" vertical="center"/>
      <protection hidden="1"/>
    </xf>
    <xf numFmtId="164" fontId="8" fillId="0" borderId="111" xfId="0" applyNumberFormat="1" applyFont="1" applyBorder="1" applyAlignment="1" applyProtection="1">
      <alignment horizontal="center" vertical="center"/>
      <protection hidden="1"/>
    </xf>
    <xf numFmtId="4" fontId="8" fillId="0" borderId="111" xfId="0" applyNumberFormat="1" applyFont="1" applyBorder="1" applyAlignment="1" applyProtection="1">
      <alignment horizontal="center" vertical="center"/>
      <protection hidden="1"/>
    </xf>
    <xf numFmtId="3" fontId="8" fillId="0" borderId="112" xfId="0" applyNumberFormat="1" applyFont="1" applyBorder="1" applyAlignment="1" applyProtection="1">
      <alignment horizontal="center" vertical="center"/>
      <protection hidden="1"/>
    </xf>
    <xf numFmtId="0" fontId="0" fillId="0" borderId="112" xfId="0" applyBorder="1" applyAlignment="1" applyProtection="1">
      <alignment horizontal="center" vertical="center"/>
      <protection hidden="1"/>
    </xf>
    <xf numFmtId="164" fontId="8" fillId="0" borderId="111" xfId="2" applyNumberFormat="1" applyFont="1" applyBorder="1" applyAlignment="1" applyProtection="1">
      <alignment horizontal="center" vertical="center"/>
      <protection hidden="1"/>
    </xf>
    <xf numFmtId="3" fontId="5" fillId="0" borderId="111" xfId="0" applyNumberFormat="1" applyFont="1" applyBorder="1" applyAlignment="1" applyProtection="1">
      <alignment horizontal="center" vertical="center"/>
      <protection hidden="1"/>
    </xf>
    <xf numFmtId="164" fontId="5" fillId="0" borderId="111" xfId="2" applyNumberFormat="1" applyFont="1" applyBorder="1" applyAlignment="1" applyProtection="1">
      <alignment horizontal="center" vertical="center"/>
      <protection hidden="1"/>
    </xf>
    <xf numFmtId="0" fontId="8" fillId="0" borderId="29" xfId="0" applyFont="1" applyBorder="1" applyAlignment="1">
      <alignment horizontal="center" vertical="center"/>
    </xf>
    <xf numFmtId="0" fontId="8" fillId="0" borderId="30" xfId="0" applyFont="1" applyBorder="1" applyAlignment="1">
      <alignment horizontal="left" vertical="center"/>
    </xf>
    <xf numFmtId="164" fontId="8" fillId="10" borderId="113" xfId="0" applyNumberFormat="1" applyFont="1" applyFill="1" applyBorder="1" applyAlignment="1" applyProtection="1">
      <alignment horizontal="center" vertical="center"/>
      <protection locked="0"/>
    </xf>
    <xf numFmtId="0" fontId="0" fillId="0" borderId="37" xfId="0" applyBorder="1"/>
    <xf numFmtId="4" fontId="7" fillId="3" borderId="37" xfId="0" applyNumberFormat="1" applyFont="1" applyFill="1" applyBorder="1" applyProtection="1">
      <protection hidden="1"/>
    </xf>
    <xf numFmtId="0" fontId="6" fillId="3" borderId="37" xfId="0" applyFont="1" applyFill="1" applyBorder="1"/>
    <xf numFmtId="166" fontId="7" fillId="3" borderId="37" xfId="0" applyNumberFormat="1" applyFont="1" applyFill="1" applyBorder="1"/>
    <xf numFmtId="3" fontId="0" fillId="0" borderId="114" xfId="0" applyNumberFormat="1" applyBorder="1" applyProtection="1">
      <protection hidden="1"/>
    </xf>
    <xf numFmtId="3" fontId="4" fillId="0" borderId="55" xfId="0" applyNumberFormat="1" applyFont="1" applyBorder="1" applyProtection="1">
      <protection hidden="1"/>
    </xf>
    <xf numFmtId="0" fontId="0" fillId="0" borderId="107" xfId="0" applyBorder="1" applyAlignment="1">
      <alignment horizontal="left" vertical="center" wrapText="1"/>
    </xf>
    <xf numFmtId="0" fontId="4" fillId="0" borderId="107" xfId="0" applyFont="1" applyBorder="1" applyAlignment="1">
      <alignment horizontal="left" vertical="center" wrapText="1"/>
    </xf>
    <xf numFmtId="0" fontId="0" fillId="0" borderId="107" xfId="0" applyBorder="1" applyAlignment="1">
      <alignment vertical="center" wrapText="1"/>
    </xf>
    <xf numFmtId="0" fontId="4" fillId="0" borderId="107" xfId="0" applyFont="1" applyBorder="1" applyAlignment="1">
      <alignment vertical="center" wrapText="1"/>
    </xf>
    <xf numFmtId="3" fontId="0" fillId="0" borderId="107" xfId="0" applyNumberFormat="1" applyBorder="1" applyAlignment="1">
      <alignment horizontal="center" vertical="center"/>
    </xf>
    <xf numFmtId="0" fontId="0" fillId="0" borderId="107" xfId="0" applyBorder="1" applyAlignment="1">
      <alignment horizontal="center" vertical="center"/>
    </xf>
    <xf numFmtId="0" fontId="4" fillId="0" borderId="107" xfId="0" applyFont="1" applyBorder="1" applyAlignment="1">
      <alignment horizontal="left" vertical="center"/>
    </xf>
    <xf numFmtId="164" fontId="0" fillId="0" borderId="107" xfId="2" applyNumberFormat="1" applyFont="1" applyBorder="1" applyAlignment="1">
      <alignment horizontal="center" vertical="center"/>
    </xf>
    <xf numFmtId="3" fontId="54" fillId="10" borderId="13" xfId="0" applyNumberFormat="1" applyFont="1" applyFill="1" applyBorder="1" applyAlignment="1" applyProtection="1">
      <alignment horizontal="center" vertical="center"/>
      <protection locked="0" hidden="1"/>
    </xf>
    <xf numFmtId="0" fontId="2" fillId="0" borderId="29" xfId="0" applyFont="1" applyBorder="1" applyAlignment="1">
      <alignment horizontal="left" vertical="center"/>
    </xf>
    <xf numFmtId="0" fontId="16" fillId="0" borderId="107" xfId="0" applyFont="1" applyBorder="1" applyAlignment="1">
      <alignment horizontal="center" vertical="center"/>
    </xf>
    <xf numFmtId="3" fontId="16" fillId="0" borderId="107" xfId="0" applyNumberFormat="1" applyFont="1" applyBorder="1" applyAlignment="1">
      <alignment horizontal="center" vertical="center"/>
    </xf>
    <xf numFmtId="3" fontId="6" fillId="3" borderId="0" xfId="0" applyNumberFormat="1" applyFont="1" applyFill="1" applyAlignment="1">
      <alignment horizontal="center" vertical="center"/>
    </xf>
    <xf numFmtId="3" fontId="6" fillId="3" borderId="0" xfId="0" applyNumberFormat="1" applyFont="1" applyFill="1" applyAlignment="1" applyProtection="1">
      <alignment horizontal="center" vertical="center"/>
      <protection hidden="1"/>
    </xf>
    <xf numFmtId="3" fontId="6" fillId="6" borderId="13" xfId="0" applyNumberFormat="1" applyFont="1" applyFill="1" applyBorder="1" applyAlignment="1" applyProtection="1">
      <alignment horizontal="center" vertical="center"/>
      <protection hidden="1"/>
    </xf>
    <xf numFmtId="3" fontId="6" fillId="6" borderId="12" xfId="0" applyNumberFormat="1" applyFont="1" applyFill="1" applyBorder="1" applyAlignment="1" applyProtection="1">
      <alignment horizontal="center" vertical="center"/>
      <protection hidden="1"/>
    </xf>
    <xf numFmtId="3" fontId="6" fillId="5" borderId="13" xfId="0" applyNumberFormat="1" applyFont="1" applyFill="1" applyBorder="1" applyAlignment="1" applyProtection="1">
      <alignment horizontal="center" vertical="center"/>
      <protection hidden="1"/>
    </xf>
    <xf numFmtId="3" fontId="6" fillId="6" borderId="30" xfId="0" applyNumberFormat="1" applyFont="1" applyFill="1" applyBorder="1" applyAlignment="1" applyProtection="1">
      <alignment horizontal="center" vertical="center"/>
      <protection hidden="1"/>
    </xf>
    <xf numFmtId="0" fontId="98" fillId="0" borderId="109" xfId="0" applyFont="1" applyBorder="1" applyAlignment="1">
      <alignment horizontal="center" vertical="center"/>
    </xf>
    <xf numFmtId="0" fontId="41" fillId="0" borderId="110" xfId="0" applyFont="1" applyBorder="1" applyAlignment="1">
      <alignment horizontal="left" vertical="center"/>
    </xf>
    <xf numFmtId="3" fontId="16" fillId="6" borderId="114" xfId="0" applyNumberFormat="1" applyFont="1" applyFill="1" applyBorder="1" applyAlignment="1" applyProtection="1">
      <alignment horizontal="center" vertical="center"/>
      <protection hidden="1"/>
    </xf>
    <xf numFmtId="3" fontId="41" fillId="10" borderId="37" xfId="0" applyNumberFormat="1" applyFont="1" applyFill="1" applyBorder="1" applyAlignment="1" applyProtection="1">
      <alignment horizontal="center" vertical="center"/>
      <protection locked="0"/>
    </xf>
    <xf numFmtId="0" fontId="15" fillId="11" borderId="112" xfId="0" applyFont="1" applyFill="1" applyBorder="1"/>
    <xf numFmtId="0" fontId="16" fillId="0" borderId="111" xfId="0" applyFont="1" applyBorder="1" applyProtection="1">
      <protection hidden="1"/>
    </xf>
    <xf numFmtId="0" fontId="15" fillId="0" borderId="111" xfId="0" applyFont="1" applyBorder="1" applyProtection="1">
      <protection hidden="1"/>
    </xf>
    <xf numFmtId="0" fontId="16" fillId="0" borderId="109" xfId="0" applyFont="1" applyBorder="1" applyProtection="1">
      <protection hidden="1"/>
    </xf>
    <xf numFmtId="0" fontId="16" fillId="6" borderId="111" xfId="0" applyFont="1" applyFill="1" applyBorder="1" applyProtection="1">
      <protection hidden="1"/>
    </xf>
    <xf numFmtId="0" fontId="16" fillId="0" borderId="111" xfId="0" applyFont="1" applyBorder="1" applyAlignment="1" applyProtection="1">
      <alignment vertical="top"/>
      <protection hidden="1"/>
    </xf>
    <xf numFmtId="0" fontId="1" fillId="0" borderId="18" xfId="0" applyFont="1" applyBorder="1" applyProtection="1">
      <protection locked="0"/>
    </xf>
    <xf numFmtId="0" fontId="1" fillId="0" borderId="0" xfId="0" applyFont="1" applyProtection="1">
      <protection locked="0"/>
    </xf>
    <xf numFmtId="0" fontId="68" fillId="0" borderId="18" xfId="0" applyFont="1" applyBorder="1" applyProtection="1">
      <protection locked="0"/>
    </xf>
    <xf numFmtId="0" fontId="98" fillId="0" borderId="18" xfId="0" applyFont="1" applyBorder="1" applyProtection="1">
      <protection locked="0"/>
    </xf>
    <xf numFmtId="0" fontId="98" fillId="0" borderId="0" xfId="0" applyFont="1" applyProtection="1">
      <protection locked="0"/>
    </xf>
    <xf numFmtId="0" fontId="16" fillId="0" borderId="0" xfId="0" applyFont="1" applyAlignment="1">
      <alignment horizontal="right"/>
    </xf>
    <xf numFmtId="0" fontId="5" fillId="0" borderId="94" xfId="0" applyFont="1" applyBorder="1" applyAlignment="1" applyProtection="1">
      <alignment horizontal="left" vertical="center"/>
      <protection locked="0"/>
    </xf>
    <xf numFmtId="0" fontId="0" fillId="0" borderId="95" xfId="0" applyBorder="1" applyProtection="1">
      <protection locked="0"/>
    </xf>
    <xf numFmtId="0" fontId="5" fillId="0" borderId="96" xfId="0" applyFont="1" applyBorder="1" applyAlignment="1" applyProtection="1">
      <alignment horizontal="right"/>
      <protection locked="0"/>
    </xf>
    <xf numFmtId="0" fontId="5" fillId="0" borderId="97" xfId="0" applyFont="1" applyBorder="1" applyAlignment="1" applyProtection="1">
      <alignment horizontal="left" vertical="center"/>
      <protection locked="0"/>
    </xf>
    <xf numFmtId="0" fontId="5" fillId="0" borderId="106" xfId="0" applyFont="1" applyBorder="1" applyAlignment="1" applyProtection="1">
      <alignment horizontal="right"/>
      <protection locked="0"/>
    </xf>
    <xf numFmtId="0" fontId="0" fillId="0" borderId="97" xfId="0" applyBorder="1" applyAlignment="1" applyProtection="1">
      <alignment horizontal="center" vertical="center"/>
      <protection locked="0"/>
    </xf>
    <xf numFmtId="0" fontId="0" fillId="0" borderId="106" xfId="0" applyBorder="1" applyProtection="1">
      <protection locked="0"/>
    </xf>
    <xf numFmtId="0" fontId="5" fillId="0" borderId="97" xfId="0" applyFont="1" applyBorder="1" applyAlignment="1" applyProtection="1">
      <alignment horizontal="left"/>
      <protection locked="0"/>
    </xf>
    <xf numFmtId="0" fontId="8" fillId="0" borderId="98" xfId="0" applyFont="1" applyBorder="1" applyAlignment="1" applyProtection="1">
      <alignment horizontal="left" vertical="center"/>
      <protection locked="0"/>
    </xf>
    <xf numFmtId="0" fontId="0" fillId="0" borderId="99" xfId="0" applyBorder="1" applyProtection="1">
      <protection locked="0"/>
    </xf>
    <xf numFmtId="0" fontId="0" fillId="0" borderId="100" xfId="0" applyBorder="1" applyProtection="1">
      <protection locked="0"/>
    </xf>
    <xf numFmtId="0" fontId="8" fillId="0" borderId="0" xfId="0" applyFont="1" applyAlignment="1">
      <alignment horizontal="left"/>
    </xf>
    <xf numFmtId="0" fontId="0" fillId="0" borderId="26" xfId="0" applyBorder="1" applyAlignment="1">
      <alignment horizontal="center" vertical="center"/>
    </xf>
    <xf numFmtId="0" fontId="0" fillId="0" borderId="12" xfId="0" applyBorder="1" applyAlignment="1">
      <alignment horizontal="center" vertical="center"/>
    </xf>
    <xf numFmtId="0" fontId="0" fillId="0" borderId="26"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15" fillId="4" borderId="0" xfId="0" applyFont="1" applyFill="1" applyAlignment="1" applyProtection="1">
      <alignment horizontal="center" vertical="center"/>
      <protection locked="0"/>
    </xf>
    <xf numFmtId="0" fontId="7" fillId="31" borderId="0" xfId="0" applyFont="1" applyFill="1" applyAlignment="1" applyProtection="1">
      <alignment horizontal="center" vertical="center"/>
      <protection locked="0"/>
    </xf>
    <xf numFmtId="0" fontId="0" fillId="0" borderId="0" xfId="0" applyAlignment="1" applyProtection="1">
      <alignment vertical="center"/>
      <protection locked="0"/>
    </xf>
    <xf numFmtId="0" fontId="16" fillId="0" borderId="18" xfId="1" applyFont="1" applyBorder="1" applyAlignment="1" applyProtection="1">
      <alignment vertical="center"/>
      <protection locked="0"/>
    </xf>
    <xf numFmtId="0" fontId="68" fillId="4" borderId="0" xfId="0" applyFont="1" applyFill="1" applyAlignment="1" applyProtection="1">
      <alignment horizontal="center" vertical="center"/>
      <protection locked="0"/>
    </xf>
    <xf numFmtId="0" fontId="7" fillId="4" borderId="0" xfId="0" applyFont="1" applyFill="1" applyAlignment="1" applyProtection="1">
      <alignment horizontal="center" vertical="center"/>
      <protection locked="0"/>
    </xf>
    <xf numFmtId="9" fontId="16" fillId="0" borderId="0" xfId="2" applyFont="1" applyBorder="1" applyAlignment="1">
      <alignment horizontal="right"/>
    </xf>
    <xf numFmtId="0" fontId="15" fillId="0" borderId="67" xfId="0" applyFont="1" applyBorder="1" applyProtection="1">
      <protection hidden="1"/>
    </xf>
    <xf numFmtId="0" fontId="15" fillId="0" borderId="65" xfId="0" applyFont="1" applyBorder="1" applyProtection="1">
      <protection hidden="1"/>
    </xf>
    <xf numFmtId="0" fontId="15" fillId="0" borderId="66" xfId="0" applyFont="1" applyBorder="1" applyProtection="1">
      <protection hidden="1"/>
    </xf>
    <xf numFmtId="3" fontId="15" fillId="0" borderId="64" xfId="0" applyNumberFormat="1" applyFont="1" applyBorder="1" applyProtection="1">
      <protection hidden="1"/>
    </xf>
    <xf numFmtId="0" fontId="6" fillId="0" borderId="27" xfId="0" applyFont="1" applyBorder="1" applyAlignment="1" applyProtection="1">
      <alignment horizontal="center"/>
      <protection hidden="1"/>
    </xf>
    <xf numFmtId="3" fontId="0" fillId="0" borderId="18" xfId="0" applyNumberFormat="1" applyBorder="1"/>
    <xf numFmtId="4" fontId="0" fillId="0" borderId="27" xfId="0" applyNumberFormat="1" applyBorder="1" applyProtection="1">
      <protection hidden="1"/>
    </xf>
    <xf numFmtId="4" fontId="0" fillId="0" borderId="29" xfId="0" applyNumberFormat="1" applyBorder="1" applyProtection="1">
      <protection hidden="1"/>
    </xf>
    <xf numFmtId="0" fontId="7" fillId="0" borderId="108" xfId="0" applyFont="1" applyBorder="1"/>
    <xf numFmtId="0" fontId="7" fillId="0" borderId="109" xfId="0" applyFont="1" applyBorder="1"/>
    <xf numFmtId="0" fontId="7" fillId="0" borderId="110" xfId="0" applyFont="1" applyBorder="1"/>
    <xf numFmtId="2" fontId="0" fillId="0" borderId="27" xfId="0" applyNumberFormat="1" applyBorder="1"/>
    <xf numFmtId="0" fontId="0" fillId="0" borderId="28" xfId="0" applyBorder="1" applyProtection="1">
      <protection hidden="1"/>
    </xf>
    <xf numFmtId="3" fontId="16" fillId="0" borderId="115" xfId="0" applyNumberFormat="1" applyFont="1" applyBorder="1" applyProtection="1">
      <protection hidden="1"/>
    </xf>
    <xf numFmtId="0" fontId="0" fillId="0" borderId="108" xfId="0" applyBorder="1" applyProtection="1">
      <protection hidden="1"/>
    </xf>
    <xf numFmtId="2" fontId="0" fillId="0" borderId="27" xfId="0" applyNumberFormat="1" applyBorder="1" applyProtection="1">
      <protection hidden="1"/>
    </xf>
    <xf numFmtId="2" fontId="0" fillId="0" borderId="29" xfId="0" applyNumberFormat="1" applyBorder="1" applyProtection="1">
      <protection hidden="1"/>
    </xf>
    <xf numFmtId="2" fontId="0" fillId="0" borderId="30" xfId="0" applyNumberFormat="1" applyBorder="1" applyProtection="1">
      <protection hidden="1"/>
    </xf>
    <xf numFmtId="0" fontId="15" fillId="0" borderId="68" xfId="0" applyFont="1" applyBorder="1" applyAlignment="1" applyProtection="1">
      <alignment horizontal="left"/>
      <protection hidden="1"/>
    </xf>
    <xf numFmtId="0" fontId="16" fillId="5" borderId="0" xfId="0" applyFont="1" applyFill="1" applyAlignment="1">
      <alignment horizontal="center" vertical="center"/>
    </xf>
    <xf numFmtId="49" fontId="16" fillId="5" borderId="0" xfId="0" quotePrefix="1" applyNumberFormat="1" applyFont="1" applyFill="1" applyAlignment="1">
      <alignment horizontal="center" vertical="center"/>
    </xf>
    <xf numFmtId="167" fontId="16" fillId="7" borderId="37" xfId="0" applyNumberFormat="1" applyFont="1" applyFill="1" applyBorder="1" applyAlignment="1" applyProtection="1">
      <alignment horizontal="center" vertical="center"/>
      <protection hidden="1"/>
    </xf>
    <xf numFmtId="3" fontId="16" fillId="7" borderId="13" xfId="0" applyNumberFormat="1" applyFont="1" applyFill="1" applyBorder="1" applyAlignment="1" applyProtection="1">
      <alignment horizontal="center" vertical="center"/>
      <protection hidden="1"/>
    </xf>
    <xf numFmtId="164" fontId="16" fillId="7" borderId="13" xfId="2" applyNumberFormat="1" applyFont="1" applyFill="1" applyBorder="1" applyAlignment="1" applyProtection="1">
      <alignment horizontal="center" vertical="center"/>
      <protection hidden="1"/>
    </xf>
    <xf numFmtId="3" fontId="16" fillId="7" borderId="37" xfId="0" applyNumberFormat="1" applyFont="1" applyFill="1" applyBorder="1" applyAlignment="1" applyProtection="1">
      <alignment horizontal="center" vertical="center"/>
      <protection hidden="1"/>
    </xf>
    <xf numFmtId="0" fontId="111" fillId="28" borderId="28" xfId="0" applyFont="1" applyFill="1" applyBorder="1" applyAlignment="1" applyProtection="1">
      <alignment horizontal="center" vertical="center"/>
      <protection locked="0"/>
    </xf>
    <xf numFmtId="0" fontId="113" fillId="28" borderId="30" xfId="0" applyFont="1" applyFill="1" applyBorder="1" applyAlignment="1" applyProtection="1">
      <alignment horizontal="center" vertical="center"/>
      <protection locked="0"/>
    </xf>
    <xf numFmtId="0" fontId="113" fillId="28" borderId="31" xfId="0" applyFont="1" applyFill="1" applyBorder="1" applyAlignment="1">
      <alignment horizontal="center" vertical="center"/>
    </xf>
    <xf numFmtId="0" fontId="111" fillId="28" borderId="13" xfId="0" applyFont="1" applyFill="1" applyBorder="1" applyAlignment="1" applyProtection="1">
      <alignment horizontal="center" vertical="center"/>
      <protection locked="0"/>
    </xf>
    <xf numFmtId="3" fontId="54" fillId="0" borderId="13" xfId="0" applyNumberFormat="1" applyFont="1" applyBorder="1" applyAlignment="1" applyProtection="1">
      <alignment horizontal="center" vertical="center"/>
      <protection locked="0"/>
    </xf>
    <xf numFmtId="3" fontId="16" fillId="11" borderId="55" xfId="0" applyNumberFormat="1" applyFont="1" applyFill="1" applyBorder="1" applyAlignment="1" applyProtection="1">
      <alignment horizontal="center" vertical="center"/>
      <protection hidden="1"/>
    </xf>
    <xf numFmtId="0" fontId="122" fillId="0" borderId="18" xfId="0" applyFont="1" applyBorder="1" applyProtection="1">
      <protection locked="0"/>
    </xf>
    <xf numFmtId="0" fontId="1" fillId="0" borderId="18" xfId="0" applyFont="1" applyBorder="1" applyAlignment="1" applyProtection="1">
      <alignment vertical="center"/>
      <protection locked="0"/>
    </xf>
    <xf numFmtId="0" fontId="1" fillId="0" borderId="0" xfId="0" applyFont="1" applyAlignment="1" applyProtection="1">
      <alignment vertical="center"/>
      <protection locked="0"/>
    </xf>
    <xf numFmtId="3" fontId="16" fillId="0" borderId="37" xfId="0" applyNumberFormat="1" applyFont="1" applyBorder="1" applyAlignment="1" applyProtection="1">
      <alignment horizontal="center" vertical="center"/>
      <protection hidden="1"/>
    </xf>
    <xf numFmtId="0" fontId="104" fillId="16" borderId="55" xfId="0" applyFont="1" applyFill="1" applyBorder="1" applyAlignment="1">
      <alignment horizontal="center" vertical="center"/>
    </xf>
    <xf numFmtId="0" fontId="15" fillId="0" borderId="50" xfId="0" applyFont="1" applyBorder="1" applyAlignment="1">
      <alignment horizontal="left" vertical="center"/>
    </xf>
    <xf numFmtId="164" fontId="75" fillId="11" borderId="0" xfId="0" applyNumberFormat="1" applyFont="1" applyFill="1" applyAlignment="1">
      <alignment horizontal="center" vertical="center"/>
    </xf>
    <xf numFmtId="0" fontId="85" fillId="11" borderId="0" xfId="0" applyFont="1" applyFill="1" applyAlignment="1">
      <alignment horizontal="left" vertical="center"/>
    </xf>
    <xf numFmtId="3" fontId="15" fillId="0" borderId="109" xfId="0" applyNumberFormat="1" applyFont="1" applyBorder="1" applyAlignment="1" applyProtection="1">
      <alignment horizontal="center" vertical="center"/>
      <protection hidden="1"/>
    </xf>
    <xf numFmtId="3" fontId="16" fillId="0" borderId="112" xfId="0" applyNumberFormat="1" applyFont="1" applyBorder="1" applyAlignment="1" applyProtection="1">
      <alignment horizontal="center" vertical="center"/>
      <protection hidden="1"/>
    </xf>
    <xf numFmtId="3" fontId="15" fillId="0" borderId="29" xfId="0" applyNumberFormat="1" applyFont="1" applyBorder="1" applyAlignment="1" applyProtection="1">
      <alignment horizontal="center" vertical="center"/>
      <protection hidden="1"/>
    </xf>
    <xf numFmtId="3" fontId="16" fillId="10" borderId="112" xfId="0" applyNumberFormat="1" applyFont="1" applyFill="1" applyBorder="1" applyAlignment="1" applyProtection="1">
      <alignment horizontal="center" vertical="center"/>
      <protection locked="0"/>
    </xf>
    <xf numFmtId="3" fontId="15" fillId="0" borderId="112" xfId="0" applyNumberFormat="1" applyFont="1" applyBorder="1" applyAlignment="1" applyProtection="1">
      <alignment horizontal="center" vertical="center"/>
      <protection hidden="1"/>
    </xf>
    <xf numFmtId="3" fontId="15" fillId="0" borderId="110" xfId="0" applyNumberFormat="1" applyFont="1" applyBorder="1" applyAlignment="1" applyProtection="1">
      <alignment horizontal="center" vertical="center"/>
      <protection hidden="1"/>
    </xf>
    <xf numFmtId="3" fontId="16" fillId="0" borderId="113" xfId="0" applyNumberFormat="1" applyFont="1" applyBorder="1" applyAlignment="1" applyProtection="1">
      <alignment horizontal="center" vertical="center"/>
      <protection hidden="1"/>
    </xf>
    <xf numFmtId="3" fontId="15" fillId="0" borderId="30" xfId="0" applyNumberFormat="1" applyFont="1" applyBorder="1" applyAlignment="1" applyProtection="1">
      <alignment horizontal="center" vertical="center"/>
      <protection hidden="1"/>
    </xf>
    <xf numFmtId="3" fontId="16" fillId="10" borderId="113" xfId="0" applyNumberFormat="1" applyFont="1" applyFill="1" applyBorder="1" applyAlignment="1" applyProtection="1">
      <alignment horizontal="center" vertical="center"/>
      <protection locked="0"/>
    </xf>
    <xf numFmtId="3" fontId="15" fillId="0" borderId="113" xfId="0" applyNumberFormat="1" applyFont="1" applyBorder="1" applyAlignment="1" applyProtection="1">
      <alignment horizontal="center" vertical="center"/>
      <protection hidden="1"/>
    </xf>
    <xf numFmtId="3" fontId="15" fillId="0" borderId="114" xfId="0" applyNumberFormat="1" applyFont="1" applyBorder="1" applyAlignment="1" applyProtection="1">
      <alignment horizontal="center" vertical="center"/>
      <protection hidden="1"/>
    </xf>
    <xf numFmtId="3" fontId="16" fillId="0" borderId="107" xfId="0" applyNumberFormat="1" applyFont="1" applyBorder="1" applyAlignment="1" applyProtection="1">
      <alignment horizontal="center" vertical="center"/>
      <protection hidden="1"/>
    </xf>
    <xf numFmtId="3" fontId="15" fillId="0" borderId="55" xfId="0" applyNumberFormat="1" applyFont="1" applyBorder="1" applyAlignment="1" applyProtection="1">
      <alignment horizontal="center" vertical="center"/>
      <protection hidden="1"/>
    </xf>
    <xf numFmtId="3" fontId="16" fillId="10" borderId="107" xfId="0" applyNumberFormat="1" applyFont="1" applyFill="1" applyBorder="1" applyAlignment="1" applyProtection="1">
      <alignment horizontal="center" vertical="center"/>
      <protection locked="0"/>
    </xf>
    <xf numFmtId="3" fontId="15" fillId="0" borderId="107" xfId="0" applyNumberFormat="1" applyFont="1" applyBorder="1" applyAlignment="1" applyProtection="1">
      <alignment horizontal="center" vertical="center"/>
      <protection hidden="1"/>
    </xf>
    <xf numFmtId="0" fontId="15" fillId="0" borderId="112" xfId="0" applyFont="1" applyBorder="1" applyAlignment="1">
      <alignment vertical="center"/>
    </xf>
    <xf numFmtId="0" fontId="15" fillId="11" borderId="112" xfId="0" applyFont="1" applyFill="1" applyBorder="1" applyAlignment="1" applyProtection="1">
      <alignment horizontal="left" vertical="center"/>
      <protection hidden="1"/>
    </xf>
    <xf numFmtId="3" fontId="16" fillId="0" borderId="114" xfId="0" applyNumberFormat="1" applyFont="1" applyBorder="1" applyAlignment="1" applyProtection="1">
      <alignment horizontal="center" vertical="center"/>
      <protection hidden="1"/>
    </xf>
    <xf numFmtId="165" fontId="15" fillId="11" borderId="107" xfId="0" applyNumberFormat="1" applyFont="1" applyFill="1" applyBorder="1" applyAlignment="1" applyProtection="1">
      <alignment horizontal="center" vertical="center"/>
      <protection hidden="1"/>
    </xf>
    <xf numFmtId="164" fontId="15" fillId="11" borderId="55" xfId="2" applyNumberFormat="1" applyFont="1" applyFill="1" applyBorder="1" applyAlignment="1" applyProtection="1">
      <alignment horizontal="center" vertical="center"/>
      <protection hidden="1"/>
    </xf>
    <xf numFmtId="0" fontId="16" fillId="0" borderId="112" xfId="0" applyFont="1" applyBorder="1" applyAlignment="1">
      <alignment vertical="center"/>
    </xf>
    <xf numFmtId="0" fontId="16" fillId="0" borderId="112" xfId="0" applyFont="1" applyBorder="1" applyAlignment="1">
      <alignment horizontal="left" vertical="center"/>
    </xf>
    <xf numFmtId="9" fontId="16" fillId="0" borderId="112" xfId="0" applyNumberFormat="1" applyFont="1" applyBorder="1" applyAlignment="1" applyProtection="1">
      <alignment vertical="center"/>
      <protection locked="0"/>
    </xf>
    <xf numFmtId="3" fontId="15" fillId="11" borderId="46" xfId="0" applyNumberFormat="1" applyFont="1" applyFill="1" applyBorder="1" applyAlignment="1" applyProtection="1">
      <alignment horizontal="center" vertical="center"/>
      <protection hidden="1"/>
    </xf>
    <xf numFmtId="3" fontId="16" fillId="6" borderId="46" xfId="0" applyNumberFormat="1" applyFont="1" applyFill="1" applyBorder="1" applyAlignment="1" applyProtection="1">
      <alignment horizontal="center" vertical="center"/>
      <protection hidden="1"/>
    </xf>
    <xf numFmtId="3" fontId="15" fillId="0" borderId="61" xfId="0" applyNumberFormat="1" applyFont="1" applyBorder="1" applyAlignment="1" applyProtection="1">
      <alignment horizontal="center" vertical="center"/>
      <protection hidden="1"/>
    </xf>
    <xf numFmtId="3" fontId="16" fillId="0" borderId="55" xfId="0" applyNumberFormat="1" applyFont="1" applyBorder="1" applyAlignment="1" applyProtection="1">
      <alignment horizontal="center" vertical="center"/>
      <protection hidden="1"/>
    </xf>
    <xf numFmtId="10" fontId="16" fillId="10" borderId="107" xfId="0" applyNumberFormat="1" applyFont="1" applyFill="1" applyBorder="1" applyAlignment="1" applyProtection="1">
      <alignment horizontal="center"/>
      <protection locked="0"/>
    </xf>
    <xf numFmtId="168" fontId="67" fillId="10" borderId="107" xfId="0" applyNumberFormat="1" applyFont="1" applyFill="1" applyBorder="1" applyAlignment="1" applyProtection="1">
      <alignment horizontal="center" vertical="center"/>
      <protection locked="0"/>
    </xf>
    <xf numFmtId="10" fontId="16" fillId="10" borderId="107" xfId="0" applyNumberFormat="1" applyFont="1" applyFill="1" applyBorder="1" applyAlignment="1" applyProtection="1">
      <alignment horizontal="center" vertical="center"/>
      <protection locked="0"/>
    </xf>
    <xf numFmtId="3" fontId="16" fillId="10" borderId="48" xfId="0" applyNumberFormat="1" applyFont="1" applyFill="1" applyBorder="1" applyAlignment="1" applyProtection="1">
      <alignment horizontal="center" vertical="center"/>
      <protection locked="0"/>
    </xf>
    <xf numFmtId="10" fontId="16" fillId="10" borderId="55" xfId="0" applyNumberFormat="1" applyFont="1" applyFill="1" applyBorder="1" applyAlignment="1" applyProtection="1">
      <alignment horizontal="center" vertical="center"/>
      <protection locked="0"/>
    </xf>
    <xf numFmtId="3" fontId="16" fillId="10" borderId="47" xfId="0" applyNumberFormat="1" applyFont="1" applyFill="1" applyBorder="1" applyAlignment="1" applyProtection="1">
      <alignment horizontal="center" vertical="center"/>
      <protection locked="0"/>
    </xf>
    <xf numFmtId="3" fontId="16" fillId="10" borderId="55" xfId="0" applyNumberFormat="1" applyFont="1" applyFill="1" applyBorder="1" applyAlignment="1" applyProtection="1">
      <alignment horizontal="center" vertical="center"/>
      <protection locked="0"/>
    </xf>
    <xf numFmtId="167" fontId="16" fillId="10" borderId="107" xfId="0" applyNumberFormat="1" applyFont="1" applyFill="1" applyBorder="1" applyAlignment="1" applyProtection="1">
      <alignment horizontal="center" vertical="center"/>
      <protection locked="0"/>
    </xf>
    <xf numFmtId="4" fontId="16" fillId="10" borderId="55" xfId="0" applyNumberFormat="1" applyFont="1" applyFill="1" applyBorder="1" applyAlignment="1" applyProtection="1">
      <alignment horizontal="center" vertical="center"/>
      <protection locked="0"/>
    </xf>
    <xf numFmtId="3" fontId="16" fillId="10" borderId="37" xfId="0" applyNumberFormat="1" applyFont="1" applyFill="1" applyBorder="1" applyAlignment="1" applyProtection="1">
      <alignment horizontal="center" vertical="center"/>
      <protection locked="0"/>
    </xf>
    <xf numFmtId="2" fontId="16" fillId="10" borderId="107" xfId="0" applyNumberFormat="1" applyFont="1" applyFill="1" applyBorder="1" applyAlignment="1" applyProtection="1">
      <alignment horizontal="center" vertical="center"/>
      <protection locked="0"/>
    </xf>
    <xf numFmtId="4" fontId="16" fillId="10" borderId="107" xfId="0" applyNumberFormat="1" applyFont="1" applyFill="1" applyBorder="1" applyAlignment="1" applyProtection="1">
      <alignment horizontal="center" vertical="center"/>
      <protection locked="0"/>
    </xf>
    <xf numFmtId="3" fontId="15" fillId="10" borderId="61" xfId="0" applyNumberFormat="1" applyFont="1" applyFill="1" applyBorder="1" applyAlignment="1" applyProtection="1">
      <alignment horizontal="center" vertical="center"/>
      <protection locked="0"/>
    </xf>
    <xf numFmtId="3" fontId="16" fillId="10" borderId="114" xfId="0" applyNumberFormat="1" applyFont="1" applyFill="1" applyBorder="1" applyAlignment="1" applyProtection="1">
      <alignment horizontal="center" vertical="center"/>
      <protection locked="0"/>
    </xf>
    <xf numFmtId="3" fontId="67" fillId="10" borderId="107" xfId="0" applyNumberFormat="1" applyFont="1" applyFill="1" applyBorder="1" applyAlignment="1" applyProtection="1">
      <alignment horizontal="center" vertical="center"/>
      <protection locked="0"/>
    </xf>
    <xf numFmtId="4" fontId="16" fillId="0" borderId="107" xfId="0" applyNumberFormat="1" applyFont="1" applyBorder="1" applyAlignment="1" applyProtection="1">
      <alignment horizontal="center" vertical="center"/>
      <protection hidden="1"/>
    </xf>
    <xf numFmtId="0" fontId="5" fillId="0" borderId="114" xfId="0" applyFont="1" applyBorder="1" applyAlignment="1">
      <alignment horizontal="center"/>
    </xf>
    <xf numFmtId="1" fontId="15" fillId="10" borderId="46" xfId="0" applyNumberFormat="1" applyFont="1" applyFill="1" applyBorder="1" applyAlignment="1" applyProtection="1">
      <alignment horizontal="center" vertical="center"/>
      <protection locked="0"/>
    </xf>
    <xf numFmtId="3" fontId="16" fillId="3" borderId="37" xfId="0" applyNumberFormat="1" applyFont="1" applyFill="1" applyBorder="1" applyAlignment="1" applyProtection="1">
      <alignment horizontal="center" vertical="center"/>
      <protection hidden="1"/>
    </xf>
    <xf numFmtId="167" fontId="16" fillId="10" borderId="37" xfId="0" applyNumberFormat="1" applyFont="1" applyFill="1" applyBorder="1" applyAlignment="1" applyProtection="1">
      <alignment horizontal="center" vertical="center"/>
      <protection locked="0"/>
    </xf>
    <xf numFmtId="3" fontId="15" fillId="11" borderId="61" xfId="0" applyNumberFormat="1" applyFont="1" applyFill="1" applyBorder="1" applyAlignment="1" applyProtection="1">
      <alignment horizontal="center" vertical="center"/>
      <protection hidden="1"/>
    </xf>
    <xf numFmtId="3" fontId="16" fillId="6" borderId="55" xfId="0" applyNumberFormat="1" applyFont="1" applyFill="1" applyBorder="1" applyAlignment="1" applyProtection="1">
      <alignment horizontal="center" vertical="center"/>
      <protection hidden="1"/>
    </xf>
    <xf numFmtId="3" fontId="15" fillId="0" borderId="47" xfId="0" applyNumberFormat="1" applyFont="1" applyBorder="1" applyAlignment="1" applyProtection="1">
      <alignment horizontal="center" vertical="center"/>
      <protection hidden="1"/>
    </xf>
    <xf numFmtId="1" fontId="15" fillId="0" borderId="46" xfId="0" applyNumberFormat="1" applyFont="1" applyBorder="1" applyAlignment="1">
      <alignment horizontal="center" vertical="center"/>
    </xf>
    <xf numFmtId="3" fontId="16" fillId="6" borderId="117" xfId="0" applyNumberFormat="1" applyFont="1" applyFill="1" applyBorder="1" applyAlignment="1" applyProtection="1">
      <alignment horizontal="center" vertical="center"/>
      <protection hidden="1"/>
    </xf>
    <xf numFmtId="1" fontId="7" fillId="10" borderId="55" xfId="0" applyNumberFormat="1" applyFont="1" applyFill="1" applyBorder="1" applyAlignment="1" applyProtection="1">
      <alignment horizontal="center" vertical="center"/>
      <protection locked="0"/>
    </xf>
    <xf numFmtId="3" fontId="15" fillId="10" borderId="37" xfId="0" applyNumberFormat="1" applyFont="1" applyFill="1" applyBorder="1" applyAlignment="1" applyProtection="1">
      <alignment horizontal="center" vertical="center"/>
      <protection locked="0"/>
    </xf>
    <xf numFmtId="0" fontId="15" fillId="0" borderId="50" xfId="0" applyFont="1" applyBorder="1" applyAlignment="1">
      <alignment horizontal="center" vertical="center"/>
    </xf>
    <xf numFmtId="3" fontId="15" fillId="10" borderId="47" xfId="0" applyNumberFormat="1" applyFont="1" applyFill="1" applyBorder="1" applyAlignment="1" applyProtection="1">
      <alignment horizontal="center" vertical="center"/>
      <protection locked="0"/>
    </xf>
    <xf numFmtId="3" fontId="15" fillId="10" borderId="35" xfId="0" applyNumberFormat="1" applyFont="1" applyFill="1" applyBorder="1" applyAlignment="1" applyProtection="1">
      <alignment horizontal="center" vertical="center"/>
      <protection locked="0"/>
    </xf>
    <xf numFmtId="3" fontId="15" fillId="10" borderId="27" xfId="0" applyNumberFormat="1" applyFont="1" applyFill="1" applyBorder="1" applyAlignment="1" applyProtection="1">
      <alignment horizontal="center" vertical="center"/>
      <protection locked="0"/>
    </xf>
    <xf numFmtId="0" fontId="15" fillId="0" borderId="119" xfId="0" applyFont="1" applyBorder="1" applyAlignment="1">
      <alignment horizontal="center" vertical="center"/>
    </xf>
    <xf numFmtId="49" fontId="15" fillId="0" borderId="119" xfId="0" applyNumberFormat="1" applyFont="1" applyBorder="1" applyAlignment="1">
      <alignment horizontal="left" vertical="center"/>
    </xf>
    <xf numFmtId="0" fontId="15" fillId="0" borderId="119" xfId="0" applyFont="1" applyBorder="1" applyAlignment="1">
      <alignment horizontal="left" vertical="center"/>
    </xf>
    <xf numFmtId="3" fontId="15" fillId="10" borderId="120" xfId="0" applyNumberFormat="1" applyFont="1" applyFill="1" applyBorder="1" applyAlignment="1" applyProtection="1">
      <alignment horizontal="center" vertical="center"/>
      <protection locked="0"/>
    </xf>
    <xf numFmtId="3" fontId="15" fillId="10" borderId="118" xfId="0" applyNumberFormat="1" applyFont="1" applyFill="1" applyBorder="1" applyAlignment="1" applyProtection="1">
      <alignment horizontal="center" vertical="center"/>
      <protection locked="0"/>
    </xf>
    <xf numFmtId="0" fontId="15" fillId="0" borderId="119" xfId="0" applyFont="1" applyBorder="1" applyAlignment="1">
      <alignment vertical="center"/>
    </xf>
    <xf numFmtId="3" fontId="15" fillId="6" borderId="47" xfId="0" applyNumberFormat="1" applyFont="1" applyFill="1" applyBorder="1" applyAlignment="1" applyProtection="1">
      <alignment horizontal="center" vertical="center"/>
      <protection hidden="1"/>
    </xf>
    <xf numFmtId="0" fontId="15" fillId="0" borderId="112" xfId="0" applyFont="1" applyBorder="1" applyAlignment="1">
      <alignment horizontal="center" vertical="center"/>
    </xf>
    <xf numFmtId="0" fontId="15" fillId="0" borderId="29" xfId="0" applyFont="1" applyBorder="1" applyAlignment="1">
      <alignment horizontal="center" vertical="center"/>
    </xf>
    <xf numFmtId="3" fontId="15" fillId="6" borderId="107" xfId="0" applyNumberFormat="1" applyFont="1" applyFill="1" applyBorder="1" applyAlignment="1" applyProtection="1">
      <alignment horizontal="center" vertical="center"/>
      <protection hidden="1"/>
    </xf>
    <xf numFmtId="3" fontId="52" fillId="0" borderId="107" xfId="0" applyNumberFormat="1" applyFont="1" applyBorder="1" applyAlignment="1" applyProtection="1">
      <alignment horizontal="center" vertical="center"/>
      <protection hidden="1"/>
    </xf>
    <xf numFmtId="3" fontId="15" fillId="6" borderId="55" xfId="0" applyNumberFormat="1" applyFont="1" applyFill="1" applyBorder="1" applyAlignment="1" applyProtection="1">
      <alignment horizontal="center" vertical="center"/>
      <protection hidden="1"/>
    </xf>
    <xf numFmtId="3" fontId="15" fillId="10" borderId="121" xfId="0" applyNumberFormat="1" applyFont="1" applyFill="1" applyBorder="1" applyAlignment="1" applyProtection="1">
      <alignment horizontal="center" vertical="center"/>
      <protection locked="0"/>
    </xf>
    <xf numFmtId="3" fontId="16" fillId="10" borderId="121" xfId="0" applyNumberFormat="1" applyFont="1" applyFill="1" applyBorder="1" applyAlignment="1" applyProtection="1">
      <alignment horizontal="center" vertical="center"/>
      <protection locked="0"/>
    </xf>
    <xf numFmtId="3" fontId="15" fillId="0" borderId="121" xfId="0" applyNumberFormat="1" applyFont="1" applyBorder="1" applyAlignment="1" applyProtection="1">
      <alignment horizontal="center" vertical="center"/>
      <protection hidden="1"/>
    </xf>
    <xf numFmtId="3" fontId="16" fillId="10" borderId="121" xfId="0" applyNumberFormat="1" applyFont="1" applyFill="1" applyBorder="1" applyAlignment="1" applyProtection="1">
      <alignment horizontal="center"/>
      <protection locked="0"/>
    </xf>
    <xf numFmtId="164" fontId="16" fillId="0" borderId="126" xfId="0" applyNumberFormat="1" applyFont="1" applyBorder="1" applyAlignment="1">
      <alignment horizontal="center"/>
    </xf>
    <xf numFmtId="3" fontId="97" fillId="10" borderId="121" xfId="0" applyNumberFormat="1" applyFont="1" applyFill="1" applyBorder="1" applyAlignment="1" applyProtection="1">
      <alignment horizontal="center" vertical="center"/>
      <protection locked="0"/>
    </xf>
    <xf numFmtId="3" fontId="15" fillId="0" borderId="122" xfId="0" applyNumberFormat="1" applyFont="1" applyBorder="1" applyAlignment="1" applyProtection="1">
      <alignment horizontal="center"/>
      <protection hidden="1"/>
    </xf>
    <xf numFmtId="0" fontId="16" fillId="0" borderId="129" xfId="0" applyFont="1" applyBorder="1" applyAlignment="1">
      <alignment vertical="center"/>
    </xf>
    <xf numFmtId="3" fontId="16" fillId="0" borderId="130" xfId="0" applyNumberFormat="1" applyFont="1" applyBorder="1" applyAlignment="1">
      <alignment horizontal="center" vertical="center"/>
    </xf>
    <xf numFmtId="3" fontId="16" fillId="0" borderId="131" xfId="0" applyNumberFormat="1" applyFont="1" applyBorder="1" applyAlignment="1">
      <alignment horizontal="center" vertical="center"/>
    </xf>
    <xf numFmtId="0" fontId="8" fillId="0" borderId="128" xfId="0" applyFont="1" applyBorder="1" applyAlignment="1" applyProtection="1">
      <alignment horizontal="center"/>
      <protection hidden="1"/>
    </xf>
    <xf numFmtId="164" fontId="16" fillId="10" borderId="125" xfId="0" applyNumberFormat="1" applyFont="1" applyFill="1" applyBorder="1" applyAlignment="1" applyProtection="1">
      <alignment horizontal="center"/>
      <protection locked="0"/>
    </xf>
    <xf numFmtId="0" fontId="8" fillId="0" borderId="132" xfId="0" applyFont="1" applyBorder="1" applyAlignment="1" applyProtection="1">
      <alignment horizontal="center"/>
      <protection hidden="1"/>
    </xf>
    <xf numFmtId="164" fontId="16" fillId="0" borderId="119" xfId="0" applyNumberFormat="1" applyFont="1" applyBorder="1" applyAlignment="1">
      <alignment horizontal="center"/>
    </xf>
    <xf numFmtId="0" fontId="8" fillId="0" borderId="121" xfId="0" applyFont="1" applyBorder="1" applyAlignment="1">
      <alignment horizontal="center" vertical="center"/>
    </xf>
    <xf numFmtId="164" fontId="16" fillId="10" borderId="121" xfId="0" applyNumberFormat="1" applyFont="1" applyFill="1" applyBorder="1" applyAlignment="1" applyProtection="1">
      <alignment horizontal="center" vertical="center"/>
      <protection locked="0"/>
    </xf>
    <xf numFmtId="164" fontId="16" fillId="10" borderId="127" xfId="0" applyNumberFormat="1" applyFont="1" applyFill="1" applyBorder="1" applyAlignment="1" applyProtection="1">
      <alignment horizontal="center" vertical="center"/>
      <protection locked="0"/>
    </xf>
    <xf numFmtId="164" fontId="16" fillId="10" borderId="107" xfId="0" applyNumberFormat="1" applyFont="1" applyFill="1" applyBorder="1" applyAlignment="1" applyProtection="1">
      <alignment horizontal="center" vertical="center"/>
      <protection locked="0"/>
    </xf>
    <xf numFmtId="1" fontId="16" fillId="10" borderId="107" xfId="0" applyNumberFormat="1" applyFont="1" applyFill="1" applyBorder="1" applyAlignment="1" applyProtection="1">
      <alignment horizontal="center" vertical="center"/>
      <protection locked="0"/>
    </xf>
    <xf numFmtId="0" fontId="15" fillId="0" borderId="112" xfId="0" applyFont="1" applyBorder="1" applyAlignment="1">
      <alignment horizontal="left" vertical="center"/>
    </xf>
    <xf numFmtId="164" fontId="16" fillId="10" borderId="125" xfId="0" applyNumberFormat="1" applyFont="1" applyFill="1" applyBorder="1" applyAlignment="1" applyProtection="1">
      <alignment horizontal="center" vertical="center"/>
      <protection locked="0"/>
    </xf>
    <xf numFmtId="1" fontId="16" fillId="10" borderId="123" xfId="0" applyNumberFormat="1" applyFont="1" applyFill="1" applyBorder="1" applyAlignment="1" applyProtection="1">
      <alignment horizontal="center" vertical="center"/>
      <protection locked="0"/>
    </xf>
    <xf numFmtId="3" fontId="16" fillId="10" borderId="123" xfId="0" applyNumberFormat="1" applyFont="1" applyFill="1" applyBorder="1" applyAlignment="1" applyProtection="1">
      <alignment horizontal="center" vertical="center"/>
      <protection locked="0"/>
    </xf>
    <xf numFmtId="0" fontId="15" fillId="0" borderId="131" xfId="0" applyFont="1" applyBorder="1" applyAlignment="1">
      <alignment vertical="center"/>
    </xf>
    <xf numFmtId="0" fontId="114" fillId="28" borderId="0" xfId="0" applyFont="1" applyFill="1" applyAlignment="1">
      <alignment horizontal="center"/>
    </xf>
    <xf numFmtId="167" fontId="15" fillId="0" borderId="121" xfId="0" applyNumberFormat="1" applyFont="1" applyBorder="1" applyAlignment="1" applyProtection="1">
      <alignment horizontal="center" vertical="center"/>
      <protection hidden="1"/>
    </xf>
    <xf numFmtId="0" fontId="16" fillId="0" borderId="121" xfId="0" applyFont="1" applyBorder="1" applyAlignment="1" applyProtection="1">
      <alignment horizontal="center" vertical="center"/>
      <protection hidden="1"/>
    </xf>
    <xf numFmtId="0" fontId="16" fillId="0" borderId="121" xfId="0" applyFont="1" applyBorder="1" applyAlignment="1">
      <alignment horizontal="center" vertical="center"/>
    </xf>
    <xf numFmtId="3" fontId="16" fillId="0" borderId="121" xfId="0" applyNumberFormat="1" applyFont="1" applyBorder="1" applyAlignment="1" applyProtection="1">
      <alignment horizontal="center" vertical="center"/>
      <protection hidden="1"/>
    </xf>
    <xf numFmtId="167" fontId="16" fillId="0" borderId="121" xfId="0" applyNumberFormat="1" applyFont="1" applyBorder="1" applyAlignment="1" applyProtection="1">
      <alignment horizontal="center" vertical="center"/>
      <protection hidden="1"/>
    </xf>
    <xf numFmtId="3" fontId="16" fillId="3" borderId="121" xfId="0" applyNumberFormat="1" applyFont="1" applyFill="1" applyBorder="1" applyAlignment="1" applyProtection="1">
      <alignment horizontal="center" vertical="center"/>
      <protection hidden="1"/>
    </xf>
    <xf numFmtId="164" fontId="98" fillId="0" borderId="121" xfId="0" applyNumberFormat="1" applyFont="1" applyBorder="1" applyAlignment="1" applyProtection="1">
      <alignment horizontal="center" vertical="center"/>
      <protection hidden="1"/>
    </xf>
    <xf numFmtId="167" fontId="62" fillId="0" borderId="121" xfId="0" applyNumberFormat="1" applyFont="1" applyBorder="1" applyAlignment="1" applyProtection="1">
      <alignment horizontal="center" vertical="center"/>
      <protection hidden="1"/>
    </xf>
    <xf numFmtId="0" fontId="15" fillId="0" borderId="121" xfId="0" applyFont="1" applyBorder="1" applyAlignment="1" applyProtection="1">
      <alignment vertical="center"/>
      <protection hidden="1"/>
    </xf>
    <xf numFmtId="0" fontId="15" fillId="0" borderId="125" xfId="0" applyFont="1" applyBorder="1" applyProtection="1">
      <protection hidden="1"/>
    </xf>
    <xf numFmtId="0" fontId="16" fillId="0" borderId="119" xfId="0" applyFont="1" applyBorder="1" applyAlignment="1" applyProtection="1">
      <alignment vertical="center"/>
      <protection hidden="1"/>
    </xf>
    <xf numFmtId="0" fontId="16" fillId="0" borderId="126" xfId="0" applyFont="1" applyBorder="1" applyAlignment="1" applyProtection="1">
      <alignment vertical="center"/>
      <protection hidden="1"/>
    </xf>
    <xf numFmtId="0" fontId="16" fillId="0" borderId="125" xfId="0" applyFont="1" applyBorder="1" applyAlignment="1" applyProtection="1">
      <alignment horizontal="center" vertical="center"/>
      <protection hidden="1"/>
    </xf>
    <xf numFmtId="0" fontId="15" fillId="0" borderId="119" xfId="0" applyFont="1" applyBorder="1" applyAlignment="1" applyProtection="1">
      <alignment vertical="center"/>
      <protection hidden="1"/>
    </xf>
    <xf numFmtId="0" fontId="15" fillId="0" borderId="126" xfId="0" applyFont="1" applyBorder="1" applyAlignment="1" applyProtection="1">
      <alignment vertical="center"/>
      <protection hidden="1"/>
    </xf>
    <xf numFmtId="167" fontId="16" fillId="0" borderId="121" xfId="0" applyNumberFormat="1" applyFont="1" applyBorder="1" applyAlignment="1">
      <alignment horizontal="center" vertical="center"/>
    </xf>
    <xf numFmtId="0" fontId="98" fillId="0" borderId="119" xfId="0" applyFont="1" applyBorder="1" applyAlignment="1" applyProtection="1">
      <alignment vertical="center"/>
      <protection hidden="1"/>
    </xf>
    <xf numFmtId="0" fontId="62" fillId="0" borderId="119" xfId="0" applyFont="1" applyBorder="1" applyAlignment="1" applyProtection="1">
      <alignment vertical="center"/>
      <protection hidden="1"/>
    </xf>
    <xf numFmtId="0" fontId="62" fillId="0" borderId="126" xfId="0" applyFont="1" applyBorder="1" applyAlignment="1" applyProtection="1">
      <alignment vertical="center"/>
      <protection hidden="1"/>
    </xf>
    <xf numFmtId="3" fontId="16" fillId="3" borderId="122" xfId="0" applyNumberFormat="1" applyFont="1" applyFill="1" applyBorder="1" applyAlignment="1" applyProtection="1">
      <alignment horizontal="center" vertical="center"/>
      <protection hidden="1"/>
    </xf>
    <xf numFmtId="49" fontId="16" fillId="3" borderId="138" xfId="0" applyNumberFormat="1" applyFont="1" applyFill="1" applyBorder="1" applyAlignment="1">
      <alignment horizontal="left" vertical="center"/>
    </xf>
    <xf numFmtId="0" fontId="16" fillId="0" borderId="139" xfId="0" applyFont="1" applyBorder="1" applyAlignment="1" applyProtection="1">
      <alignment vertical="center"/>
      <protection hidden="1"/>
    </xf>
    <xf numFmtId="3" fontId="16" fillId="0" borderId="140" xfId="0" applyNumberFormat="1" applyFont="1" applyBorder="1" applyAlignment="1" applyProtection="1">
      <alignment vertical="center"/>
      <protection hidden="1"/>
    </xf>
    <xf numFmtId="0" fontId="16" fillId="0" borderId="141" xfId="0" applyFont="1" applyBorder="1" applyAlignment="1">
      <alignment vertical="center"/>
    </xf>
    <xf numFmtId="0" fontId="16" fillId="0" borderId="142" xfId="0" applyFont="1" applyBorder="1" applyAlignment="1" applyProtection="1">
      <alignment vertical="center"/>
      <protection hidden="1"/>
    </xf>
    <xf numFmtId="3" fontId="16" fillId="0" borderId="143" xfId="0" applyNumberFormat="1" applyFont="1" applyBorder="1" applyAlignment="1" applyProtection="1">
      <alignment vertical="center"/>
      <protection hidden="1"/>
    </xf>
    <xf numFmtId="0" fontId="113" fillId="28" borderId="0" xfId="0" applyFont="1" applyFill="1" applyAlignment="1" applyProtection="1">
      <alignment vertical="center"/>
      <protection hidden="1"/>
    </xf>
    <xf numFmtId="3" fontId="114" fillId="28" borderId="0" xfId="0" applyNumberFormat="1" applyFont="1" applyFill="1" applyAlignment="1" applyProtection="1">
      <alignment vertical="center"/>
      <protection hidden="1"/>
    </xf>
    <xf numFmtId="3" fontId="113" fillId="28" borderId="0" xfId="0" applyNumberFormat="1" applyFont="1" applyFill="1" applyAlignment="1" applyProtection="1">
      <alignment vertical="center"/>
      <protection hidden="1"/>
    </xf>
    <xf numFmtId="0" fontId="16" fillId="0" borderId="27" xfId="0" applyFont="1" applyBorder="1" applyAlignment="1" applyProtection="1">
      <alignment horizontal="left" vertical="center"/>
      <protection hidden="1"/>
    </xf>
    <xf numFmtId="0" fontId="16" fillId="0" borderId="18" xfId="0" applyFont="1" applyBorder="1" applyAlignment="1" applyProtection="1">
      <alignment horizontal="left" vertical="center"/>
      <protection hidden="1"/>
    </xf>
    <xf numFmtId="167" fontId="15" fillId="0" borderId="126" xfId="0" applyNumberFormat="1" applyFont="1" applyBorder="1" applyAlignment="1" applyProtection="1">
      <alignment horizontal="center" vertical="center"/>
      <protection hidden="1"/>
    </xf>
    <xf numFmtId="0" fontId="15" fillId="0" borderId="144" xfId="0" applyFont="1" applyBorder="1" applyAlignment="1">
      <alignment horizontal="left" vertical="center"/>
    </xf>
    <xf numFmtId="0" fontId="15" fillId="0" borderId="131" xfId="0" applyFont="1" applyBorder="1" applyAlignment="1" applyProtection="1">
      <alignment vertical="center"/>
      <protection hidden="1"/>
    </xf>
    <xf numFmtId="0" fontId="15" fillId="0" borderId="135" xfId="0" applyFont="1" applyBorder="1" applyAlignment="1" applyProtection="1">
      <alignment vertical="center"/>
      <protection hidden="1"/>
    </xf>
    <xf numFmtId="0" fontId="15" fillId="0" borderId="132" xfId="0" applyFont="1" applyBorder="1" applyProtection="1">
      <protection hidden="1"/>
    </xf>
    <xf numFmtId="0" fontId="16" fillId="0" borderId="128" xfId="0" applyFont="1" applyBorder="1" applyAlignment="1" applyProtection="1">
      <alignment horizontal="center" vertical="center"/>
      <protection hidden="1"/>
    </xf>
    <xf numFmtId="0" fontId="15" fillId="0" borderId="119" xfId="0" applyFont="1" applyBorder="1" applyAlignment="1">
      <alignment horizontal="left"/>
    </xf>
    <xf numFmtId="0" fontId="15" fillId="0" borderId="119" xfId="0" applyFont="1" applyBorder="1" applyProtection="1">
      <protection hidden="1"/>
    </xf>
    <xf numFmtId="0" fontId="15" fillId="0" borderId="126" xfId="0" applyFont="1" applyBorder="1" applyProtection="1">
      <protection hidden="1"/>
    </xf>
    <xf numFmtId="0" fontId="15" fillId="0" borderId="144" xfId="0" applyFont="1" applyBorder="1" applyAlignment="1" applyProtection="1">
      <alignment horizontal="left"/>
      <protection hidden="1"/>
    </xf>
    <xf numFmtId="0" fontId="15" fillId="0" borderId="128" xfId="0" applyFont="1" applyBorder="1" applyAlignment="1" applyProtection="1">
      <alignment horizontal="left"/>
      <protection hidden="1"/>
    </xf>
    <xf numFmtId="3" fontId="16" fillId="0" borderId="121" xfId="0" applyNumberFormat="1" applyFont="1" applyBorder="1" applyAlignment="1">
      <alignment horizontal="center" vertical="center"/>
    </xf>
    <xf numFmtId="164" fontId="16" fillId="0" borderId="121" xfId="0" applyNumberFormat="1" applyFont="1" applyBorder="1" applyAlignment="1">
      <alignment horizontal="center" vertical="center"/>
    </xf>
    <xf numFmtId="9" fontId="16" fillId="10" borderId="121" xfId="2" applyFont="1" applyFill="1" applyBorder="1" applyAlignment="1" applyProtection="1">
      <alignment horizontal="center" vertical="center"/>
      <protection locked="0"/>
    </xf>
    <xf numFmtId="9" fontId="16" fillId="10" borderId="121" xfId="2" applyFont="1" applyFill="1" applyBorder="1" applyAlignment="1" applyProtection="1">
      <alignment horizontal="center"/>
      <protection locked="0"/>
    </xf>
    <xf numFmtId="3" fontId="16" fillId="3" borderId="121" xfId="0" applyNumberFormat="1" applyFont="1" applyFill="1" applyBorder="1" applyAlignment="1" applyProtection="1">
      <alignment horizontal="center"/>
      <protection hidden="1"/>
    </xf>
    <xf numFmtId="3" fontId="16" fillId="0" borderId="122" xfId="0" applyNumberFormat="1" applyFont="1" applyBorder="1" applyAlignment="1">
      <alignment horizontal="center" vertical="center"/>
    </xf>
    <xf numFmtId="1" fontId="113" fillId="28" borderId="0" xfId="0" applyNumberFormat="1" applyFont="1" applyFill="1" applyAlignment="1">
      <alignment horizontal="center" vertical="center"/>
    </xf>
    <xf numFmtId="9" fontId="16" fillId="10" borderId="122" xfId="2" applyFont="1" applyFill="1" applyBorder="1" applyAlignment="1" applyProtection="1">
      <alignment horizontal="center" vertical="center"/>
      <protection locked="0"/>
    </xf>
    <xf numFmtId="1" fontId="113" fillId="28" borderId="0" xfId="0" applyNumberFormat="1" applyFont="1" applyFill="1" applyAlignment="1">
      <alignment horizontal="center"/>
    </xf>
    <xf numFmtId="3" fontId="16" fillId="8" borderId="107" xfId="0" applyNumberFormat="1" applyFont="1" applyFill="1" applyBorder="1" applyAlignment="1" applyProtection="1">
      <alignment horizontal="center" vertical="center"/>
      <protection locked="0"/>
    </xf>
    <xf numFmtId="167" fontId="16" fillId="8" borderId="107" xfId="0" applyNumberFormat="1" applyFont="1" applyFill="1" applyBorder="1" applyAlignment="1" applyProtection="1">
      <alignment horizontal="center" vertical="center"/>
      <protection locked="0"/>
    </xf>
    <xf numFmtId="3" fontId="16" fillId="8" borderId="111" xfId="0" applyNumberFormat="1" applyFont="1" applyFill="1" applyBorder="1" applyAlignment="1" applyProtection="1">
      <alignment horizontal="center" vertical="center"/>
      <protection locked="0"/>
    </xf>
    <xf numFmtId="167" fontId="16" fillId="8" borderId="111" xfId="0" applyNumberFormat="1" applyFont="1" applyFill="1" applyBorder="1" applyAlignment="1" applyProtection="1">
      <alignment horizontal="center" vertical="center"/>
      <protection locked="0"/>
    </xf>
    <xf numFmtId="3" fontId="16" fillId="3" borderId="152" xfId="0" applyNumberFormat="1" applyFont="1" applyFill="1" applyBorder="1" applyAlignment="1" applyProtection="1">
      <alignment horizontal="center" vertical="center"/>
      <protection hidden="1"/>
    </xf>
    <xf numFmtId="3" fontId="16" fillId="8" borderId="153" xfId="0" applyNumberFormat="1" applyFont="1" applyFill="1" applyBorder="1" applyAlignment="1" applyProtection="1">
      <alignment horizontal="center" vertical="center"/>
      <protection locked="0"/>
    </xf>
    <xf numFmtId="167" fontId="16" fillId="8" borderId="153" xfId="0" applyNumberFormat="1" applyFont="1" applyFill="1" applyBorder="1" applyAlignment="1" applyProtection="1">
      <alignment horizontal="center" vertical="center"/>
      <protection locked="0"/>
    </xf>
    <xf numFmtId="3" fontId="16" fillId="8" borderId="154" xfId="0" applyNumberFormat="1" applyFont="1" applyFill="1" applyBorder="1" applyAlignment="1" applyProtection="1">
      <alignment horizontal="center" vertical="center"/>
      <protection locked="0"/>
    </xf>
    <xf numFmtId="3" fontId="15" fillId="11" borderId="151" xfId="0" applyNumberFormat="1" applyFont="1" applyFill="1" applyBorder="1" applyAlignment="1" applyProtection="1">
      <alignment horizontal="center" vertical="center"/>
      <protection hidden="1"/>
    </xf>
    <xf numFmtId="3" fontId="16" fillId="6" borderId="152" xfId="0" applyNumberFormat="1" applyFont="1" applyFill="1" applyBorder="1" applyAlignment="1" applyProtection="1">
      <alignment horizontal="center" vertical="center"/>
      <protection hidden="1"/>
    </xf>
    <xf numFmtId="3" fontId="16" fillId="6" borderId="155" xfId="0" applyNumberFormat="1" applyFont="1" applyFill="1" applyBorder="1" applyAlignment="1" applyProtection="1">
      <alignment horizontal="center" vertical="center"/>
      <protection hidden="1"/>
    </xf>
    <xf numFmtId="3" fontId="15" fillId="0" borderId="156" xfId="0" applyNumberFormat="1" applyFont="1" applyBorder="1" applyAlignment="1" applyProtection="1">
      <alignment horizontal="center" vertical="center"/>
      <protection hidden="1"/>
    </xf>
    <xf numFmtId="3" fontId="16" fillId="3" borderId="28" xfId="0" applyNumberFormat="1" applyFont="1" applyFill="1" applyBorder="1" applyAlignment="1" applyProtection="1">
      <alignment horizontal="center" vertical="center"/>
      <protection hidden="1"/>
    </xf>
    <xf numFmtId="3" fontId="15" fillId="0" borderId="24" xfId="0" applyNumberFormat="1" applyFont="1" applyBorder="1" applyAlignment="1" applyProtection="1">
      <alignment horizontal="center" vertical="center"/>
      <protection hidden="1"/>
    </xf>
    <xf numFmtId="3" fontId="15" fillId="0" borderId="157" xfId="0" applyNumberFormat="1" applyFont="1" applyBorder="1" applyAlignment="1" applyProtection="1">
      <alignment horizontal="center" vertical="center"/>
      <protection hidden="1"/>
    </xf>
    <xf numFmtId="3" fontId="16" fillId="6" borderId="108" xfId="0" applyNumberFormat="1" applyFont="1" applyFill="1" applyBorder="1" applyAlignment="1" applyProtection="1">
      <alignment horizontal="center" vertical="center"/>
      <protection hidden="1"/>
    </xf>
    <xf numFmtId="3" fontId="15" fillId="0" borderId="158" xfId="0" applyNumberFormat="1" applyFont="1" applyBorder="1" applyAlignment="1" applyProtection="1">
      <alignment horizontal="center" vertical="center"/>
      <protection hidden="1"/>
    </xf>
    <xf numFmtId="0" fontId="15" fillId="0" borderId="35" xfId="0" applyFont="1" applyBorder="1" applyAlignment="1">
      <alignment vertical="center"/>
    </xf>
    <xf numFmtId="3" fontId="16" fillId="8" borderId="108" xfId="0" applyNumberFormat="1" applyFont="1" applyFill="1" applyBorder="1" applyAlignment="1" applyProtection="1">
      <alignment horizontal="center" vertical="center"/>
      <protection locked="0"/>
    </xf>
    <xf numFmtId="3" fontId="16" fillId="6" borderId="28" xfId="0" applyNumberFormat="1" applyFont="1" applyFill="1" applyBorder="1" applyAlignment="1" applyProtection="1">
      <alignment horizontal="center" vertical="center"/>
      <protection hidden="1"/>
    </xf>
    <xf numFmtId="3" fontId="15" fillId="11" borderId="159" xfId="0" applyNumberFormat="1" applyFont="1" applyFill="1" applyBorder="1" applyAlignment="1" applyProtection="1">
      <alignment horizontal="center" vertical="center"/>
      <protection hidden="1"/>
    </xf>
    <xf numFmtId="9" fontId="16" fillId="8" borderId="111" xfId="0" applyNumberFormat="1" applyFont="1" applyFill="1" applyBorder="1" applyAlignment="1" applyProtection="1">
      <alignment horizontal="center" vertical="center"/>
      <protection locked="0"/>
    </xf>
    <xf numFmtId="3" fontId="16" fillId="0" borderId="47" xfId="0" applyNumberFormat="1" applyFont="1" applyBorder="1" applyAlignment="1" applyProtection="1">
      <alignment horizontal="center" vertical="center"/>
      <protection hidden="1"/>
    </xf>
    <xf numFmtId="10" fontId="16" fillId="8" borderId="107" xfId="0" applyNumberFormat="1" applyFont="1" applyFill="1" applyBorder="1" applyAlignment="1" applyProtection="1">
      <alignment horizontal="center" vertical="center"/>
      <protection locked="0"/>
    </xf>
    <xf numFmtId="168" fontId="67" fillId="8" borderId="107" xfId="0" applyNumberFormat="1" applyFont="1" applyFill="1" applyBorder="1" applyAlignment="1" applyProtection="1">
      <alignment horizontal="center" vertical="center"/>
      <protection locked="0"/>
    </xf>
    <xf numFmtId="10" fontId="16" fillId="8" borderId="107" xfId="0" applyNumberFormat="1" applyFont="1" applyFill="1" applyBorder="1" applyAlignment="1" applyProtection="1">
      <alignment horizontal="center" vertical="center"/>
      <protection locked="0" hidden="1"/>
    </xf>
    <xf numFmtId="3" fontId="16" fillId="8" borderId="48" xfId="0" applyNumberFormat="1" applyFont="1" applyFill="1" applyBorder="1" applyAlignment="1" applyProtection="1">
      <alignment horizontal="center" vertical="center"/>
      <protection locked="0"/>
    </xf>
    <xf numFmtId="10" fontId="16" fillId="8" borderId="47" xfId="0" applyNumberFormat="1" applyFont="1" applyFill="1" applyBorder="1" applyAlignment="1" applyProtection="1">
      <alignment horizontal="center" vertical="center"/>
      <protection locked="0" hidden="1"/>
    </xf>
    <xf numFmtId="3" fontId="16" fillId="8" borderId="47" xfId="0" applyNumberFormat="1" applyFont="1" applyFill="1" applyBorder="1" applyAlignment="1" applyProtection="1">
      <alignment horizontal="center" vertical="center"/>
      <protection locked="0"/>
    </xf>
    <xf numFmtId="3" fontId="16" fillId="6" borderId="61" xfId="0" applyNumberFormat="1" applyFont="1" applyFill="1" applyBorder="1" applyAlignment="1" applyProtection="1">
      <alignment horizontal="center" vertical="center"/>
      <protection hidden="1"/>
    </xf>
    <xf numFmtId="4" fontId="16" fillId="8" borderId="107" xfId="0" applyNumberFormat="1" applyFont="1" applyFill="1" applyBorder="1" applyAlignment="1" applyProtection="1">
      <alignment horizontal="center" vertical="center"/>
      <protection locked="0"/>
    </xf>
    <xf numFmtId="2" fontId="16" fillId="8" borderId="107" xfId="0" applyNumberFormat="1" applyFont="1" applyFill="1" applyBorder="1" applyAlignment="1" applyProtection="1">
      <alignment horizontal="center" vertical="center"/>
      <protection locked="0"/>
    </xf>
    <xf numFmtId="4" fontId="16" fillId="8" borderId="114" xfId="0" applyNumberFormat="1" applyFont="1" applyFill="1" applyBorder="1" applyAlignment="1" applyProtection="1">
      <alignment horizontal="center" vertical="center"/>
      <protection locked="0"/>
    </xf>
    <xf numFmtId="3" fontId="15" fillId="8" borderId="61" xfId="0" applyNumberFormat="1" applyFont="1" applyFill="1" applyBorder="1" applyAlignment="1" applyProtection="1">
      <alignment horizontal="center" vertical="center"/>
      <protection locked="0"/>
    </xf>
    <xf numFmtId="3" fontId="89" fillId="11" borderId="61" xfId="0" applyNumberFormat="1" applyFont="1" applyFill="1" applyBorder="1" applyAlignment="1" applyProtection="1">
      <alignment horizontal="center" vertical="center"/>
      <protection hidden="1"/>
    </xf>
    <xf numFmtId="3" fontId="16" fillId="8" borderId="114" xfId="0" applyNumberFormat="1" applyFont="1" applyFill="1" applyBorder="1" applyAlignment="1" applyProtection="1">
      <alignment horizontal="center" vertical="center"/>
      <protection locked="0"/>
    </xf>
    <xf numFmtId="3" fontId="16" fillId="0" borderId="61" xfId="0" applyNumberFormat="1" applyFont="1" applyBorder="1" applyAlignment="1" applyProtection="1">
      <alignment horizontal="center" vertical="center"/>
      <protection hidden="1"/>
    </xf>
    <xf numFmtId="3" fontId="67" fillId="8" borderId="107" xfId="0" applyNumberFormat="1" applyFont="1" applyFill="1" applyBorder="1" applyAlignment="1" applyProtection="1">
      <alignment horizontal="center" vertical="center"/>
      <protection locked="0"/>
    </xf>
    <xf numFmtId="0" fontId="15" fillId="0" borderId="160" xfId="0" applyFont="1" applyBorder="1" applyAlignment="1">
      <alignment horizontal="center" vertical="center"/>
    </xf>
    <xf numFmtId="0" fontId="15" fillId="0" borderId="160" xfId="0" applyFont="1" applyBorder="1" applyAlignment="1">
      <alignment vertical="center"/>
    </xf>
    <xf numFmtId="0" fontId="15" fillId="0" borderId="160" xfId="0" applyFont="1" applyBorder="1" applyAlignment="1">
      <alignment horizontal="left" vertical="center"/>
    </xf>
    <xf numFmtId="3" fontId="15" fillId="8" borderId="161" xfId="0" applyNumberFormat="1" applyFont="1" applyFill="1" applyBorder="1" applyAlignment="1" applyProtection="1">
      <alignment horizontal="center" vertical="center"/>
      <protection locked="0"/>
    </xf>
    <xf numFmtId="3" fontId="15" fillId="8" borderId="120" xfId="0" applyNumberFormat="1" applyFont="1" applyFill="1" applyBorder="1" applyAlignment="1" applyProtection="1">
      <alignment horizontal="center" vertical="center"/>
      <protection locked="0"/>
    </xf>
    <xf numFmtId="3" fontId="15" fillId="6" borderId="46" xfId="0" applyNumberFormat="1" applyFont="1" applyFill="1" applyBorder="1" applyAlignment="1" applyProtection="1">
      <alignment horizontal="center" vertical="center"/>
      <protection hidden="1"/>
    </xf>
    <xf numFmtId="0" fontId="15" fillId="0" borderId="120" xfId="0" applyFont="1" applyBorder="1" applyAlignment="1">
      <alignment horizontal="left" vertical="center"/>
    </xf>
    <xf numFmtId="0" fontId="15" fillId="0" borderId="109" xfId="0" applyFont="1" applyBorder="1" applyAlignment="1">
      <alignment vertical="center"/>
    </xf>
    <xf numFmtId="3" fontId="16" fillId="0" borderId="155" xfId="0" applyNumberFormat="1" applyFont="1" applyBorder="1" applyAlignment="1" applyProtection="1">
      <alignment horizontal="center" vertical="center"/>
      <protection hidden="1"/>
    </xf>
    <xf numFmtId="165" fontId="15" fillId="11" borderId="153" xfId="0" applyNumberFormat="1" applyFont="1" applyFill="1" applyBorder="1" applyAlignment="1" applyProtection="1">
      <alignment horizontal="center" vertical="center"/>
      <protection hidden="1"/>
    </xf>
    <xf numFmtId="164" fontId="15" fillId="11" borderId="152" xfId="2" applyNumberFormat="1" applyFont="1" applyFill="1" applyBorder="1" applyAlignment="1" applyProtection="1">
      <alignment horizontal="center" vertical="center"/>
      <protection hidden="1"/>
    </xf>
    <xf numFmtId="3" fontId="15" fillId="0" borderId="155" xfId="0" applyNumberFormat="1" applyFont="1" applyBorder="1" applyAlignment="1" applyProtection="1">
      <alignment horizontal="center" vertical="center"/>
      <protection hidden="1"/>
    </xf>
    <xf numFmtId="3" fontId="16" fillId="0" borderId="153" xfId="0" applyNumberFormat="1" applyFont="1" applyBorder="1" applyAlignment="1" applyProtection="1">
      <alignment horizontal="center" vertical="center"/>
      <protection hidden="1"/>
    </xf>
    <xf numFmtId="3" fontId="15" fillId="0" borderId="152" xfId="0" applyNumberFormat="1" applyFont="1" applyBorder="1" applyAlignment="1" applyProtection="1">
      <alignment horizontal="center" vertical="center"/>
      <protection hidden="1"/>
    </xf>
    <xf numFmtId="1" fontId="7" fillId="8" borderId="162" xfId="0" applyNumberFormat="1" applyFont="1" applyFill="1" applyBorder="1" applyAlignment="1" applyProtection="1">
      <alignment horizontal="center" vertical="center"/>
      <protection locked="0"/>
    </xf>
    <xf numFmtId="1" fontId="7" fillId="8" borderId="123" xfId="0" applyNumberFormat="1" applyFont="1" applyFill="1" applyBorder="1" applyAlignment="1" applyProtection="1">
      <alignment horizontal="center" vertical="center"/>
      <protection locked="0" hidden="1"/>
    </xf>
    <xf numFmtId="1" fontId="15" fillId="8" borderId="164" xfId="0" applyNumberFormat="1" applyFont="1" applyFill="1" applyBorder="1" applyAlignment="1" applyProtection="1">
      <alignment horizontal="center" vertical="center"/>
      <protection locked="0"/>
    </xf>
    <xf numFmtId="1" fontId="15" fillId="0" borderId="127" xfId="0" applyNumberFormat="1" applyFont="1" applyBorder="1" applyAlignment="1">
      <alignment horizontal="center" vertical="center"/>
    </xf>
    <xf numFmtId="0" fontId="5" fillId="0" borderId="109" xfId="0" applyFont="1" applyBorder="1" applyAlignment="1">
      <alignment horizontal="center"/>
    </xf>
    <xf numFmtId="0" fontId="5" fillId="0" borderId="110" xfId="0" applyFont="1" applyBorder="1" applyAlignment="1">
      <alignment horizontal="center"/>
    </xf>
    <xf numFmtId="0" fontId="8" fillId="0" borderId="107" xfId="0" applyFont="1" applyBorder="1" applyAlignment="1" applyProtection="1">
      <alignment horizontal="center"/>
      <protection hidden="1"/>
    </xf>
    <xf numFmtId="164" fontId="16" fillId="31" borderId="107" xfId="0" applyNumberFormat="1" applyFont="1" applyFill="1" applyBorder="1" applyAlignment="1" applyProtection="1">
      <alignment horizontal="center"/>
      <protection locked="0"/>
    </xf>
    <xf numFmtId="3" fontId="97" fillId="31" borderId="107" xfId="0" applyNumberFormat="1" applyFont="1" applyFill="1" applyBorder="1" applyAlignment="1" applyProtection="1">
      <alignment horizontal="center" vertical="center"/>
      <protection locked="0"/>
    </xf>
    <xf numFmtId="3" fontId="16" fillId="31" borderId="107" xfId="0" applyNumberFormat="1" applyFont="1" applyFill="1" applyBorder="1" applyAlignment="1" applyProtection="1">
      <alignment horizontal="center" vertical="center"/>
      <protection locked="0"/>
    </xf>
    <xf numFmtId="3" fontId="16" fillId="31" borderId="113" xfId="0" applyNumberFormat="1" applyFont="1" applyFill="1" applyBorder="1" applyAlignment="1" applyProtection="1">
      <alignment horizontal="center" vertical="center"/>
      <protection locked="0"/>
    </xf>
    <xf numFmtId="164" fontId="16" fillId="31" borderId="114" xfId="0" applyNumberFormat="1" applyFont="1" applyFill="1" applyBorder="1" applyAlignment="1" applyProtection="1">
      <alignment horizontal="center"/>
      <protection locked="0"/>
    </xf>
    <xf numFmtId="164" fontId="16" fillId="0" borderId="0" xfId="0" applyNumberFormat="1" applyFont="1" applyAlignment="1">
      <alignment horizontal="center"/>
    </xf>
    <xf numFmtId="3" fontId="15" fillId="31" borderId="107" xfId="0" applyNumberFormat="1" applyFont="1" applyFill="1" applyBorder="1" applyAlignment="1" applyProtection="1">
      <alignment horizontal="center" vertical="center"/>
      <protection locked="0"/>
    </xf>
    <xf numFmtId="164" fontId="16" fillId="31" borderId="107" xfId="0" applyNumberFormat="1" applyFont="1" applyFill="1" applyBorder="1" applyAlignment="1" applyProtection="1">
      <alignment horizontal="center" vertical="center"/>
      <protection locked="0"/>
    </xf>
    <xf numFmtId="0" fontId="8" fillId="0" borderId="107" xfId="0" applyFont="1" applyBorder="1" applyAlignment="1">
      <alignment horizontal="center" vertical="center"/>
    </xf>
    <xf numFmtId="1" fontId="16" fillId="31" borderId="107" xfId="0" applyNumberFormat="1" applyFont="1" applyFill="1" applyBorder="1" applyAlignment="1" applyProtection="1">
      <alignment horizontal="center" vertical="center"/>
      <protection locked="0"/>
    </xf>
    <xf numFmtId="0" fontId="15" fillId="0" borderId="111" xfId="0" applyFont="1" applyBorder="1" applyAlignment="1">
      <alignment vertical="center"/>
    </xf>
    <xf numFmtId="0" fontId="16" fillId="0" borderId="113" xfId="0" applyFont="1" applyBorder="1" applyAlignment="1">
      <alignment vertical="center"/>
    </xf>
    <xf numFmtId="3" fontId="16" fillId="0" borderId="111" xfId="0" applyNumberFormat="1" applyFont="1" applyBorder="1" applyAlignment="1">
      <alignment horizontal="center" vertical="center"/>
    </xf>
    <xf numFmtId="3" fontId="16" fillId="0" borderId="112" xfId="0" applyNumberFormat="1" applyFont="1" applyBorder="1" applyAlignment="1">
      <alignment horizontal="center" vertical="center"/>
    </xf>
    <xf numFmtId="3" fontId="16" fillId="0" borderId="113" xfId="0" applyNumberFormat="1" applyFont="1" applyBorder="1" applyAlignment="1">
      <alignment horizontal="center" vertical="center"/>
    </xf>
    <xf numFmtId="0" fontId="112" fillId="28" borderId="0" xfId="0" applyFont="1" applyFill="1" applyAlignment="1" applyProtection="1">
      <alignment horizontal="left" vertical="center"/>
      <protection hidden="1"/>
    </xf>
    <xf numFmtId="0" fontId="15" fillId="0" borderId="29" xfId="0" applyFont="1" applyBorder="1" applyAlignment="1" applyProtection="1">
      <alignment horizontal="left"/>
      <protection hidden="1"/>
    </xf>
    <xf numFmtId="0" fontId="15" fillId="0" borderId="30" xfId="0" applyFont="1" applyBorder="1" applyAlignment="1" applyProtection="1">
      <alignment horizontal="left"/>
      <protection hidden="1"/>
    </xf>
    <xf numFmtId="0" fontId="15" fillId="0" borderId="112" xfId="0" applyFont="1" applyBorder="1" applyAlignment="1">
      <alignment horizontal="left"/>
    </xf>
    <xf numFmtId="0" fontId="15" fillId="0" borderId="112" xfId="0" applyFont="1" applyBorder="1" applyProtection="1">
      <protection hidden="1"/>
    </xf>
    <xf numFmtId="0" fontId="15" fillId="0" borderId="113" xfId="0" applyFont="1" applyBorder="1" applyProtection="1">
      <protection hidden="1"/>
    </xf>
    <xf numFmtId="166" fontId="15" fillId="0" borderId="107" xfId="0" applyNumberFormat="1" applyFont="1" applyBorder="1" applyAlignment="1" applyProtection="1">
      <alignment horizontal="center" vertical="center"/>
      <protection hidden="1"/>
    </xf>
    <xf numFmtId="0" fontId="6" fillId="0" borderId="107" xfId="0" applyFont="1" applyBorder="1" applyAlignment="1">
      <alignment horizontal="center" vertical="center"/>
    </xf>
    <xf numFmtId="0" fontId="15" fillId="0" borderId="112" xfId="0" applyFont="1" applyBorder="1" applyAlignment="1" applyProtection="1">
      <alignment vertical="center"/>
      <protection hidden="1"/>
    </xf>
    <xf numFmtId="0" fontId="15" fillId="0" borderId="113" xfId="0" applyFont="1" applyBorder="1" applyAlignment="1" applyProtection="1">
      <alignment vertical="center"/>
      <protection hidden="1"/>
    </xf>
    <xf numFmtId="0" fontId="16" fillId="0" borderId="112" xfId="0" applyFont="1" applyBorder="1" applyAlignment="1" applyProtection="1">
      <alignment vertical="center"/>
      <protection hidden="1"/>
    </xf>
    <xf numFmtId="0" fontId="16" fillId="0" borderId="113" xfId="0" applyFont="1" applyBorder="1" applyAlignment="1" applyProtection="1">
      <alignment vertical="center"/>
      <protection hidden="1"/>
    </xf>
    <xf numFmtId="0" fontId="98" fillId="0" borderId="112" xfId="0" applyFont="1" applyBorder="1" applyAlignment="1" applyProtection="1">
      <alignment vertical="center"/>
      <protection hidden="1"/>
    </xf>
    <xf numFmtId="0" fontId="16" fillId="0" borderId="168" xfId="0" applyFont="1" applyBorder="1" applyAlignment="1" applyProtection="1">
      <alignment vertical="center"/>
      <protection hidden="1"/>
    </xf>
    <xf numFmtId="0" fontId="15" fillId="0" borderId="168" xfId="0" applyFont="1" applyBorder="1" applyAlignment="1" applyProtection="1">
      <alignment vertical="center"/>
      <protection hidden="1"/>
    </xf>
    <xf numFmtId="0" fontId="16" fillId="0" borderId="134" xfId="0" applyFont="1" applyBorder="1" applyAlignment="1" applyProtection="1">
      <alignment vertical="center"/>
      <protection hidden="1"/>
    </xf>
    <xf numFmtId="0" fontId="15" fillId="0" borderId="134" xfId="0" applyFont="1" applyBorder="1" applyAlignment="1" applyProtection="1">
      <alignment vertical="center"/>
      <protection hidden="1"/>
    </xf>
    <xf numFmtId="167" fontId="8" fillId="6" borderId="107" xfId="0" applyNumberFormat="1" applyFont="1" applyFill="1" applyBorder="1" applyAlignment="1" applyProtection="1">
      <alignment horizontal="center" vertical="center"/>
      <protection hidden="1"/>
    </xf>
    <xf numFmtId="164" fontId="16" fillId="8" borderId="107" xfId="0" applyNumberFormat="1" applyFont="1" applyFill="1" applyBorder="1" applyAlignment="1" applyProtection="1">
      <alignment horizontal="center" vertical="center"/>
      <protection locked="0"/>
    </xf>
    <xf numFmtId="164" fontId="98" fillId="0" borderId="107" xfId="0" applyNumberFormat="1" applyFont="1" applyBorder="1" applyAlignment="1" applyProtection="1">
      <alignment horizontal="center" vertical="center"/>
      <protection hidden="1"/>
    </xf>
    <xf numFmtId="3" fontId="5" fillId="0" borderId="107" xfId="0" applyNumberFormat="1" applyFont="1" applyBorder="1" applyAlignment="1" applyProtection="1">
      <alignment horizontal="center" vertical="center"/>
      <protection hidden="1"/>
    </xf>
    <xf numFmtId="3" fontId="8" fillId="0" borderId="107" xfId="0" applyNumberFormat="1" applyFont="1" applyBorder="1" applyAlignment="1" applyProtection="1">
      <alignment horizontal="center" vertical="center"/>
      <protection hidden="1"/>
    </xf>
    <xf numFmtId="167" fontId="5" fillId="0" borderId="107" xfId="0" applyNumberFormat="1" applyFont="1" applyBorder="1" applyAlignment="1" applyProtection="1">
      <alignment horizontal="center" vertical="center"/>
      <protection hidden="1"/>
    </xf>
    <xf numFmtId="167" fontId="8" fillId="0" borderId="107" xfId="0" applyNumberFormat="1" applyFont="1" applyBorder="1" applyAlignment="1" applyProtection="1">
      <alignment horizontal="center" vertical="center"/>
      <protection hidden="1"/>
    </xf>
    <xf numFmtId="167" fontId="62" fillId="0" borderId="107" xfId="0" applyNumberFormat="1" applyFont="1" applyBorder="1" applyAlignment="1" applyProtection="1">
      <alignment horizontal="center" vertical="center"/>
      <protection hidden="1"/>
    </xf>
    <xf numFmtId="167" fontId="16" fillId="6" borderId="107" xfId="0" applyNumberFormat="1" applyFont="1" applyFill="1" applyBorder="1" applyAlignment="1">
      <alignment horizontal="center" vertical="center"/>
    </xf>
    <xf numFmtId="3" fontId="16" fillId="0" borderId="121" xfId="0" applyNumberFormat="1" applyFont="1" applyBorder="1" applyAlignment="1" applyProtection="1">
      <alignment horizontal="center"/>
      <protection hidden="1"/>
    </xf>
    <xf numFmtId="3" fontId="15" fillId="0" borderId="55" xfId="0" applyNumberFormat="1" applyFont="1" applyBorder="1" applyAlignment="1" applyProtection="1">
      <alignment horizontal="center"/>
      <protection hidden="1"/>
    </xf>
    <xf numFmtId="9" fontId="16" fillId="8" borderId="122" xfId="2" applyFont="1" applyFill="1" applyBorder="1" applyAlignment="1" applyProtection="1">
      <alignment horizontal="center" vertical="center"/>
      <protection locked="0"/>
    </xf>
    <xf numFmtId="9" fontId="16" fillId="8" borderId="121" xfId="2" applyFont="1" applyFill="1" applyBorder="1" applyAlignment="1" applyProtection="1">
      <alignment horizontal="center" vertical="center"/>
      <protection locked="0"/>
    </xf>
    <xf numFmtId="0" fontId="15" fillId="0" borderId="182" xfId="0" applyFont="1" applyBorder="1" applyProtection="1">
      <protection hidden="1"/>
    </xf>
    <xf numFmtId="0" fontId="15" fillId="0" borderId="184" xfId="0" applyFont="1" applyBorder="1" applyProtection="1">
      <protection hidden="1"/>
    </xf>
    <xf numFmtId="0" fontId="6" fillId="0" borderId="163" xfId="0" applyFont="1" applyBorder="1" applyAlignment="1">
      <alignment horizontal="center" vertical="center"/>
    </xf>
    <xf numFmtId="0" fontId="16" fillId="0" borderId="184" xfId="0" applyFont="1" applyBorder="1" applyAlignment="1" applyProtection="1">
      <alignment horizontal="center" vertical="center"/>
      <protection hidden="1"/>
    </xf>
    <xf numFmtId="3" fontId="5" fillId="0" borderId="163" xfId="0" applyNumberFormat="1" applyFont="1" applyBorder="1" applyAlignment="1" applyProtection="1">
      <alignment horizontal="center" vertical="center"/>
      <protection hidden="1"/>
    </xf>
    <xf numFmtId="3" fontId="8" fillId="0" borderId="163" xfId="0" applyNumberFormat="1" applyFont="1" applyBorder="1" applyAlignment="1" applyProtection="1">
      <alignment horizontal="center" vertical="center"/>
      <protection hidden="1"/>
    </xf>
    <xf numFmtId="167" fontId="5" fillId="0" borderId="163" xfId="0" applyNumberFormat="1" applyFont="1" applyBorder="1" applyAlignment="1" applyProtection="1">
      <alignment horizontal="center" vertical="center"/>
      <protection hidden="1"/>
    </xf>
    <xf numFmtId="167" fontId="8" fillId="0" borderId="163" xfId="0" applyNumberFormat="1" applyFont="1" applyBorder="1" applyAlignment="1" applyProtection="1">
      <alignment horizontal="center" vertical="center"/>
      <protection hidden="1"/>
    </xf>
    <xf numFmtId="167" fontId="62" fillId="0" borderId="163" xfId="0" applyNumberFormat="1" applyFont="1" applyBorder="1" applyAlignment="1" applyProtection="1">
      <alignment horizontal="center" vertical="center"/>
      <protection hidden="1"/>
    </xf>
    <xf numFmtId="0" fontId="16" fillId="0" borderId="132" xfId="0" applyFont="1" applyBorder="1" applyAlignment="1" applyProtection="1">
      <alignment horizontal="center" vertical="center"/>
      <protection hidden="1"/>
    </xf>
    <xf numFmtId="167" fontId="16" fillId="6" borderId="163" xfId="0" applyNumberFormat="1" applyFont="1" applyFill="1" applyBorder="1" applyAlignment="1">
      <alignment horizontal="center" vertical="center"/>
    </xf>
    <xf numFmtId="0" fontId="16" fillId="0" borderId="185" xfId="0" applyFont="1" applyBorder="1" applyAlignment="1" applyProtection="1">
      <alignment horizontal="center" vertical="center"/>
      <protection hidden="1"/>
    </xf>
    <xf numFmtId="3" fontId="15" fillId="6" borderId="187" xfId="0" applyNumberFormat="1" applyFont="1" applyFill="1" applyBorder="1" applyAlignment="1" applyProtection="1">
      <alignment horizontal="center" vertical="center"/>
      <protection hidden="1"/>
    </xf>
    <xf numFmtId="164" fontId="16" fillId="8" borderId="121" xfId="0" applyNumberFormat="1" applyFont="1" applyFill="1" applyBorder="1" applyAlignment="1" applyProtection="1">
      <alignment horizontal="center" vertical="center"/>
      <protection locked="0"/>
    </xf>
    <xf numFmtId="9" fontId="16" fillId="0" borderId="0" xfId="0" applyNumberFormat="1" applyFont="1" applyAlignment="1">
      <alignment horizontal="left" vertical="center"/>
    </xf>
    <xf numFmtId="3" fontId="41" fillId="0" borderId="55" xfId="0" applyNumberFormat="1" applyFont="1" applyBorder="1" applyAlignment="1" applyProtection="1">
      <alignment horizontal="center" vertical="center"/>
      <protection hidden="1"/>
    </xf>
    <xf numFmtId="0" fontId="111" fillId="28" borderId="0" xfId="0" applyFont="1" applyFill="1" applyAlignment="1">
      <alignment horizontal="center" vertical="center"/>
    </xf>
    <xf numFmtId="0" fontId="7" fillId="12" borderId="192" xfId="0" applyFont="1" applyFill="1" applyBorder="1" applyAlignment="1">
      <alignment horizontal="center" vertical="center"/>
    </xf>
    <xf numFmtId="0" fontId="7" fillId="12" borderId="193" xfId="0" applyFont="1" applyFill="1" applyBorder="1" applyAlignment="1">
      <alignment horizontal="center" vertical="center"/>
    </xf>
    <xf numFmtId="3" fontId="4" fillId="12" borderId="191" xfId="0" applyNumberFormat="1" applyFont="1" applyFill="1" applyBorder="1" applyAlignment="1" applyProtection="1">
      <alignment horizontal="center" vertical="center"/>
      <protection hidden="1"/>
    </xf>
    <xf numFmtId="0" fontId="7" fillId="12" borderId="192" xfId="0" applyFont="1" applyFill="1" applyBorder="1" applyAlignment="1">
      <alignment vertical="center"/>
    </xf>
    <xf numFmtId="3" fontId="6" fillId="12" borderId="192" xfId="0" applyNumberFormat="1" applyFont="1" applyFill="1" applyBorder="1" applyAlignment="1" applyProtection="1">
      <alignment horizontal="center" vertical="center"/>
      <protection hidden="1"/>
    </xf>
    <xf numFmtId="3" fontId="6" fillId="12" borderId="193" xfId="0" applyNumberFormat="1" applyFont="1" applyFill="1" applyBorder="1" applyAlignment="1" applyProtection="1">
      <alignment horizontal="center" vertical="center"/>
      <protection hidden="1"/>
    </xf>
    <xf numFmtId="0" fontId="8" fillId="0" borderId="95" xfId="0" applyFont="1" applyBorder="1" applyAlignment="1" applyProtection="1">
      <alignment vertical="center"/>
      <protection locked="0"/>
    </xf>
    <xf numFmtId="3" fontId="8" fillId="12" borderId="191" xfId="0" applyNumberFormat="1" applyFont="1" applyFill="1" applyBorder="1" applyAlignment="1" applyProtection="1">
      <alignment horizontal="center" vertical="center"/>
      <protection locked="0"/>
    </xf>
    <xf numFmtId="4" fontId="8" fillId="12" borderId="191" xfId="0" applyNumberFormat="1" applyFont="1" applyFill="1" applyBorder="1" applyAlignment="1" applyProtection="1">
      <alignment horizontal="center" vertical="center"/>
      <protection locked="0"/>
    </xf>
    <xf numFmtId="4" fontId="8" fillId="3" borderId="191" xfId="0" applyNumberFormat="1" applyFont="1" applyFill="1" applyBorder="1" applyAlignment="1" applyProtection="1">
      <alignment horizontal="center" vertical="center"/>
      <protection hidden="1"/>
    </xf>
    <xf numFmtId="167" fontId="8" fillId="12" borderId="191" xfId="0" applyNumberFormat="1" applyFont="1" applyFill="1" applyBorder="1" applyAlignment="1" applyProtection="1">
      <alignment horizontal="center" vertical="center"/>
      <protection locked="0"/>
    </xf>
    <xf numFmtId="167" fontId="8" fillId="3" borderId="191" xfId="0" applyNumberFormat="1" applyFont="1" applyFill="1" applyBorder="1" applyAlignment="1" applyProtection="1">
      <alignment horizontal="center" vertical="center"/>
      <protection hidden="1"/>
    </xf>
    <xf numFmtId="164" fontId="8" fillId="12" borderId="191" xfId="0" applyNumberFormat="1" applyFont="1" applyFill="1" applyBorder="1" applyAlignment="1" applyProtection="1">
      <alignment horizontal="center" vertical="center"/>
      <protection locked="0"/>
    </xf>
    <xf numFmtId="3" fontId="8" fillId="3" borderId="191" xfId="0" applyNumberFormat="1" applyFont="1" applyFill="1" applyBorder="1" applyAlignment="1" applyProtection="1">
      <alignment horizontal="center" vertical="center"/>
      <protection hidden="1"/>
    </xf>
    <xf numFmtId="3" fontId="8" fillId="0" borderId="191" xfId="0" applyNumberFormat="1" applyFont="1" applyBorder="1" applyAlignment="1" applyProtection="1">
      <alignment horizontal="center" vertical="center"/>
      <protection hidden="1"/>
    </xf>
    <xf numFmtId="0" fontId="8" fillId="0" borderId="192" xfId="0" applyFont="1" applyBorder="1" applyAlignment="1">
      <alignment vertical="center"/>
    </xf>
    <xf numFmtId="3" fontId="8" fillId="12" borderId="121" xfId="0" applyNumberFormat="1" applyFont="1" applyFill="1" applyBorder="1" applyAlignment="1" applyProtection="1">
      <alignment horizontal="center" vertical="center"/>
      <protection locked="0"/>
    </xf>
    <xf numFmtId="4" fontId="8" fillId="12" borderId="121" xfId="0" applyNumberFormat="1" applyFont="1" applyFill="1" applyBorder="1" applyAlignment="1" applyProtection="1">
      <alignment horizontal="center" vertical="center"/>
      <protection locked="0"/>
    </xf>
    <xf numFmtId="4" fontId="8" fillId="3" borderId="121" xfId="0" applyNumberFormat="1" applyFont="1" applyFill="1" applyBorder="1" applyAlignment="1" applyProtection="1">
      <alignment horizontal="center" vertical="center"/>
      <protection hidden="1"/>
    </xf>
    <xf numFmtId="167" fontId="8" fillId="12" borderId="121" xfId="0" applyNumberFormat="1" applyFont="1" applyFill="1" applyBorder="1" applyAlignment="1" applyProtection="1">
      <alignment horizontal="center" vertical="center"/>
      <protection locked="0"/>
    </xf>
    <xf numFmtId="167" fontId="8" fillId="3" borderId="121" xfId="0" applyNumberFormat="1" applyFont="1" applyFill="1" applyBorder="1" applyAlignment="1" applyProtection="1">
      <alignment horizontal="center" vertical="center"/>
      <protection hidden="1"/>
    </xf>
    <xf numFmtId="164" fontId="8" fillId="12" borderId="121" xfId="0" applyNumberFormat="1" applyFont="1" applyFill="1" applyBorder="1" applyAlignment="1" applyProtection="1">
      <alignment horizontal="center" vertical="center"/>
      <protection locked="0"/>
    </xf>
    <xf numFmtId="3" fontId="8" fillId="3" borderId="121" xfId="0" applyNumberFormat="1" applyFont="1" applyFill="1" applyBorder="1" applyAlignment="1" applyProtection="1">
      <alignment horizontal="center" vertical="center"/>
      <protection hidden="1"/>
    </xf>
    <xf numFmtId="3" fontId="8" fillId="0" borderId="121" xfId="0" applyNumberFormat="1" applyFont="1" applyBorder="1" applyAlignment="1" applyProtection="1">
      <alignment horizontal="center" vertical="center"/>
      <protection hidden="1"/>
    </xf>
    <xf numFmtId="0" fontId="5" fillId="12" borderId="131" xfId="0" applyFont="1" applyFill="1" applyBorder="1" applyAlignment="1" applyProtection="1">
      <alignment vertical="center"/>
      <protection locked="0"/>
    </xf>
    <xf numFmtId="0" fontId="5" fillId="12" borderId="29" xfId="0" applyFont="1" applyFill="1" applyBorder="1" applyAlignment="1" applyProtection="1">
      <alignment vertical="center"/>
      <protection locked="0"/>
    </xf>
    <xf numFmtId="0" fontId="5" fillId="0" borderId="121" xfId="0" applyFont="1" applyBorder="1" applyAlignment="1">
      <alignment horizontal="center" vertical="center"/>
    </xf>
    <xf numFmtId="1" fontId="7" fillId="0" borderId="121" xfId="0" applyNumberFormat="1" applyFont="1" applyBorder="1" applyAlignment="1">
      <alignment horizontal="center" vertical="center"/>
    </xf>
    <xf numFmtId="1" fontId="15" fillId="0" borderId="121" xfId="0" applyNumberFormat="1" applyFont="1" applyBorder="1" applyAlignment="1">
      <alignment horizontal="center" vertical="center"/>
    </xf>
    <xf numFmtId="167" fontId="15" fillId="0" borderId="121" xfId="0" applyNumberFormat="1" applyFont="1" applyBorder="1" applyAlignment="1">
      <alignment horizontal="center" vertical="center"/>
    </xf>
    <xf numFmtId="0" fontId="15" fillId="0" borderId="0" xfId="0" applyFont="1" applyAlignment="1">
      <alignment horizontal="left" vertical="center" indent="5"/>
    </xf>
    <xf numFmtId="0" fontId="98" fillId="0" borderId="0" xfId="0" applyFont="1" applyAlignment="1">
      <alignment horizontal="center" vertical="center"/>
    </xf>
    <xf numFmtId="0" fontId="98" fillId="0" borderId="27" xfId="0" applyFont="1" applyBorder="1" applyAlignment="1" applyProtection="1">
      <alignment vertical="center"/>
      <protection locked="0"/>
    </xf>
    <xf numFmtId="0" fontId="98" fillId="0" borderId="18" xfId="0" applyFont="1" applyBorder="1" applyAlignment="1">
      <alignment vertical="center"/>
    </xf>
    <xf numFmtId="0" fontId="98" fillId="0" borderId="0" xfId="0" applyFont="1" applyAlignment="1">
      <alignment vertical="center"/>
    </xf>
    <xf numFmtId="0" fontId="98" fillId="0" borderId="27" xfId="0" applyFont="1" applyBorder="1" applyAlignment="1">
      <alignment vertical="center"/>
    </xf>
    <xf numFmtId="0" fontId="98" fillId="0" borderId="27" xfId="0" applyFont="1" applyBorder="1" applyAlignment="1">
      <alignment horizontal="center" vertical="center"/>
    </xf>
    <xf numFmtId="0" fontId="98" fillId="0" borderId="108" xfId="0" applyFont="1" applyBorder="1" applyAlignment="1" applyProtection="1">
      <alignment vertical="center"/>
      <protection locked="0"/>
    </xf>
    <xf numFmtId="0" fontId="98" fillId="0" borderId="109" xfId="0" applyFont="1" applyBorder="1" applyAlignment="1" applyProtection="1">
      <alignment vertical="center"/>
      <protection locked="0"/>
    </xf>
    <xf numFmtId="0" fontId="30" fillId="0" borderId="0" xfId="0" applyFont="1"/>
    <xf numFmtId="164" fontId="8" fillId="0" borderId="108" xfId="0" applyNumberFormat="1" applyFont="1" applyBorder="1" applyAlignment="1">
      <alignment horizontal="center" vertical="center"/>
    </xf>
    <xf numFmtId="0" fontId="8" fillId="0" borderId="18" xfId="0" applyFont="1" applyBorder="1" applyAlignment="1">
      <alignment vertical="center"/>
    </xf>
    <xf numFmtId="0" fontId="8" fillId="0" borderId="18" xfId="0" applyFont="1" applyBorder="1" applyAlignment="1">
      <alignment horizontal="center" vertical="center"/>
    </xf>
    <xf numFmtId="0" fontId="8" fillId="0" borderId="28" xfId="0" applyFont="1" applyBorder="1" applyAlignment="1">
      <alignment vertical="center"/>
    </xf>
    <xf numFmtId="0" fontId="8" fillId="0" borderId="108" xfId="0" applyFont="1" applyBorder="1" applyAlignment="1">
      <alignment horizontal="center" vertical="center"/>
    </xf>
    <xf numFmtId="0" fontId="8" fillId="0" borderId="28" xfId="0" applyFont="1" applyBorder="1" applyAlignment="1">
      <alignment horizontal="center" vertical="center"/>
    </xf>
    <xf numFmtId="0" fontId="16" fillId="0" borderId="27" xfId="0" applyFont="1" applyBorder="1" applyAlignment="1" applyProtection="1">
      <alignment vertical="center"/>
      <protection locked="0"/>
    </xf>
    <xf numFmtId="0" fontId="16" fillId="0" borderId="30" xfId="0" applyFont="1" applyBorder="1" applyAlignment="1" applyProtection="1">
      <alignment vertical="center"/>
      <protection locked="0"/>
    </xf>
    <xf numFmtId="0" fontId="16" fillId="0" borderId="18" xfId="0" applyFont="1" applyBorder="1" applyAlignment="1">
      <alignment vertical="center"/>
    </xf>
    <xf numFmtId="0" fontId="16" fillId="0" borderId="27" xfId="0" applyFont="1" applyBorder="1" applyAlignment="1">
      <alignment vertical="center"/>
    </xf>
    <xf numFmtId="0" fontId="16" fillId="0" borderId="18" xfId="1" applyFont="1" applyBorder="1" applyAlignment="1" applyProtection="1">
      <alignment vertical="center"/>
    </xf>
    <xf numFmtId="0" fontId="16" fillId="0" borderId="0" xfId="1" applyFont="1" applyBorder="1" applyAlignment="1" applyProtection="1">
      <alignment vertical="center"/>
    </xf>
    <xf numFmtId="0" fontId="16" fillId="0" borderId="0" xfId="1" applyFont="1" applyBorder="1" applyAlignment="1" applyProtection="1">
      <alignment horizontal="center" vertical="center"/>
    </xf>
    <xf numFmtId="0" fontId="16" fillId="0" borderId="27" xfId="0" applyFont="1" applyBorder="1" applyAlignment="1">
      <alignment horizontal="center" vertical="center"/>
    </xf>
    <xf numFmtId="0" fontId="16" fillId="0" borderId="26" xfId="0" applyFont="1" applyBorder="1" applyAlignment="1">
      <alignment vertical="center"/>
    </xf>
    <xf numFmtId="0" fontId="16" fillId="0" borderId="26" xfId="0" applyFont="1" applyBorder="1" applyAlignment="1" applyProtection="1">
      <alignment vertical="center"/>
      <protection locked="0"/>
    </xf>
    <xf numFmtId="0" fontId="16" fillId="0" borderId="12" xfId="0" applyFont="1" applyBorder="1" applyAlignment="1" applyProtection="1">
      <alignment vertical="center"/>
      <protection locked="0"/>
    </xf>
    <xf numFmtId="0" fontId="30" fillId="0" borderId="87" xfId="0" applyFont="1" applyBorder="1" applyAlignment="1">
      <alignment vertical="center"/>
    </xf>
    <xf numFmtId="0" fontId="16" fillId="0" borderId="88" xfId="0" applyFont="1" applyBorder="1" applyAlignment="1">
      <alignment vertical="center"/>
    </xf>
    <xf numFmtId="0" fontId="16" fillId="0" borderId="88" xfId="0" applyFont="1" applyBorder="1" applyAlignment="1">
      <alignment horizontal="center" vertical="center"/>
    </xf>
    <xf numFmtId="0" fontId="16" fillId="0" borderId="91" xfId="0" applyFont="1" applyBorder="1" applyAlignment="1">
      <alignment horizontal="center" vertical="center"/>
    </xf>
    <xf numFmtId="0" fontId="16" fillId="0" borderId="89" xfId="0" applyFont="1" applyBorder="1" applyAlignment="1">
      <alignment vertical="center"/>
    </xf>
    <xf numFmtId="0" fontId="16" fillId="0" borderId="92" xfId="0" applyFont="1" applyBorder="1" applyAlignment="1">
      <alignment horizontal="center" vertical="center"/>
    </xf>
    <xf numFmtId="0" fontId="98" fillId="0" borderId="18" xfId="0" applyFont="1" applyBorder="1" applyAlignment="1">
      <alignment horizontal="center"/>
    </xf>
    <xf numFmtId="0" fontId="98" fillId="0" borderId="0" xfId="0" applyFont="1" applyAlignment="1">
      <alignment horizontal="center"/>
    </xf>
    <xf numFmtId="0" fontId="98" fillId="0" borderId="30" xfId="0" applyFont="1" applyBorder="1" applyAlignment="1" applyProtection="1">
      <alignment vertical="center"/>
      <protection locked="0"/>
    </xf>
    <xf numFmtId="0" fontId="98" fillId="3" borderId="0" xfId="0" applyFont="1" applyFill="1" applyAlignment="1" applyProtection="1">
      <alignment vertical="center"/>
      <protection locked="0"/>
    </xf>
    <xf numFmtId="0" fontId="16" fillId="3" borderId="27" xfId="0" applyFont="1" applyFill="1" applyBorder="1" applyAlignment="1" applyProtection="1">
      <alignment vertical="center"/>
      <protection locked="0"/>
    </xf>
    <xf numFmtId="0" fontId="16" fillId="3" borderId="28" xfId="0" applyFont="1" applyFill="1" applyBorder="1" applyAlignment="1" applyProtection="1">
      <alignment vertical="center"/>
      <protection locked="0"/>
    </xf>
    <xf numFmtId="0" fontId="16" fillId="3" borderId="18" xfId="0" applyFont="1" applyFill="1" applyBorder="1" applyAlignment="1">
      <alignment vertical="center"/>
    </xf>
    <xf numFmtId="0" fontId="16" fillId="3" borderId="27" xfId="0" applyFont="1" applyFill="1" applyBorder="1" applyAlignment="1">
      <alignment vertical="center"/>
    </xf>
    <xf numFmtId="0" fontId="4" fillId="0" borderId="88" xfId="0" applyFont="1" applyBorder="1"/>
    <xf numFmtId="0" fontId="4" fillId="0" borderId="88" xfId="0" applyFont="1" applyBorder="1" applyAlignment="1">
      <alignment horizontal="center" vertical="center"/>
    </xf>
    <xf numFmtId="0" fontId="4" fillId="0" borderId="91" xfId="0" applyFont="1" applyBorder="1" applyAlignment="1">
      <alignment horizontal="center" vertical="center"/>
    </xf>
    <xf numFmtId="0" fontId="16" fillId="3" borderId="89" xfId="0" applyFont="1" applyFill="1" applyBorder="1" applyAlignment="1" applyProtection="1">
      <alignment vertical="center"/>
      <protection locked="0"/>
    </xf>
    <xf numFmtId="0" fontId="16" fillId="0" borderId="93" xfId="0" applyFont="1" applyBorder="1" applyAlignment="1" applyProtection="1">
      <alignment vertical="center"/>
      <protection locked="0"/>
    </xf>
    <xf numFmtId="0" fontId="16" fillId="0" borderId="86" xfId="0" applyFont="1" applyBorder="1" applyAlignment="1" applyProtection="1">
      <alignment vertical="center"/>
      <protection locked="0"/>
    </xf>
    <xf numFmtId="0" fontId="16" fillId="0" borderId="90" xfId="0" applyFont="1" applyBorder="1" applyAlignment="1" applyProtection="1">
      <alignment vertical="center"/>
      <protection locked="0"/>
    </xf>
    <xf numFmtId="0" fontId="16" fillId="0" borderId="92" xfId="0" applyFont="1" applyBorder="1" applyAlignment="1">
      <alignment vertical="center"/>
    </xf>
    <xf numFmtId="0" fontId="16" fillId="0" borderId="93" xfId="0" applyFont="1" applyBorder="1" applyAlignment="1">
      <alignment vertical="center"/>
    </xf>
    <xf numFmtId="0" fontId="16" fillId="0" borderId="86" xfId="0" applyFont="1" applyBorder="1" applyAlignment="1">
      <alignment vertical="center"/>
    </xf>
    <xf numFmtId="0" fontId="16" fillId="0" borderId="90" xfId="0" applyFont="1" applyBorder="1" applyAlignment="1">
      <alignment vertical="center"/>
    </xf>
    <xf numFmtId="0" fontId="16" fillId="3" borderId="89" xfId="0" applyFont="1" applyFill="1" applyBorder="1" applyAlignment="1">
      <alignment vertical="center"/>
    </xf>
    <xf numFmtId="0" fontId="16" fillId="0" borderId="91" xfId="0" applyFont="1" applyBorder="1" applyAlignment="1">
      <alignment vertical="center"/>
    </xf>
    <xf numFmtId="0" fontId="30" fillId="0" borderId="25" xfId="0" applyFont="1" applyBorder="1"/>
    <xf numFmtId="9" fontId="6" fillId="3" borderId="26" xfId="0" applyNumberFormat="1" applyFont="1" applyFill="1" applyBorder="1" applyAlignment="1">
      <alignment horizontal="right"/>
    </xf>
    <xf numFmtId="167" fontId="6" fillId="3" borderId="26" xfId="0" applyNumberFormat="1" applyFont="1" applyFill="1" applyBorder="1"/>
    <xf numFmtId="0" fontId="0" fillId="3" borderId="26" xfId="0" applyFill="1" applyBorder="1" applyAlignment="1">
      <alignment horizontal="center" vertical="center"/>
    </xf>
    <xf numFmtId="0" fontId="0" fillId="3" borderId="12" xfId="0" applyFill="1" applyBorder="1" applyAlignment="1">
      <alignment horizontal="center" vertical="center"/>
    </xf>
    <xf numFmtId="0" fontId="30" fillId="0" borderId="18" xfId="0" applyFont="1" applyBorder="1" applyAlignment="1">
      <alignment vertical="center"/>
    </xf>
    <xf numFmtId="0" fontId="0" fillId="3" borderId="0" xfId="0" applyFill="1" applyAlignment="1">
      <alignment horizontal="center" vertical="center"/>
    </xf>
    <xf numFmtId="0" fontId="0" fillId="3" borderId="27" xfId="0" applyFill="1" applyBorder="1" applyAlignment="1">
      <alignment horizontal="center" vertical="center"/>
    </xf>
    <xf numFmtId="0" fontId="16" fillId="3" borderId="27" xfId="0" applyFont="1" applyFill="1" applyBorder="1" applyAlignment="1">
      <alignment horizontal="center" vertical="center"/>
    </xf>
    <xf numFmtId="0" fontId="98" fillId="3" borderId="18" xfId="0" applyFont="1" applyFill="1" applyBorder="1" applyAlignment="1" applyProtection="1">
      <alignment vertical="center"/>
      <protection locked="0"/>
    </xf>
    <xf numFmtId="0" fontId="98" fillId="3" borderId="27" xfId="0" applyFont="1" applyFill="1" applyBorder="1" applyAlignment="1" applyProtection="1">
      <alignment vertical="center"/>
      <protection locked="0"/>
    </xf>
    <xf numFmtId="0" fontId="98" fillId="3" borderId="18" xfId="0" applyFont="1" applyFill="1" applyBorder="1" applyAlignment="1">
      <alignment vertical="center"/>
    </xf>
    <xf numFmtId="0" fontId="98" fillId="3" borderId="0" xfId="0" applyFont="1" applyFill="1" applyAlignment="1">
      <alignment vertical="center"/>
    </xf>
    <xf numFmtId="0" fontId="98" fillId="3" borderId="27" xfId="0" applyFont="1" applyFill="1" applyBorder="1" applyAlignment="1">
      <alignment vertical="center"/>
    </xf>
    <xf numFmtId="0" fontId="98" fillId="3" borderId="18" xfId="2" applyNumberFormat="1" applyFont="1" applyFill="1" applyBorder="1" applyAlignment="1" applyProtection="1">
      <alignment vertical="center"/>
      <protection locked="0"/>
    </xf>
    <xf numFmtId="0" fontId="98" fillId="3" borderId="28" xfId="0" applyFont="1" applyFill="1" applyBorder="1" applyAlignment="1" applyProtection="1">
      <alignment vertical="center"/>
      <protection locked="0"/>
    </xf>
    <xf numFmtId="0" fontId="98" fillId="3" borderId="29" xfId="0" applyFont="1" applyFill="1" applyBorder="1" applyAlignment="1" applyProtection="1">
      <alignment vertical="center"/>
      <protection locked="0"/>
    </xf>
    <xf numFmtId="0" fontId="7" fillId="0" borderId="87" xfId="0" applyFont="1" applyBorder="1" applyAlignment="1">
      <alignment vertical="center"/>
    </xf>
    <xf numFmtId="0" fontId="16" fillId="0" borderId="87" xfId="0" applyFont="1" applyBorder="1" applyAlignment="1">
      <alignment vertical="center"/>
    </xf>
    <xf numFmtId="0" fontId="7" fillId="0" borderId="89" xfId="0" applyFont="1" applyBorder="1" applyAlignment="1">
      <alignment vertical="center"/>
    </xf>
    <xf numFmtId="3" fontId="42" fillId="10" borderId="13" xfId="0" applyNumberFormat="1" applyFont="1" applyFill="1" applyBorder="1" applyAlignment="1" applyProtection="1">
      <alignment horizontal="center" vertical="center"/>
      <protection locked="0" hidden="1"/>
    </xf>
    <xf numFmtId="3" fontId="41" fillId="10" borderId="13" xfId="0" applyNumberFormat="1" applyFont="1" applyFill="1" applyBorder="1" applyAlignment="1" applyProtection="1">
      <alignment horizontal="center" vertical="center"/>
      <protection locked="0" hidden="1"/>
    </xf>
    <xf numFmtId="0" fontId="111" fillId="28" borderId="119" xfId="0" applyFont="1" applyFill="1" applyBorder="1" applyAlignment="1">
      <alignment horizontal="center" vertical="center"/>
    </xf>
    <xf numFmtId="17" fontId="38" fillId="10" borderId="126" xfId="0" applyNumberFormat="1" applyFont="1" applyFill="1" applyBorder="1" applyAlignment="1" applyProtection="1">
      <alignment horizontal="center" vertical="center"/>
      <protection locked="0"/>
    </xf>
    <xf numFmtId="17" fontId="100" fillId="28" borderId="121" xfId="0" applyNumberFormat="1" applyFont="1" applyFill="1" applyBorder="1" applyAlignment="1" applyProtection="1">
      <alignment horizontal="center" vertical="center"/>
      <protection hidden="1"/>
    </xf>
    <xf numFmtId="0" fontId="100" fillId="28" borderId="125" xfId="0" applyFont="1" applyFill="1" applyBorder="1" applyAlignment="1">
      <alignment horizontal="center" vertical="center"/>
    </xf>
    <xf numFmtId="0" fontId="111" fillId="28" borderId="126" xfId="0" applyFont="1" applyFill="1" applyBorder="1" applyAlignment="1">
      <alignment horizontal="center" vertical="center"/>
    </xf>
    <xf numFmtId="17" fontId="100" fillId="28" borderId="121" xfId="0" applyNumberFormat="1" applyFont="1" applyFill="1" applyBorder="1" applyAlignment="1">
      <alignment horizontal="center" vertical="center"/>
    </xf>
    <xf numFmtId="0" fontId="100" fillId="28" borderId="125" xfId="0" applyFont="1" applyFill="1" applyBorder="1" applyAlignment="1" applyProtection="1">
      <alignment horizontal="center" vertical="center"/>
      <protection hidden="1"/>
    </xf>
    <xf numFmtId="166" fontId="117" fillId="10" borderId="55" xfId="0" applyNumberFormat="1" applyFont="1" applyFill="1" applyBorder="1" applyAlignment="1" applyProtection="1">
      <alignment horizontal="center" vertical="center"/>
      <protection locked="0"/>
    </xf>
    <xf numFmtId="3" fontId="60" fillId="10" borderId="55" xfId="0" applyNumberFormat="1" applyFont="1" applyFill="1" applyBorder="1" applyAlignment="1" applyProtection="1">
      <alignment horizontal="center" vertical="center"/>
      <protection locked="0" hidden="1"/>
    </xf>
    <xf numFmtId="3" fontId="42" fillId="6" borderId="37" xfId="0" applyNumberFormat="1" applyFont="1" applyFill="1" applyBorder="1" applyAlignment="1" applyProtection="1">
      <alignment horizontal="center" vertical="center"/>
      <protection hidden="1"/>
    </xf>
    <xf numFmtId="0" fontId="117" fillId="0" borderId="29" xfId="0" applyFont="1" applyBorder="1" applyAlignment="1">
      <alignment horizontal="left" vertical="center"/>
    </xf>
    <xf numFmtId="3" fontId="60" fillId="10" borderId="37" xfId="0" applyNumberFormat="1" applyFont="1" applyFill="1" applyBorder="1" applyAlignment="1" applyProtection="1">
      <alignment horizontal="center" vertical="center"/>
      <protection locked="0" hidden="1"/>
    </xf>
    <xf numFmtId="3" fontId="42" fillId="6" borderId="107" xfId="0" applyNumberFormat="1" applyFont="1" applyFill="1" applyBorder="1" applyAlignment="1" applyProtection="1">
      <alignment horizontal="center" vertical="center"/>
      <protection hidden="1"/>
    </xf>
    <xf numFmtId="166" fontId="117" fillId="10" borderId="13" xfId="0" applyNumberFormat="1" applyFont="1" applyFill="1" applyBorder="1" applyAlignment="1" applyProtection="1">
      <alignment horizontal="center" vertical="center"/>
      <protection locked="0"/>
    </xf>
    <xf numFmtId="3" fontId="60" fillId="10" borderId="13" xfId="0" applyNumberFormat="1" applyFont="1" applyFill="1" applyBorder="1" applyAlignment="1" applyProtection="1">
      <alignment horizontal="center" vertical="center"/>
      <protection locked="0" hidden="1"/>
    </xf>
    <xf numFmtId="3" fontId="42" fillId="6" borderId="13" xfId="0" applyNumberFormat="1" applyFont="1" applyFill="1" applyBorder="1" applyAlignment="1" applyProtection="1">
      <alignment horizontal="center" vertical="center"/>
      <protection hidden="1"/>
    </xf>
    <xf numFmtId="3" fontId="42" fillId="10" borderId="0" xfId="0" applyNumberFormat="1" applyFont="1" applyFill="1" applyAlignment="1" applyProtection="1">
      <alignment horizontal="center"/>
      <protection locked="0" hidden="1"/>
    </xf>
    <xf numFmtId="3" fontId="42" fillId="6" borderId="13" xfId="0" applyNumberFormat="1" applyFont="1" applyFill="1" applyBorder="1" applyAlignment="1" applyProtection="1">
      <alignment horizontal="center" vertical="center"/>
      <protection locked="0" hidden="1"/>
    </xf>
    <xf numFmtId="0" fontId="45" fillId="0" borderId="9" xfId="0" applyFont="1" applyBorder="1" applyAlignment="1">
      <alignment horizontal="left" vertical="center"/>
    </xf>
    <xf numFmtId="3" fontId="60" fillId="0" borderId="13" xfId="0" applyNumberFormat="1" applyFont="1" applyBorder="1" applyAlignment="1" applyProtection="1">
      <alignment horizontal="center" vertical="center"/>
      <protection hidden="1"/>
    </xf>
    <xf numFmtId="2" fontId="117" fillId="10" borderId="13" xfId="0" applyNumberFormat="1" applyFont="1" applyFill="1" applyBorder="1" applyAlignment="1" applyProtection="1">
      <alignment horizontal="center" vertical="center"/>
      <protection locked="0"/>
    </xf>
    <xf numFmtId="2" fontId="42" fillId="0" borderId="9" xfId="0" applyNumberFormat="1" applyFont="1" applyBorder="1" applyAlignment="1">
      <alignment horizontal="left" vertical="center"/>
    </xf>
    <xf numFmtId="2" fontId="42" fillId="10" borderId="13" xfId="0" applyNumberFormat="1" applyFont="1" applyFill="1" applyBorder="1" applyAlignment="1" applyProtection="1">
      <alignment horizontal="center" vertical="center"/>
      <protection locked="0"/>
    </xf>
    <xf numFmtId="2" fontId="117" fillId="0" borderId="9" xfId="0" applyNumberFormat="1" applyFont="1" applyBorder="1" applyAlignment="1">
      <alignment horizontal="left" vertical="center"/>
    </xf>
    <xf numFmtId="0" fontId="7" fillId="3" borderId="0" xfId="0" applyFont="1" applyFill="1" applyAlignment="1" applyProtection="1">
      <alignment horizontal="left" vertical="center"/>
      <protection hidden="1"/>
    </xf>
    <xf numFmtId="3" fontId="41" fillId="10" borderId="37" xfId="0" applyNumberFormat="1" applyFont="1" applyFill="1" applyBorder="1" applyAlignment="1" applyProtection="1">
      <alignment horizontal="center" vertical="center"/>
      <protection locked="0" hidden="1"/>
    </xf>
    <xf numFmtId="0" fontId="106" fillId="28" borderId="108" xfId="0" applyFont="1" applyFill="1" applyBorder="1" applyAlignment="1">
      <alignment vertical="center"/>
    </xf>
    <xf numFmtId="0" fontId="106" fillId="28" borderId="109" xfId="0" applyFont="1" applyFill="1" applyBorder="1" applyAlignment="1">
      <alignment vertical="center"/>
    </xf>
    <xf numFmtId="0" fontId="106" fillId="28" borderId="109" xfId="0" applyFont="1" applyFill="1" applyBorder="1" applyAlignment="1">
      <alignment horizontal="right" vertical="center"/>
    </xf>
    <xf numFmtId="0" fontId="106" fillId="28" borderId="109" xfId="0" applyFont="1" applyFill="1" applyBorder="1" applyAlignment="1">
      <alignment horizontal="center" vertical="center"/>
    </xf>
    <xf numFmtId="0" fontId="106" fillId="28" borderId="110" xfId="0" applyFont="1" applyFill="1" applyBorder="1" applyAlignment="1">
      <alignment vertical="center"/>
    </xf>
    <xf numFmtId="0" fontId="106" fillId="28" borderId="108" xfId="3" applyFont="1" applyFill="1" applyBorder="1" applyAlignment="1">
      <alignment horizontal="center" vertical="center"/>
    </xf>
    <xf numFmtId="0" fontId="106" fillId="28" borderId="109" xfId="3" applyFont="1" applyFill="1" applyBorder="1" applyAlignment="1">
      <alignment horizontal="center" vertical="center"/>
    </xf>
    <xf numFmtId="0" fontId="106" fillId="28" borderId="110" xfId="3" applyFont="1" applyFill="1" applyBorder="1" applyAlignment="1">
      <alignment horizontal="center" vertical="center"/>
    </xf>
    <xf numFmtId="0" fontId="3" fillId="0" borderId="192" xfId="0" applyFont="1" applyBorder="1" applyAlignment="1">
      <alignment vertical="center"/>
    </xf>
    <xf numFmtId="0" fontId="105" fillId="0" borderId="191" xfId="0" applyFont="1" applyBorder="1" applyAlignment="1">
      <alignment horizontal="center" vertical="center"/>
    </xf>
    <xf numFmtId="0" fontId="3" fillId="0" borderId="191" xfId="0" applyFont="1" applyBorder="1" applyAlignment="1">
      <alignment horizontal="center" vertical="center"/>
    </xf>
    <xf numFmtId="170" fontId="3" fillId="0" borderId="191" xfId="0" applyNumberFormat="1" applyFont="1" applyBorder="1" applyAlignment="1">
      <alignment horizontal="center" vertical="center"/>
    </xf>
    <xf numFmtId="164" fontId="3" fillId="0" borderId="191" xfId="0" applyNumberFormat="1" applyFont="1" applyBorder="1" applyAlignment="1">
      <alignment horizontal="center" vertical="center"/>
    </xf>
    <xf numFmtId="6" fontId="3" fillId="0" borderId="191" xfId="0" applyNumberFormat="1" applyFont="1" applyBorder="1" applyAlignment="1">
      <alignment horizontal="center" vertical="center"/>
    </xf>
    <xf numFmtId="0" fontId="3" fillId="11" borderId="0" xfId="0" applyFont="1" applyFill="1" applyAlignment="1">
      <alignment vertical="center"/>
    </xf>
    <xf numFmtId="166" fontId="3" fillId="11" borderId="0" xfId="0" applyNumberFormat="1" applyFont="1" applyFill="1" applyAlignment="1">
      <alignment horizontal="center" vertical="center"/>
    </xf>
    <xf numFmtId="170" fontId="3" fillId="0" borderId="193" xfId="0" applyNumberFormat="1" applyFont="1" applyBorder="1" applyAlignment="1">
      <alignment horizontal="center" vertical="center"/>
    </xf>
    <xf numFmtId="0" fontId="75" fillId="16" borderId="192" xfId="0" applyFont="1" applyFill="1" applyBorder="1" applyAlignment="1">
      <alignment vertical="center"/>
    </xf>
    <xf numFmtId="0" fontId="105" fillId="16" borderId="191" xfId="0" applyFont="1" applyFill="1" applyBorder="1" applyAlignment="1">
      <alignment horizontal="center" vertical="center"/>
    </xf>
    <xf numFmtId="0" fontId="75" fillId="16" borderId="191" xfId="0" applyFont="1" applyFill="1" applyBorder="1" applyAlignment="1">
      <alignment horizontal="center" vertical="center"/>
    </xf>
    <xf numFmtId="170" fontId="75" fillId="16" borderId="191" xfId="0" applyNumberFormat="1" applyFont="1" applyFill="1" applyBorder="1" applyAlignment="1">
      <alignment horizontal="center" vertical="center"/>
    </xf>
    <xf numFmtId="164" fontId="75" fillId="16" borderId="191" xfId="0" applyNumberFormat="1" applyFont="1" applyFill="1" applyBorder="1" applyAlignment="1">
      <alignment horizontal="center" vertical="center"/>
    </xf>
    <xf numFmtId="6" fontId="3" fillId="16" borderId="191" xfId="0" applyNumberFormat="1" applyFont="1" applyFill="1" applyBorder="1" applyAlignment="1">
      <alignment horizontal="center" vertical="center"/>
    </xf>
    <xf numFmtId="170" fontId="3" fillId="16" borderId="30" xfId="0" applyNumberFormat="1" applyFont="1" applyFill="1" applyBorder="1" applyAlignment="1">
      <alignment horizontal="center" vertical="center"/>
    </xf>
    <xf numFmtId="0" fontId="75" fillId="0" borderId="192" xfId="0" applyFont="1" applyBorder="1" applyAlignment="1">
      <alignment vertical="center"/>
    </xf>
    <xf numFmtId="0" fontId="75" fillId="0" borderId="191" xfId="0" applyFont="1" applyBorder="1" applyAlignment="1">
      <alignment horizontal="center" vertical="center"/>
    </xf>
    <xf numFmtId="170" fontId="75" fillId="0" borderId="191" xfId="0" applyNumberFormat="1" applyFont="1" applyBorder="1" applyAlignment="1">
      <alignment horizontal="center" vertical="center"/>
    </xf>
    <xf numFmtId="164" fontId="75" fillId="0" borderId="191" xfId="0" applyNumberFormat="1" applyFont="1" applyBorder="1" applyAlignment="1">
      <alignment horizontal="center" vertical="center"/>
    </xf>
    <xf numFmtId="170" fontId="3" fillId="0" borderId="30" xfId="0" applyNumberFormat="1" applyFont="1" applyBorder="1" applyAlignment="1">
      <alignment horizontal="center" vertical="center"/>
    </xf>
    <xf numFmtId="0" fontId="106" fillId="28" borderId="110" xfId="0" applyFont="1" applyFill="1" applyBorder="1" applyAlignment="1">
      <alignment horizontal="center" vertical="center"/>
    </xf>
    <xf numFmtId="0" fontId="106" fillId="28" borderId="109" xfId="0" applyFont="1" applyFill="1" applyBorder="1" applyAlignment="1">
      <alignment horizontal="left" vertical="center"/>
    </xf>
    <xf numFmtId="0" fontId="104" fillId="16" borderId="191" xfId="0" applyFont="1" applyFill="1" applyBorder="1" applyAlignment="1">
      <alignment horizontal="center" vertical="center"/>
    </xf>
    <xf numFmtId="1" fontId="75" fillId="16" borderId="191" xfId="0" applyNumberFormat="1" applyFont="1" applyFill="1" applyBorder="1" applyAlignment="1">
      <alignment horizontal="center" vertical="center"/>
    </xf>
    <xf numFmtId="0" fontId="75" fillId="16" borderId="191" xfId="0" applyFont="1" applyFill="1" applyBorder="1" applyAlignment="1">
      <alignment horizontal="center"/>
    </xf>
    <xf numFmtId="173" fontId="75" fillId="16" borderId="191" xfId="0" applyNumberFormat="1" applyFont="1" applyFill="1" applyBorder="1" applyAlignment="1">
      <alignment horizontal="center"/>
    </xf>
    <xf numFmtId="164" fontId="75" fillId="16" borderId="191" xfId="0" applyNumberFormat="1" applyFont="1" applyFill="1" applyBorder="1" applyAlignment="1">
      <alignment horizontal="center"/>
    </xf>
    <xf numFmtId="170" fontId="75" fillId="16" borderId="191" xfId="0" applyNumberFormat="1" applyFont="1" applyFill="1" applyBorder="1" applyAlignment="1">
      <alignment horizontal="center"/>
    </xf>
    <xf numFmtId="0" fontId="75" fillId="0" borderId="109" xfId="0" applyFont="1" applyBorder="1" applyAlignment="1">
      <alignment horizontal="center" vertical="center"/>
    </xf>
    <xf numFmtId="0" fontId="104" fillId="0" borderId="191" xfId="0" applyFont="1" applyBorder="1" applyAlignment="1">
      <alignment horizontal="center" vertical="center"/>
    </xf>
    <xf numFmtId="1" fontId="75" fillId="0" borderId="191" xfId="0" applyNumberFormat="1" applyFont="1" applyBorder="1" applyAlignment="1">
      <alignment horizontal="center" vertical="center"/>
    </xf>
    <xf numFmtId="0" fontId="75" fillId="0" borderId="191" xfId="0" applyFont="1" applyBorder="1" applyAlignment="1">
      <alignment horizontal="center"/>
    </xf>
    <xf numFmtId="173" fontId="75" fillId="0" borderId="191" xfId="0" applyNumberFormat="1" applyFont="1" applyBorder="1" applyAlignment="1">
      <alignment horizontal="center"/>
    </xf>
    <xf numFmtId="164" fontId="75" fillId="0" borderId="191" xfId="0" applyNumberFormat="1" applyFont="1" applyBorder="1" applyAlignment="1">
      <alignment horizontal="center"/>
    </xf>
    <xf numFmtId="170" fontId="75" fillId="0" borderId="191" xfId="0" applyNumberFormat="1" applyFont="1" applyBorder="1" applyAlignment="1">
      <alignment horizontal="center"/>
    </xf>
    <xf numFmtId="0" fontId="75" fillId="11" borderId="192" xfId="0" applyFont="1" applyFill="1" applyBorder="1" applyAlignment="1">
      <alignment vertical="center"/>
    </xf>
    <xf numFmtId="1" fontId="75" fillId="11" borderId="191" xfId="0" applyNumberFormat="1" applyFont="1" applyFill="1" applyBorder="1" applyAlignment="1">
      <alignment horizontal="center" vertical="center"/>
    </xf>
    <xf numFmtId="170" fontId="75" fillId="11" borderId="191" xfId="0" applyNumberFormat="1" applyFont="1" applyFill="1" applyBorder="1" applyAlignment="1">
      <alignment horizontal="center" vertical="center"/>
    </xf>
    <xf numFmtId="164" fontId="75" fillId="11" borderId="191" xfId="0" applyNumberFormat="1" applyFont="1" applyFill="1" applyBorder="1" applyAlignment="1">
      <alignment horizontal="center" vertical="center"/>
    </xf>
    <xf numFmtId="0" fontId="75" fillId="11" borderId="191" xfId="0" applyFont="1" applyFill="1" applyBorder="1" applyAlignment="1">
      <alignment horizontal="center"/>
    </xf>
    <xf numFmtId="173" fontId="75" fillId="11" borderId="191" xfId="0" applyNumberFormat="1" applyFont="1" applyFill="1" applyBorder="1" applyAlignment="1">
      <alignment horizontal="center"/>
    </xf>
    <xf numFmtId="164" fontId="75" fillId="11" borderId="191" xfId="0" applyNumberFormat="1" applyFont="1" applyFill="1" applyBorder="1" applyAlignment="1">
      <alignment horizontal="center"/>
    </xf>
    <xf numFmtId="170" fontId="75" fillId="11" borderId="191" xfId="0" applyNumberFormat="1" applyFont="1" applyFill="1" applyBorder="1" applyAlignment="1">
      <alignment horizontal="center"/>
    </xf>
    <xf numFmtId="164" fontId="75" fillId="11" borderId="193" xfId="0" applyNumberFormat="1" applyFont="1" applyFill="1" applyBorder="1" applyAlignment="1">
      <alignment horizontal="center"/>
    </xf>
    <xf numFmtId="164" fontId="75" fillId="16" borderId="193" xfId="0" applyNumberFormat="1" applyFont="1" applyFill="1" applyBorder="1" applyAlignment="1">
      <alignment horizontal="center"/>
    </xf>
    <xf numFmtId="0" fontId="104" fillId="11" borderId="191" xfId="0" applyFont="1" applyFill="1" applyBorder="1" applyAlignment="1">
      <alignment horizontal="center" vertical="center"/>
    </xf>
    <xf numFmtId="0" fontId="75" fillId="11" borderId="191" xfId="0" applyFont="1" applyFill="1" applyBorder="1" applyAlignment="1">
      <alignment horizontal="center" vertical="center"/>
    </xf>
    <xf numFmtId="0" fontId="104" fillId="11" borderId="191" xfId="0" quotePrefix="1" applyFont="1" applyFill="1" applyBorder="1" applyAlignment="1">
      <alignment horizontal="center" vertical="center"/>
    </xf>
    <xf numFmtId="0" fontId="4" fillId="11" borderId="0" xfId="0" applyFont="1" applyFill="1" applyAlignment="1">
      <alignment horizontal="left" vertical="center"/>
    </xf>
    <xf numFmtId="1" fontId="0" fillId="11" borderId="0" xfId="0" applyNumberFormat="1" applyFill="1" applyAlignment="1">
      <alignment horizontal="center" vertical="center"/>
    </xf>
    <xf numFmtId="0" fontId="0" fillId="11" borderId="0" xfId="0" applyFill="1" applyAlignment="1">
      <alignment horizontal="center"/>
    </xf>
    <xf numFmtId="164" fontId="0" fillId="11" borderId="0" xfId="2" applyNumberFormat="1" applyFont="1" applyFill="1" applyAlignment="1">
      <alignment horizontal="center" vertical="center"/>
    </xf>
    <xf numFmtId="164" fontId="0" fillId="11" borderId="0" xfId="0" applyNumberFormat="1" applyFill="1" applyAlignment="1">
      <alignment horizontal="center" vertical="center"/>
    </xf>
    <xf numFmtId="167" fontId="5" fillId="6" borderId="107" xfId="0" applyNumberFormat="1" applyFont="1" applyFill="1" applyBorder="1" applyAlignment="1" applyProtection="1">
      <alignment horizontal="center" vertical="center"/>
      <protection hidden="1"/>
    </xf>
    <xf numFmtId="167" fontId="5" fillId="6" borderId="163" xfId="0" applyNumberFormat="1" applyFont="1" applyFill="1" applyBorder="1" applyAlignment="1" applyProtection="1">
      <alignment horizontal="center" vertical="center"/>
      <protection hidden="1"/>
    </xf>
    <xf numFmtId="167" fontId="5" fillId="6" borderId="187" xfId="0" applyNumberFormat="1" applyFont="1" applyFill="1" applyBorder="1" applyAlignment="1" applyProtection="1">
      <alignment horizontal="center" vertical="center"/>
      <protection hidden="1"/>
    </xf>
    <xf numFmtId="167" fontId="5" fillId="6" borderId="190" xfId="0" applyNumberFormat="1" applyFont="1" applyFill="1" applyBorder="1" applyAlignment="1" applyProtection="1">
      <alignment horizontal="center" vertical="center"/>
      <protection hidden="1"/>
    </xf>
    <xf numFmtId="0" fontId="98" fillId="0" borderId="0" xfId="0" applyFont="1"/>
    <xf numFmtId="0" fontId="68" fillId="31" borderId="0" xfId="0" applyFont="1" applyFill="1" applyAlignment="1" applyProtection="1">
      <alignment horizontal="center" vertical="center"/>
      <protection locked="0"/>
    </xf>
    <xf numFmtId="0" fontId="67" fillId="0" borderId="0" xfId="0" applyFont="1" applyAlignment="1" applyProtection="1">
      <alignment vertical="center"/>
      <protection locked="0"/>
    </xf>
    <xf numFmtId="0" fontId="89" fillId="0" borderId="132" xfId="0" applyFont="1" applyBorder="1"/>
    <xf numFmtId="0" fontId="98" fillId="0" borderId="144" xfId="0" applyFont="1" applyBorder="1" applyAlignment="1">
      <alignment horizontal="center" vertical="center"/>
    </xf>
    <xf numFmtId="0" fontId="98" fillId="0" borderId="144" xfId="0" applyFont="1" applyBorder="1" applyAlignment="1" applyProtection="1">
      <alignment vertical="center"/>
      <protection locked="0"/>
    </xf>
    <xf numFmtId="1" fontId="15" fillId="0" borderId="132" xfId="0" applyNumberFormat="1" applyFont="1" applyBorder="1" applyAlignment="1">
      <alignment horizontal="center"/>
    </xf>
    <xf numFmtId="1" fontId="15" fillId="0" borderId="0" xfId="0" applyNumberFormat="1" applyFont="1" applyAlignment="1">
      <alignment horizontal="center"/>
    </xf>
    <xf numFmtId="0" fontId="16" fillId="0" borderId="132" xfId="0" applyFont="1" applyBorder="1" applyAlignment="1" applyProtection="1">
      <alignment vertical="center"/>
      <protection locked="0"/>
    </xf>
    <xf numFmtId="0" fontId="67" fillId="0" borderId="132" xfId="0" applyFont="1" applyBorder="1" applyAlignment="1" applyProtection="1">
      <alignment vertical="center"/>
      <protection locked="0"/>
    </xf>
    <xf numFmtId="0" fontId="16" fillId="0" borderId="132" xfId="0" applyFont="1" applyBorder="1" applyAlignment="1">
      <alignment vertical="center"/>
    </xf>
    <xf numFmtId="0" fontId="98" fillId="0" borderId="144" xfId="0" applyFont="1" applyBorder="1" applyAlignment="1">
      <alignment vertical="center"/>
    </xf>
    <xf numFmtId="0" fontId="98" fillId="0" borderId="132" xfId="0" applyFont="1" applyBorder="1" applyAlignment="1" applyProtection="1">
      <alignment vertical="center"/>
      <protection locked="0"/>
    </xf>
    <xf numFmtId="0" fontId="98" fillId="3" borderId="144" xfId="0" applyFont="1" applyFill="1" applyBorder="1" applyAlignment="1" applyProtection="1">
      <alignment vertical="center"/>
      <protection locked="0"/>
    </xf>
    <xf numFmtId="0" fontId="98" fillId="0" borderId="128" xfId="0" applyFont="1" applyBorder="1" applyAlignment="1" applyProtection="1">
      <alignment vertical="center"/>
      <protection locked="0"/>
    </xf>
    <xf numFmtId="0" fontId="98" fillId="0" borderId="131" xfId="0" applyFont="1" applyBorder="1" applyAlignment="1" applyProtection="1">
      <alignment vertical="center"/>
      <protection locked="0"/>
    </xf>
    <xf numFmtId="0" fontId="98" fillId="0" borderId="135" xfId="0" applyFont="1" applyBorder="1" applyAlignment="1" applyProtection="1">
      <alignment vertical="center"/>
      <protection locked="0"/>
    </xf>
    <xf numFmtId="164" fontId="16" fillId="8" borderId="191" xfId="0" applyNumberFormat="1" applyFont="1" applyFill="1" applyBorder="1" applyAlignment="1" applyProtection="1">
      <alignment horizontal="center" vertical="center"/>
      <protection locked="0"/>
    </xf>
    <xf numFmtId="0" fontId="111" fillId="28" borderId="18" xfId="0" applyFont="1" applyFill="1" applyBorder="1" applyProtection="1">
      <protection hidden="1"/>
    </xf>
    <xf numFmtId="0" fontId="113" fillId="28" borderId="130" xfId="0" applyFont="1" applyFill="1" applyBorder="1" applyAlignment="1" applyProtection="1">
      <alignment vertical="center"/>
      <protection hidden="1"/>
    </xf>
    <xf numFmtId="0" fontId="124" fillId="0" borderId="0" xfId="0" applyFont="1"/>
    <xf numFmtId="0" fontId="75" fillId="0" borderId="29" xfId="0" applyFont="1" applyBorder="1" applyAlignment="1">
      <alignment horizontal="center"/>
    </xf>
    <xf numFmtId="1" fontId="8" fillId="0" borderId="0" xfId="0" applyNumberFormat="1" applyFont="1" applyAlignment="1" applyProtection="1">
      <alignment horizontal="center" vertical="center"/>
      <protection locked="0"/>
    </xf>
    <xf numFmtId="1" fontId="8" fillId="0" borderId="0" xfId="0" applyNumberFormat="1" applyFont="1" applyAlignment="1" applyProtection="1">
      <alignment horizontal="left" vertical="center"/>
      <protection locked="0"/>
    </xf>
    <xf numFmtId="1" fontId="16" fillId="0" borderId="0" xfId="0" applyNumberFormat="1" applyFont="1" applyAlignment="1" applyProtection="1">
      <alignment horizontal="left" vertical="center"/>
      <protection locked="0"/>
    </xf>
    <xf numFmtId="1" fontId="5" fillId="0" borderId="29" xfId="0" applyNumberFormat="1" applyFont="1" applyBorder="1" applyAlignment="1" applyProtection="1">
      <alignment horizontal="left" vertical="center"/>
      <protection locked="0"/>
    </xf>
    <xf numFmtId="1" fontId="8" fillId="0" borderId="29" xfId="0" applyNumberFormat="1" applyFont="1" applyBorder="1" applyAlignment="1" applyProtection="1">
      <alignment horizontal="left" vertical="center"/>
      <protection locked="0"/>
    </xf>
    <xf numFmtId="0" fontId="15" fillId="0" borderId="25" xfId="0" applyFont="1" applyBorder="1" applyAlignment="1">
      <alignment vertical="center"/>
    </xf>
    <xf numFmtId="0" fontId="42" fillId="0" borderId="191" xfId="0" applyFont="1" applyBorder="1" applyAlignment="1">
      <alignment horizontal="left"/>
    </xf>
    <xf numFmtId="0" fontId="0" fillId="0" borderId="191" xfId="0" applyBorder="1"/>
    <xf numFmtId="49" fontId="16" fillId="6" borderId="191" xfId="0" applyNumberFormat="1" applyFont="1" applyFill="1" applyBorder="1" applyAlignment="1">
      <alignment vertical="top"/>
    </xf>
    <xf numFmtId="3" fontId="16" fillId="8" borderId="37" xfId="0" applyNumberFormat="1" applyFont="1" applyFill="1" applyBorder="1" applyAlignment="1" applyProtection="1">
      <alignment horizontal="center" vertical="center"/>
      <protection locked="0"/>
    </xf>
    <xf numFmtId="164" fontId="98" fillId="8" borderId="13" xfId="0" applyNumberFormat="1" applyFont="1" applyFill="1" applyBorder="1" applyAlignment="1" applyProtection="1">
      <alignment horizontal="center" vertical="center"/>
      <protection locked="0"/>
    </xf>
    <xf numFmtId="0" fontId="10" fillId="14" borderId="0" xfId="0" applyFont="1" applyFill="1"/>
    <xf numFmtId="14" fontId="10" fillId="14" borderId="0" xfId="0" applyNumberFormat="1" applyFont="1" applyFill="1" applyAlignment="1">
      <alignment horizontal="left"/>
    </xf>
    <xf numFmtId="0" fontId="13" fillId="14" borderId="0" xfId="0" applyFont="1" applyFill="1"/>
    <xf numFmtId="0" fontId="13" fillId="11" borderId="0" xfId="0" applyFont="1" applyFill="1"/>
    <xf numFmtId="0" fontId="17" fillId="11" borderId="0" xfId="0" applyFont="1" applyFill="1"/>
    <xf numFmtId="0" fontId="18" fillId="11" borderId="0" xfId="0" applyFont="1" applyFill="1" applyAlignment="1">
      <alignment horizontal="right"/>
    </xf>
    <xf numFmtId="0" fontId="15" fillId="0" borderId="0" xfId="0" applyFont="1" applyAlignment="1">
      <alignment horizontal="right" vertical="top"/>
    </xf>
    <xf numFmtId="0" fontId="26" fillId="11" borderId="0" xfId="0" applyFont="1" applyFill="1" applyAlignment="1">
      <alignment horizontal="center"/>
    </xf>
    <xf numFmtId="0" fontId="27" fillId="11" borderId="0" xfId="0" applyFont="1" applyFill="1" applyAlignment="1">
      <alignment horizontal="center"/>
    </xf>
    <xf numFmtId="0" fontId="7" fillId="11" borderId="0" xfId="0" applyFont="1" applyFill="1"/>
    <xf numFmtId="0" fontId="5" fillId="11" borderId="0" xfId="0" applyFont="1" applyFill="1"/>
    <xf numFmtId="0" fontId="7" fillId="11" borderId="0" xfId="1" applyFont="1" applyFill="1" applyBorder="1" applyAlignment="1" applyProtection="1">
      <alignment horizontal="left"/>
    </xf>
    <xf numFmtId="0" fontId="70" fillId="11" borderId="0" xfId="0" applyFont="1" applyFill="1" applyAlignment="1">
      <alignment horizontal="left" vertical="center"/>
    </xf>
    <xf numFmtId="0" fontId="70" fillId="11" borderId="0" xfId="0" applyFont="1" applyFill="1" applyAlignment="1">
      <alignment horizontal="center"/>
    </xf>
    <xf numFmtId="0" fontId="18" fillId="11" borderId="0" xfId="0" applyFont="1" applyFill="1" applyAlignment="1">
      <alignment horizontal="center"/>
    </xf>
    <xf numFmtId="0" fontId="15" fillId="11" borderId="0" xfId="0" applyFont="1" applyFill="1" applyAlignment="1">
      <alignment horizontal="center" vertical="center"/>
    </xf>
    <xf numFmtId="0" fontId="15" fillId="0" borderId="0" xfId="0" applyFont="1" applyAlignment="1" applyProtection="1">
      <alignment horizontal="center" vertical="center"/>
      <protection locked="0"/>
    </xf>
    <xf numFmtId="0" fontId="90" fillId="11" borderId="0" xfId="1" applyFont="1" applyFill="1" applyBorder="1" applyAlignment="1" applyProtection="1">
      <alignment horizontal="right" vertical="top"/>
    </xf>
    <xf numFmtId="0" fontId="22" fillId="11" borderId="0" xfId="1" applyFont="1" applyFill="1" applyBorder="1" applyAlignment="1" applyProtection="1"/>
    <xf numFmtId="0" fontId="8" fillId="11" borderId="0" xfId="1" applyFont="1" applyFill="1" applyBorder="1" applyAlignment="1" applyProtection="1">
      <alignment horizontal="right" vertical="top" wrapText="1"/>
    </xf>
    <xf numFmtId="0" fontId="89" fillId="11" borderId="0" xfId="0" applyFont="1" applyFill="1" applyAlignment="1">
      <alignment vertical="top"/>
    </xf>
    <xf numFmtId="0" fontId="10" fillId="11" borderId="0" xfId="0" applyFont="1" applyFill="1"/>
    <xf numFmtId="0" fontId="106" fillId="28" borderId="196" xfId="3" applyFont="1" applyFill="1" applyBorder="1" applyAlignment="1">
      <alignment horizontal="center" vertical="center"/>
    </xf>
    <xf numFmtId="164" fontId="3" fillId="0" borderId="193" xfId="2" applyNumberFormat="1" applyFont="1" applyBorder="1" applyAlignment="1">
      <alignment horizontal="center" vertical="center"/>
    </xf>
    <xf numFmtId="164" fontId="3" fillId="16" borderId="30" xfId="2" applyNumberFormat="1" applyFont="1" applyFill="1" applyBorder="1" applyAlignment="1">
      <alignment horizontal="center" vertical="center"/>
    </xf>
    <xf numFmtId="164" fontId="3" fillId="0" borderId="30" xfId="2" applyNumberFormat="1" applyFont="1" applyBorder="1" applyAlignment="1">
      <alignment horizontal="center" vertical="center"/>
    </xf>
    <xf numFmtId="164" fontId="74" fillId="0" borderId="0" xfId="2" applyNumberFormat="1" applyFont="1" applyAlignment="1">
      <alignment horizontal="center" vertical="center"/>
    </xf>
    <xf numFmtId="164" fontId="75" fillId="16" borderId="191" xfId="2" applyNumberFormat="1" applyFont="1" applyFill="1" applyBorder="1" applyAlignment="1">
      <alignment horizontal="center"/>
    </xf>
    <xf numFmtId="164" fontId="75" fillId="0" borderId="191" xfId="2" applyNumberFormat="1" applyFont="1" applyBorder="1" applyAlignment="1">
      <alignment horizontal="center"/>
    </xf>
    <xf numFmtId="164" fontId="75" fillId="11" borderId="193" xfId="2" applyNumberFormat="1" applyFont="1" applyFill="1" applyBorder="1" applyAlignment="1">
      <alignment horizontal="center"/>
    </xf>
    <xf numFmtId="164" fontId="75" fillId="16" borderId="193" xfId="2" applyNumberFormat="1" applyFont="1" applyFill="1" applyBorder="1" applyAlignment="1">
      <alignment horizontal="center"/>
    </xf>
    <xf numFmtId="164" fontId="75" fillId="0" borderId="191" xfId="2" applyNumberFormat="1" applyFont="1" applyBorder="1" applyAlignment="1">
      <alignment horizontal="center" vertical="center"/>
    </xf>
    <xf numFmtId="164" fontId="75" fillId="16" borderId="55" xfId="2" applyNumberFormat="1" applyFont="1" applyFill="1" applyBorder="1" applyAlignment="1">
      <alignment horizontal="center" vertical="center"/>
    </xf>
    <xf numFmtId="164" fontId="75" fillId="11" borderId="191" xfId="2" applyNumberFormat="1" applyFont="1" applyFill="1" applyBorder="1" applyAlignment="1">
      <alignment horizontal="center" vertical="center"/>
    </xf>
    <xf numFmtId="164" fontId="75" fillId="16" borderId="191" xfId="2" applyNumberFormat="1" applyFont="1" applyFill="1" applyBorder="1" applyAlignment="1">
      <alignment horizontal="center" vertical="center"/>
    </xf>
    <xf numFmtId="170" fontId="75" fillId="32" borderId="191" xfId="0" applyNumberFormat="1" applyFont="1" applyFill="1" applyBorder="1" applyAlignment="1">
      <alignment horizontal="center" vertical="center"/>
    </xf>
    <xf numFmtId="164" fontId="75" fillId="0" borderId="193" xfId="2" applyNumberFormat="1" applyFont="1" applyFill="1" applyBorder="1" applyAlignment="1">
      <alignment horizontal="center"/>
    </xf>
    <xf numFmtId="164" fontId="75" fillId="0" borderId="193" xfId="0" applyNumberFormat="1" applyFont="1" applyBorder="1" applyAlignment="1">
      <alignment horizontal="center"/>
    </xf>
    <xf numFmtId="164" fontId="75" fillId="0" borderId="0" xfId="0" applyNumberFormat="1" applyFont="1" applyAlignment="1">
      <alignment horizontal="center"/>
    </xf>
    <xf numFmtId="164" fontId="75" fillId="0" borderId="191" xfId="2" applyNumberFormat="1" applyFont="1" applyFill="1" applyBorder="1" applyAlignment="1">
      <alignment horizontal="center" vertical="center"/>
    </xf>
    <xf numFmtId="164" fontId="75" fillId="0" borderId="191" xfId="2" applyNumberFormat="1" applyFont="1" applyFill="1" applyBorder="1" applyAlignment="1">
      <alignment horizontal="center"/>
    </xf>
    <xf numFmtId="0" fontId="104" fillId="32" borderId="191" xfId="0" applyFont="1" applyFill="1" applyBorder="1" applyAlignment="1">
      <alignment horizontal="center" vertical="center"/>
    </xf>
    <xf numFmtId="1" fontId="75" fillId="32" borderId="191" xfId="0" applyNumberFormat="1" applyFont="1" applyFill="1" applyBorder="1" applyAlignment="1">
      <alignment horizontal="center" vertical="center"/>
    </xf>
    <xf numFmtId="164" fontId="75" fillId="32" borderId="191" xfId="0" applyNumberFormat="1" applyFont="1" applyFill="1" applyBorder="1" applyAlignment="1">
      <alignment horizontal="center" vertical="center"/>
    </xf>
    <xf numFmtId="164" fontId="0" fillId="32" borderId="0" xfId="0" applyNumberFormat="1" applyFill="1" applyAlignment="1">
      <alignment horizontal="center" vertical="center"/>
    </xf>
    <xf numFmtId="164" fontId="75" fillId="32" borderId="191" xfId="2" applyNumberFormat="1" applyFont="1" applyFill="1" applyBorder="1" applyAlignment="1">
      <alignment horizontal="center"/>
    </xf>
    <xf numFmtId="164" fontId="75" fillId="32" borderId="193" xfId="2" applyNumberFormat="1" applyFont="1" applyFill="1" applyBorder="1" applyAlignment="1">
      <alignment horizontal="center"/>
    </xf>
    <xf numFmtId="0" fontId="75" fillId="32" borderId="192" xfId="0" applyFont="1" applyFill="1" applyBorder="1" applyAlignment="1">
      <alignment vertical="center"/>
    </xf>
    <xf numFmtId="0" fontId="75" fillId="32" borderId="191" xfId="0" applyFont="1" applyFill="1" applyBorder="1" applyAlignment="1">
      <alignment horizontal="center"/>
    </xf>
    <xf numFmtId="173" fontId="75" fillId="32" borderId="191" xfId="0" applyNumberFormat="1" applyFont="1" applyFill="1" applyBorder="1" applyAlignment="1">
      <alignment horizontal="center"/>
    </xf>
    <xf numFmtId="164" fontId="75" fillId="32" borderId="191" xfId="0" applyNumberFormat="1" applyFont="1" applyFill="1" applyBorder="1" applyAlignment="1">
      <alignment horizontal="center"/>
    </xf>
    <xf numFmtId="170" fontId="75" fillId="32" borderId="191" xfId="0" applyNumberFormat="1" applyFont="1" applyFill="1" applyBorder="1" applyAlignment="1">
      <alignment horizontal="center"/>
    </xf>
    <xf numFmtId="0" fontId="75" fillId="0" borderId="29" xfId="0" applyFont="1" applyBorder="1" applyAlignment="1">
      <alignment horizontal="center" vertical="center"/>
    </xf>
    <xf numFmtId="0" fontId="75" fillId="32" borderId="192" xfId="0" applyFont="1" applyFill="1" applyBorder="1" applyAlignment="1">
      <alignment horizontal="center" vertical="center"/>
    </xf>
    <xf numFmtId="0" fontId="75" fillId="32" borderId="29" xfId="0" applyFont="1" applyFill="1" applyBorder="1" applyAlignment="1">
      <alignment horizontal="center" vertical="center"/>
    </xf>
    <xf numFmtId="0" fontId="99" fillId="11" borderId="0" xfId="0" applyFont="1" applyFill="1" applyAlignment="1">
      <alignment horizontal="center"/>
    </xf>
    <xf numFmtId="0" fontId="90" fillId="11" borderId="0" xfId="0" applyFont="1" applyFill="1" applyAlignment="1">
      <alignment horizontal="center"/>
    </xf>
    <xf numFmtId="0" fontId="22" fillId="11" borderId="0" xfId="1" applyFont="1" applyFill="1" applyBorder="1" applyAlignment="1" applyProtection="1">
      <alignment horizontal="left"/>
    </xf>
    <xf numFmtId="0" fontId="7" fillId="0" borderId="0" xfId="3" applyFont="1" applyAlignment="1">
      <alignment horizontal="right"/>
    </xf>
    <xf numFmtId="0" fontId="99" fillId="11" borderId="0" xfId="1" applyFont="1" applyFill="1" applyBorder="1" applyAlignment="1" applyProtection="1">
      <alignment horizontal="left" vertical="top" wrapText="1"/>
    </xf>
    <xf numFmtId="0" fontId="15" fillId="5" borderId="0" xfId="0" applyFont="1" applyFill="1" applyAlignment="1">
      <alignment horizontal="center" vertical="center"/>
    </xf>
    <xf numFmtId="0" fontId="26" fillId="11" borderId="0" xfId="0" applyFont="1" applyFill="1" applyAlignment="1">
      <alignment horizontal="center"/>
    </xf>
    <xf numFmtId="0" fontId="9" fillId="11" borderId="0" xfId="0" applyFont="1" applyFill="1" applyAlignment="1">
      <alignment horizontal="center"/>
    </xf>
    <xf numFmtId="0" fontId="0" fillId="11" borderId="0" xfId="0" applyFill="1"/>
    <xf numFmtId="0" fontId="0" fillId="14" borderId="0" xfId="0" applyFill="1"/>
    <xf numFmtId="0" fontId="9" fillId="11" borderId="0" xfId="0" applyFont="1" applyFill="1" applyAlignment="1">
      <alignment horizontal="left"/>
    </xf>
    <xf numFmtId="0" fontId="9" fillId="11" borderId="0" xfId="0" applyFont="1" applyFill="1"/>
    <xf numFmtId="0" fontId="7" fillId="11" borderId="0" xfId="0" applyFont="1" applyFill="1"/>
    <xf numFmtId="0" fontId="7" fillId="0" borderId="0" xfId="0" applyFont="1"/>
    <xf numFmtId="0" fontId="23" fillId="11" borderId="0" xfId="1" applyFont="1" applyFill="1" applyBorder="1" applyAlignment="1" applyProtection="1">
      <alignment horizontal="center"/>
    </xf>
    <xf numFmtId="0" fontId="15" fillId="11" borderId="11" xfId="0" applyFont="1" applyFill="1" applyBorder="1" applyAlignment="1">
      <alignment horizontal="left" vertical="center"/>
    </xf>
    <xf numFmtId="0" fontId="15" fillId="11" borderId="112" xfId="0" applyFont="1" applyFill="1" applyBorder="1" applyAlignment="1">
      <alignment horizontal="left" vertical="center"/>
    </xf>
    <xf numFmtId="0" fontId="15" fillId="0" borderId="50" xfId="0" applyFont="1" applyBorder="1" applyAlignment="1">
      <alignment horizontal="left"/>
    </xf>
    <xf numFmtId="0" fontId="15" fillId="0" borderId="50" xfId="0" applyFont="1" applyBorder="1" applyAlignment="1">
      <alignment horizontal="left" vertical="center"/>
    </xf>
    <xf numFmtId="0" fontId="16" fillId="0" borderId="7" xfId="0" applyFont="1" applyBorder="1" applyAlignment="1">
      <alignment horizontal="left" vertical="center"/>
    </xf>
    <xf numFmtId="0" fontId="16" fillId="0" borderId="53" xfId="0" applyFont="1" applyBorder="1" applyAlignment="1">
      <alignment horizontal="left" vertical="center"/>
    </xf>
    <xf numFmtId="0" fontId="16" fillId="0" borderId="11" xfId="0" applyFont="1" applyBorder="1" applyAlignment="1">
      <alignment horizontal="left" vertical="center"/>
    </xf>
    <xf numFmtId="0" fontId="16" fillId="0" borderId="112" xfId="0" applyFont="1" applyBorder="1" applyAlignment="1">
      <alignment horizontal="left" vertical="center"/>
    </xf>
    <xf numFmtId="0" fontId="16" fillId="0" borderId="29" xfId="0" applyFont="1" applyBorder="1" applyAlignment="1">
      <alignment horizontal="left"/>
    </xf>
    <xf numFmtId="0" fontId="15" fillId="0" borderId="29" xfId="0" applyFont="1" applyBorder="1" applyAlignment="1">
      <alignment horizontal="left" vertical="center"/>
    </xf>
    <xf numFmtId="0" fontId="16" fillId="0" borderId="7" xfId="0" applyFont="1" applyBorder="1" applyAlignment="1">
      <alignment horizontal="left"/>
    </xf>
    <xf numFmtId="0" fontId="15" fillId="0" borderId="7" xfId="0" applyFont="1" applyBorder="1" applyAlignment="1">
      <alignment horizontal="left" vertical="center"/>
    </xf>
    <xf numFmtId="0" fontId="5" fillId="5" borderId="0" xfId="0" applyFont="1" applyFill="1" applyAlignment="1">
      <alignment horizontal="center" vertical="center" wrapText="1"/>
    </xf>
    <xf numFmtId="0" fontId="16" fillId="0" borderId="53" xfId="0" applyFont="1" applyBorder="1" applyAlignment="1">
      <alignment horizontal="left"/>
    </xf>
    <xf numFmtId="0" fontId="16" fillId="0" borderId="11" xfId="0" applyFont="1" applyBorder="1" applyAlignment="1">
      <alignment horizontal="left"/>
    </xf>
    <xf numFmtId="0" fontId="16" fillId="0" borderId="112" xfId="0" applyFont="1" applyBorder="1" applyAlignment="1">
      <alignment horizontal="left"/>
    </xf>
    <xf numFmtId="0" fontId="15" fillId="0" borderId="7" xfId="0" applyFont="1" applyBorder="1" applyAlignment="1">
      <alignment horizontal="right" vertical="center" indent="1"/>
    </xf>
    <xf numFmtId="0" fontId="116" fillId="28" borderId="0" xfId="0" applyFont="1" applyFill="1" applyAlignment="1">
      <alignment horizontal="left" vertical="center" wrapText="1" indent="1"/>
    </xf>
    <xf numFmtId="0" fontId="7" fillId="10" borderId="0" xfId="0" applyFont="1" applyFill="1" applyAlignment="1" applyProtection="1">
      <alignment horizontal="left"/>
      <protection locked="0"/>
    </xf>
    <xf numFmtId="0" fontId="89" fillId="0" borderId="28" xfId="0" applyFont="1" applyBorder="1" applyAlignment="1">
      <alignment horizontal="center"/>
    </xf>
    <xf numFmtId="0" fontId="89" fillId="0" borderId="29" xfId="0" applyFont="1" applyBorder="1" applyAlignment="1">
      <alignment horizontal="center"/>
    </xf>
    <xf numFmtId="0" fontId="68" fillId="0" borderId="0" xfId="0" applyFont="1" applyAlignment="1">
      <alignment horizontal="center" vertical="center"/>
    </xf>
    <xf numFmtId="0" fontId="0" fillId="0" borderId="0" xfId="0"/>
    <xf numFmtId="0" fontId="7" fillId="11" borderId="0" xfId="0" applyFont="1" applyFill="1" applyAlignment="1">
      <alignment horizontal="center" vertical="center"/>
    </xf>
    <xf numFmtId="0" fontId="7" fillId="0" borderId="0" xfId="0" applyFont="1" applyAlignment="1">
      <alignment horizontal="center" vertical="center"/>
    </xf>
    <xf numFmtId="0" fontId="82" fillId="4" borderId="0" xfId="0" applyFont="1" applyFill="1" applyAlignment="1">
      <alignment horizontal="center" vertical="center"/>
    </xf>
    <xf numFmtId="0" fontId="64" fillId="4" borderId="0" xfId="0" applyFont="1" applyFill="1" applyAlignment="1">
      <alignment horizontal="center" vertical="center"/>
    </xf>
    <xf numFmtId="0" fontId="65" fillId="0" borderId="0" xfId="0" applyFont="1" applyAlignment="1">
      <alignment horizontal="center"/>
    </xf>
    <xf numFmtId="0" fontId="66" fillId="0" borderId="0" xfId="0" applyFont="1" applyAlignment="1">
      <alignment horizontal="center"/>
    </xf>
    <xf numFmtId="0" fontId="89" fillId="0" borderId="28" xfId="0" applyFont="1" applyBorder="1" applyAlignment="1">
      <alignment horizontal="center" vertical="center"/>
    </xf>
    <xf numFmtId="0" fontId="89" fillId="0" borderId="29" xfId="0" applyFont="1" applyBorder="1" applyAlignment="1">
      <alignment horizontal="center" vertical="center"/>
    </xf>
    <xf numFmtId="0" fontId="7" fillId="0" borderId="0" xfId="0" applyFont="1" applyAlignment="1">
      <alignment horizontal="left"/>
    </xf>
    <xf numFmtId="0" fontId="123" fillId="0" borderId="25" xfId="0" applyFont="1" applyBorder="1" applyAlignment="1">
      <alignment horizontal="left" vertical="center"/>
    </xf>
    <xf numFmtId="0" fontId="123" fillId="0" borderId="26" xfId="0" applyFont="1" applyBorder="1" applyAlignment="1">
      <alignment horizontal="left" vertical="center"/>
    </xf>
    <xf numFmtId="0" fontId="123" fillId="0" borderId="12" xfId="0" applyFont="1" applyBorder="1" applyAlignment="1">
      <alignment horizontal="left" vertical="center"/>
    </xf>
    <xf numFmtId="0" fontId="50" fillId="0" borderId="0" xfId="0" applyFont="1" applyAlignment="1">
      <alignment horizontal="right" vertical="center"/>
    </xf>
    <xf numFmtId="0" fontId="51" fillId="0" borderId="0" xfId="0" applyFont="1" applyAlignment="1">
      <alignment horizontal="center" vertical="center" wrapText="1"/>
    </xf>
    <xf numFmtId="0" fontId="7" fillId="0" borderId="0" xfId="0" applyFont="1" applyAlignment="1">
      <alignment horizontal="center"/>
    </xf>
    <xf numFmtId="0" fontId="15" fillId="5" borderId="0" xfId="0" applyFont="1" applyFill="1" applyAlignment="1" applyProtection="1">
      <alignment horizontal="center" vertical="center"/>
      <protection locked="0"/>
    </xf>
    <xf numFmtId="0" fontId="25" fillId="0" borderId="0" xfId="0" applyFont="1" applyAlignment="1">
      <alignment horizontal="center"/>
    </xf>
    <xf numFmtId="0" fontId="83" fillId="4" borderId="0" xfId="0" applyFont="1" applyFill="1" applyAlignment="1">
      <alignment horizontal="center" vertical="center"/>
    </xf>
    <xf numFmtId="3" fontId="16" fillId="3" borderId="121" xfId="0" applyNumberFormat="1" applyFont="1" applyFill="1" applyBorder="1" applyAlignment="1" applyProtection="1">
      <alignment horizontal="center" vertical="center"/>
      <protection hidden="1"/>
    </xf>
    <xf numFmtId="1" fontId="15" fillId="0" borderId="122" xfId="0" applyNumberFormat="1" applyFont="1" applyBorder="1" applyAlignment="1">
      <alignment horizontal="center" vertical="center"/>
    </xf>
    <xf numFmtId="3" fontId="15" fillId="0" borderId="121" xfId="0" applyNumberFormat="1" applyFont="1" applyBorder="1" applyAlignment="1" applyProtection="1">
      <alignment horizontal="center" vertical="center"/>
      <protection hidden="1"/>
    </xf>
    <xf numFmtId="0" fontId="15" fillId="0" borderId="126" xfId="0" applyFont="1" applyBorder="1" applyAlignment="1" applyProtection="1">
      <alignment horizontal="left" vertical="center"/>
      <protection hidden="1"/>
    </xf>
    <xf numFmtId="0" fontId="15" fillId="0" borderId="121" xfId="0" applyFont="1" applyBorder="1" applyAlignment="1" applyProtection="1">
      <alignment horizontal="left" vertical="center"/>
      <protection hidden="1"/>
    </xf>
    <xf numFmtId="0" fontId="16" fillId="0" borderId="138" xfId="0" applyFont="1" applyBorder="1" applyAlignment="1" applyProtection="1">
      <alignment horizontal="left" vertical="center"/>
      <protection hidden="1"/>
    </xf>
    <xf numFmtId="0" fontId="16" fillId="0" borderId="139" xfId="0" applyFont="1" applyBorder="1" applyAlignment="1" applyProtection="1">
      <alignment horizontal="left" vertical="center"/>
      <protection hidden="1"/>
    </xf>
    <xf numFmtId="0" fontId="16" fillId="0" borderId="140" xfId="0" applyFont="1" applyBorder="1" applyAlignment="1" applyProtection="1">
      <alignment horizontal="left" vertical="center"/>
      <protection hidden="1"/>
    </xf>
    <xf numFmtId="0" fontId="16" fillId="0" borderId="141" xfId="0" applyFont="1" applyBorder="1" applyAlignment="1" applyProtection="1">
      <alignment horizontal="left" vertical="center"/>
      <protection hidden="1"/>
    </xf>
    <xf numFmtId="0" fontId="16" fillId="0" borderId="142" xfId="0" applyFont="1" applyBorder="1" applyAlignment="1" applyProtection="1">
      <alignment horizontal="left" vertical="center"/>
      <protection hidden="1"/>
    </xf>
    <xf numFmtId="0" fontId="16" fillId="0" borderId="143" xfId="0" applyFont="1" applyBorder="1" applyAlignment="1" applyProtection="1">
      <alignment horizontal="left" vertical="center"/>
      <protection hidden="1"/>
    </xf>
    <xf numFmtId="49" fontId="16" fillId="3" borderId="141" xfId="0" applyNumberFormat="1" applyFont="1" applyFill="1" applyBorder="1" applyAlignment="1">
      <alignment horizontal="left" vertical="center"/>
    </xf>
    <xf numFmtId="49" fontId="16" fillId="3" borderId="142" xfId="0" applyNumberFormat="1" applyFont="1" applyFill="1" applyBorder="1" applyAlignment="1">
      <alignment horizontal="left" vertical="center"/>
    </xf>
    <xf numFmtId="49" fontId="16" fillId="3" borderId="143" xfId="0" applyNumberFormat="1" applyFont="1" applyFill="1" applyBorder="1" applyAlignment="1">
      <alignment horizontal="left" vertical="center"/>
    </xf>
    <xf numFmtId="164" fontId="16" fillId="10" borderId="121" xfId="0" applyNumberFormat="1" applyFont="1" applyFill="1" applyBorder="1" applyAlignment="1" applyProtection="1">
      <alignment horizontal="center" vertical="center"/>
      <protection locked="0"/>
    </xf>
    <xf numFmtId="164" fontId="98" fillId="0" borderId="121" xfId="0" applyNumberFormat="1" applyFont="1" applyBorder="1" applyAlignment="1" applyProtection="1">
      <alignment horizontal="center" vertical="center"/>
      <protection hidden="1"/>
    </xf>
    <xf numFmtId="3" fontId="16" fillId="0" borderId="121" xfId="0" applyNumberFormat="1" applyFont="1" applyBorder="1" applyAlignment="1" applyProtection="1">
      <alignment horizontal="center" vertical="center"/>
      <protection hidden="1"/>
    </xf>
    <xf numFmtId="0" fontId="16" fillId="0" borderId="141" xfId="0" applyFont="1" applyBorder="1" applyAlignment="1">
      <alignment horizontal="left" vertical="center"/>
    </xf>
    <xf numFmtId="0" fontId="16" fillId="0" borderId="142" xfId="0" applyFont="1" applyBorder="1" applyAlignment="1">
      <alignment horizontal="left" vertical="center"/>
    </xf>
    <xf numFmtId="0" fontId="16" fillId="0" borderId="143" xfId="0" applyFont="1" applyBorder="1" applyAlignment="1">
      <alignment horizontal="left" vertical="center"/>
    </xf>
    <xf numFmtId="0" fontId="16" fillId="10" borderId="86" xfId="0" applyFont="1" applyFill="1" applyBorder="1" applyAlignment="1" applyProtection="1">
      <alignment horizontal="left" vertical="center" wrapText="1"/>
      <protection locked="0"/>
    </xf>
    <xf numFmtId="0" fontId="0" fillId="10" borderId="86" xfId="0" applyFill="1" applyBorder="1" applyAlignment="1" applyProtection="1">
      <alignment horizontal="left" vertical="center" wrapText="1"/>
      <protection locked="0"/>
    </xf>
    <xf numFmtId="0" fontId="0" fillId="10" borderId="150" xfId="0" applyFill="1" applyBorder="1" applyAlignment="1" applyProtection="1">
      <alignment horizontal="left" vertical="center" wrapText="1"/>
      <protection locked="0"/>
    </xf>
    <xf numFmtId="0" fontId="0" fillId="10" borderId="149" xfId="0" applyFill="1" applyBorder="1" applyAlignment="1" applyProtection="1">
      <alignment horizontal="left" vertical="center" wrapText="1"/>
      <protection locked="0"/>
    </xf>
    <xf numFmtId="0" fontId="0" fillId="10" borderId="148" xfId="0" applyFill="1" applyBorder="1" applyAlignment="1" applyProtection="1">
      <alignment horizontal="left" vertical="center" wrapText="1"/>
      <protection locked="0"/>
    </xf>
    <xf numFmtId="0" fontId="5" fillId="0" borderId="0" xfId="0" applyFont="1" applyAlignment="1">
      <alignment horizontal="left"/>
    </xf>
    <xf numFmtId="9" fontId="16" fillId="10" borderId="121" xfId="2" applyFont="1" applyFill="1" applyBorder="1" applyAlignment="1" applyProtection="1">
      <alignment horizontal="center"/>
      <protection locked="0"/>
    </xf>
    <xf numFmtId="0" fontId="93" fillId="0" borderId="0" xfId="1" applyFont="1" applyBorder="1" applyAlignment="1">
      <alignment horizontal="left" wrapText="1"/>
      <protection locked="0"/>
    </xf>
    <xf numFmtId="0" fontId="93" fillId="0" borderId="0" xfId="1" applyFont="1" applyAlignment="1">
      <alignment horizontal="left" wrapText="1"/>
      <protection locked="0"/>
    </xf>
    <xf numFmtId="0" fontId="16" fillId="10" borderId="145" xfId="0" applyFont="1" applyFill="1" applyBorder="1" applyAlignment="1" applyProtection="1">
      <alignment horizontal="center" vertical="center"/>
      <protection locked="0"/>
    </xf>
    <xf numFmtId="0" fontId="16" fillId="10" borderId="146" xfId="0" applyFont="1" applyFill="1" applyBorder="1" applyAlignment="1" applyProtection="1">
      <alignment horizontal="center" vertical="center"/>
      <protection locked="0"/>
    </xf>
    <xf numFmtId="0" fontId="16" fillId="10" borderId="147" xfId="0" applyFont="1" applyFill="1" applyBorder="1" applyAlignment="1" applyProtection="1">
      <alignment horizontal="center" vertical="center"/>
      <protection locked="0"/>
    </xf>
    <xf numFmtId="0" fontId="16" fillId="10" borderId="148" xfId="0" applyFont="1" applyFill="1" applyBorder="1" applyAlignment="1" applyProtection="1">
      <alignment horizontal="center" vertical="center"/>
      <protection locked="0"/>
    </xf>
    <xf numFmtId="0" fontId="5" fillId="0" borderId="0" xfId="1" applyFont="1" applyBorder="1" applyAlignment="1" applyProtection="1">
      <alignment horizontal="left" vertical="center" wrapText="1"/>
      <protection hidden="1"/>
    </xf>
    <xf numFmtId="0" fontId="16" fillId="0" borderId="0" xfId="0" applyFont="1" applyAlignment="1" applyProtection="1">
      <alignment horizontal="right" indent="1"/>
      <protection hidden="1"/>
    </xf>
    <xf numFmtId="49" fontId="16" fillId="10" borderId="112" xfId="0" applyNumberFormat="1" applyFont="1" applyFill="1" applyBorder="1" applyAlignment="1" applyProtection="1">
      <alignment horizontal="left" vertical="center"/>
      <protection locked="0"/>
    </xf>
    <xf numFmtId="49" fontId="16" fillId="10" borderId="113" xfId="0" applyNumberFormat="1" applyFont="1" applyFill="1" applyBorder="1" applyAlignment="1" applyProtection="1">
      <alignment horizontal="left" vertical="center"/>
      <protection locked="0"/>
    </xf>
    <xf numFmtId="0" fontId="16" fillId="0" borderId="86" xfId="0" applyFont="1" applyBorder="1" applyAlignment="1" applyProtection="1">
      <alignment horizontal="left" vertical="center" wrapText="1" indent="1"/>
      <protection hidden="1"/>
    </xf>
    <xf numFmtId="0" fontId="16" fillId="0" borderId="149" xfId="0" applyFont="1" applyBorder="1" applyAlignment="1" applyProtection="1">
      <alignment horizontal="left" vertical="center" wrapText="1" indent="1"/>
      <protection hidden="1"/>
    </xf>
    <xf numFmtId="9" fontId="16" fillId="10" borderId="122" xfId="2" applyFont="1" applyFill="1" applyBorder="1" applyAlignment="1" applyProtection="1">
      <alignment horizontal="center" vertical="center"/>
      <protection locked="0"/>
    </xf>
    <xf numFmtId="9" fontId="16" fillId="10" borderId="121" xfId="2" applyFont="1" applyFill="1" applyBorder="1" applyAlignment="1" applyProtection="1">
      <alignment horizontal="center" vertical="center"/>
      <protection locked="0"/>
    </xf>
    <xf numFmtId="1" fontId="113" fillId="28" borderId="0" xfId="0" applyNumberFormat="1" applyFont="1" applyFill="1" applyAlignment="1" applyProtection="1">
      <alignment horizontal="center" vertical="center"/>
      <protection hidden="1"/>
    </xf>
    <xf numFmtId="3" fontId="16" fillId="0" borderId="121" xfId="0" applyNumberFormat="1" applyFont="1" applyBorder="1" applyAlignment="1">
      <alignment horizontal="center" vertical="center"/>
    </xf>
    <xf numFmtId="0" fontId="15" fillId="0" borderId="126" xfId="0" applyFont="1" applyBorder="1" applyAlignment="1" applyProtection="1">
      <alignment horizontal="left" vertical="center" wrapText="1" indent="1"/>
      <protection hidden="1"/>
    </xf>
    <xf numFmtId="0" fontId="15" fillId="0" borderId="121" xfId="0" applyFont="1" applyBorder="1" applyAlignment="1" applyProtection="1">
      <alignment horizontal="left" vertical="center" wrapText="1" indent="1"/>
      <protection hidden="1"/>
    </xf>
    <xf numFmtId="3" fontId="16" fillId="10" borderId="107" xfId="0" applyNumberFormat="1" applyFont="1" applyFill="1" applyBorder="1" applyAlignment="1" applyProtection="1">
      <alignment horizontal="center" vertical="center"/>
      <protection locked="0"/>
    </xf>
    <xf numFmtId="49" fontId="16" fillId="0" borderId="112" xfId="0" applyNumberFormat="1" applyFont="1" applyBorder="1" applyAlignment="1" applyProtection="1">
      <alignment horizontal="left" vertical="center"/>
      <protection hidden="1"/>
    </xf>
    <xf numFmtId="49" fontId="16" fillId="0" borderId="113" xfId="0" applyNumberFormat="1" applyFont="1" applyBorder="1" applyAlignment="1" applyProtection="1">
      <alignment horizontal="left" vertical="center"/>
      <protection hidden="1"/>
    </xf>
    <xf numFmtId="0" fontId="15" fillId="0" borderId="0" xfId="0" applyFont="1" applyAlignment="1">
      <alignment horizontal="right" indent="1"/>
    </xf>
    <xf numFmtId="0" fontId="112" fillId="28" borderId="0" xfId="0" applyFont="1" applyFill="1" applyAlignment="1">
      <alignment horizontal="left" vertical="center"/>
    </xf>
    <xf numFmtId="0" fontId="100" fillId="28" borderId="0" xfId="0" applyFont="1" applyFill="1" applyAlignment="1">
      <alignment horizontal="left" vertical="center"/>
    </xf>
    <xf numFmtId="3" fontId="15" fillId="0" borderId="112" xfId="0" applyNumberFormat="1" applyFont="1" applyBorder="1" applyAlignment="1" applyProtection="1">
      <alignment horizontal="left" vertical="center"/>
      <protection hidden="1"/>
    </xf>
    <xf numFmtId="3" fontId="15" fillId="0" borderId="113" xfId="0" applyNumberFormat="1" applyFont="1" applyBorder="1" applyAlignment="1" applyProtection="1">
      <alignment horizontal="left" vertical="center"/>
      <protection hidden="1"/>
    </xf>
    <xf numFmtId="1" fontId="15" fillId="0" borderId="122" xfId="0" applyNumberFormat="1" applyFont="1" applyBorder="1" applyAlignment="1" applyProtection="1">
      <alignment horizontal="center" vertical="center"/>
      <protection hidden="1"/>
    </xf>
    <xf numFmtId="167" fontId="15" fillId="0" borderId="121" xfId="0" applyNumberFormat="1" applyFont="1" applyBorder="1" applyAlignment="1" applyProtection="1">
      <alignment horizontal="center" vertical="center"/>
      <protection hidden="1"/>
    </xf>
    <xf numFmtId="1" fontId="111" fillId="28" borderId="0" xfId="0" applyNumberFormat="1" applyFont="1" applyFill="1" applyAlignment="1" applyProtection="1">
      <alignment horizontal="center"/>
      <protection hidden="1"/>
    </xf>
    <xf numFmtId="0" fontId="15" fillId="0" borderId="121" xfId="0" applyFont="1" applyBorder="1" applyAlignment="1">
      <alignment horizontal="left" vertical="center"/>
    </xf>
    <xf numFmtId="0" fontId="15" fillId="0" borderId="125" xfId="0" applyFont="1" applyBorder="1" applyAlignment="1">
      <alignment horizontal="left" vertical="center"/>
    </xf>
    <xf numFmtId="0" fontId="113" fillId="28" borderId="0" xfId="0" applyFont="1" applyFill="1" applyAlignment="1" applyProtection="1">
      <alignment horizontal="center"/>
      <protection hidden="1"/>
    </xf>
    <xf numFmtId="0" fontId="15" fillId="0" borderId="119" xfId="0" applyFont="1" applyBorder="1" applyAlignment="1">
      <alignment horizontal="left" vertical="center"/>
    </xf>
    <xf numFmtId="49" fontId="16" fillId="10" borderId="0" xfId="0" applyNumberFormat="1" applyFont="1" applyFill="1" applyAlignment="1" applyProtection="1">
      <alignment horizontal="left" vertical="center"/>
      <protection locked="0"/>
    </xf>
    <xf numFmtId="0" fontId="15" fillId="0" borderId="0" xfId="0" applyFont="1" applyAlignment="1">
      <alignment horizontal="right"/>
    </xf>
    <xf numFmtId="3" fontId="15" fillId="6" borderId="28" xfId="0" applyNumberFormat="1" applyFont="1" applyFill="1" applyBorder="1" applyAlignment="1" applyProtection="1">
      <alignment horizontal="center" vertical="center"/>
      <protection hidden="1"/>
    </xf>
    <xf numFmtId="3" fontId="15" fillId="6" borderId="30" xfId="0" applyNumberFormat="1" applyFont="1" applyFill="1" applyBorder="1" applyAlignment="1" applyProtection="1">
      <alignment horizontal="center" vertical="center"/>
      <protection hidden="1"/>
    </xf>
    <xf numFmtId="3" fontId="15" fillId="0" borderId="107" xfId="0" applyNumberFormat="1" applyFont="1" applyBorder="1" applyAlignment="1" applyProtection="1">
      <alignment horizontal="center" vertical="center"/>
      <protection hidden="1"/>
    </xf>
    <xf numFmtId="3" fontId="8" fillId="0" borderId="127" xfId="0" applyNumberFormat="1" applyFont="1" applyBorder="1" applyAlignment="1">
      <alignment horizontal="center" vertical="center"/>
    </xf>
    <xf numFmtId="0" fontId="16" fillId="10" borderId="119" xfId="0" applyFont="1" applyFill="1" applyBorder="1" applyAlignment="1" applyProtection="1">
      <alignment horizontal="left" vertical="center"/>
      <protection locked="0"/>
    </xf>
    <xf numFmtId="0" fontId="16" fillId="10" borderId="126" xfId="0" applyFont="1" applyFill="1" applyBorder="1" applyAlignment="1" applyProtection="1">
      <alignment horizontal="left" vertical="center"/>
      <protection locked="0"/>
    </xf>
    <xf numFmtId="3" fontId="8" fillId="0" borderId="121" xfId="0" applyNumberFormat="1" applyFont="1" applyBorder="1" applyAlignment="1">
      <alignment horizontal="center" vertical="center"/>
    </xf>
    <xf numFmtId="3" fontId="8" fillId="0" borderId="124" xfId="0" applyNumberFormat="1" applyFont="1" applyBorder="1" applyAlignment="1">
      <alignment horizontal="center" vertical="center"/>
    </xf>
    <xf numFmtId="0" fontId="16" fillId="10" borderId="112" xfId="0" applyFont="1" applyFill="1" applyBorder="1" applyAlignment="1" applyProtection="1">
      <alignment horizontal="left" vertical="center"/>
      <protection locked="0"/>
    </xf>
    <xf numFmtId="0" fontId="16" fillId="10" borderId="113" xfId="0" applyFont="1" applyFill="1" applyBorder="1" applyAlignment="1" applyProtection="1">
      <alignment horizontal="left" vertical="center"/>
      <protection locked="0"/>
    </xf>
    <xf numFmtId="0" fontId="16" fillId="0" borderId="121" xfId="0" applyFont="1" applyBorder="1" applyAlignment="1">
      <alignment horizontal="left"/>
    </xf>
    <xf numFmtId="0" fontId="16" fillId="0" borderId="125" xfId="0" applyFont="1" applyBorder="1" applyAlignment="1">
      <alignment horizontal="left"/>
    </xf>
    <xf numFmtId="0" fontId="16" fillId="10" borderId="121" xfId="0" applyFont="1" applyFill="1" applyBorder="1" applyAlignment="1" applyProtection="1">
      <alignment horizontal="left"/>
      <protection locked="0"/>
    </xf>
    <xf numFmtId="0" fontId="16" fillId="10" borderId="125" xfId="0" applyFont="1" applyFill="1" applyBorder="1" applyAlignment="1" applyProtection="1">
      <alignment horizontal="left"/>
      <protection locked="0"/>
    </xf>
    <xf numFmtId="0" fontId="112" fillId="28" borderId="0" xfId="0" applyFont="1" applyFill="1" applyAlignment="1" applyProtection="1">
      <alignment horizontal="center" vertical="center"/>
      <protection hidden="1"/>
    </xf>
    <xf numFmtId="0" fontId="112" fillId="28" borderId="0" xfId="0" applyFont="1" applyFill="1" applyAlignment="1">
      <alignment horizontal="center" vertical="center"/>
    </xf>
    <xf numFmtId="0" fontId="5" fillId="0" borderId="0" xfId="0" applyFont="1"/>
    <xf numFmtId="0" fontId="0" fillId="0" borderId="121" xfId="0" applyBorder="1" applyAlignment="1">
      <alignment horizontal="left" vertical="center"/>
    </xf>
    <xf numFmtId="0" fontId="0" fillId="0" borderId="125" xfId="0" applyBorder="1" applyAlignment="1">
      <alignment horizontal="left" vertical="center"/>
    </xf>
    <xf numFmtId="3" fontId="16" fillId="10" borderId="111" xfId="0" applyNumberFormat="1" applyFont="1" applyFill="1" applyBorder="1" applyAlignment="1" applyProtection="1">
      <alignment horizontal="center" vertical="center"/>
      <protection locked="0"/>
    </xf>
    <xf numFmtId="3" fontId="16" fillId="10" borderId="113" xfId="0" applyNumberFormat="1" applyFont="1" applyFill="1" applyBorder="1" applyAlignment="1" applyProtection="1">
      <alignment horizontal="center" vertical="center"/>
      <protection locked="0"/>
    </xf>
    <xf numFmtId="0" fontId="15" fillId="0" borderId="0" xfId="0" applyFont="1" applyAlignment="1">
      <alignment horizontal="right" vertical="center"/>
    </xf>
    <xf numFmtId="3" fontId="16" fillId="10" borderId="127" xfId="0" applyNumberFormat="1" applyFont="1" applyFill="1" applyBorder="1" applyAlignment="1" applyProtection="1">
      <alignment horizontal="center" vertical="center"/>
      <protection locked="0"/>
    </xf>
    <xf numFmtId="3" fontId="16" fillId="0" borderId="111" xfId="0" applyNumberFormat="1" applyFont="1" applyBorder="1" applyAlignment="1" applyProtection="1">
      <alignment horizontal="center" vertical="center"/>
      <protection hidden="1"/>
    </xf>
    <xf numFmtId="3" fontId="16" fillId="0" borderId="113" xfId="0" applyNumberFormat="1" applyFont="1" applyBorder="1" applyAlignment="1" applyProtection="1">
      <alignment horizontal="center" vertical="center"/>
      <protection hidden="1"/>
    </xf>
    <xf numFmtId="0" fontId="8" fillId="0" borderId="126" xfId="0" applyFont="1" applyBorder="1" applyAlignment="1">
      <alignment horizontal="center" vertical="center"/>
    </xf>
    <xf numFmtId="0" fontId="8" fillId="0" borderId="121" xfId="0" applyFont="1" applyBorder="1" applyAlignment="1">
      <alignment horizontal="center" vertical="center"/>
    </xf>
    <xf numFmtId="0" fontId="16" fillId="10" borderId="137" xfId="0" applyFont="1" applyFill="1" applyBorder="1" applyAlignment="1" applyProtection="1">
      <alignment horizontal="left" vertical="center"/>
      <protection locked="0"/>
    </xf>
    <xf numFmtId="0" fontId="16" fillId="10" borderId="127" xfId="0" applyFont="1" applyFill="1" applyBorder="1" applyAlignment="1" applyProtection="1">
      <alignment horizontal="left" vertical="center"/>
      <protection locked="0"/>
    </xf>
    <xf numFmtId="0" fontId="15" fillId="0" borderId="123" xfId="0" applyFont="1" applyBorder="1" applyAlignment="1">
      <alignment horizontal="left" vertical="center"/>
    </xf>
    <xf numFmtId="0" fontId="15" fillId="0" borderId="112" xfId="0" applyFont="1" applyBorder="1" applyAlignment="1">
      <alignment horizontal="left" vertical="center"/>
    </xf>
    <xf numFmtId="0" fontId="15" fillId="0" borderId="113" xfId="0" applyFont="1" applyBorder="1" applyAlignment="1">
      <alignment horizontal="left" vertical="center"/>
    </xf>
    <xf numFmtId="0" fontId="15" fillId="0" borderId="122" xfId="0" applyFont="1" applyBorder="1" applyAlignment="1">
      <alignment horizontal="left"/>
    </xf>
    <xf numFmtId="0" fontId="8" fillId="0" borderId="0" xfId="0" applyFont="1" applyAlignment="1">
      <alignment horizontal="right" vertical="center"/>
    </xf>
    <xf numFmtId="1" fontId="111" fillId="28" borderId="0" xfId="0" applyNumberFormat="1" applyFont="1" applyFill="1" applyAlignment="1">
      <alignment horizontal="center"/>
    </xf>
    <xf numFmtId="0" fontId="16" fillId="0" borderId="0" xfId="0" applyFont="1" applyAlignment="1" applyProtection="1">
      <alignment horizontal="right" vertical="center" indent="1"/>
      <protection hidden="1"/>
    </xf>
    <xf numFmtId="3" fontId="16" fillId="10" borderId="18" xfId="0" applyNumberFormat="1" applyFont="1" applyFill="1" applyBorder="1" applyAlignment="1" applyProtection="1">
      <alignment horizontal="center" vertical="center"/>
      <protection locked="0"/>
    </xf>
    <xf numFmtId="3" fontId="16" fillId="10" borderId="27" xfId="0" applyNumberFormat="1" applyFont="1" applyFill="1" applyBorder="1" applyAlignment="1" applyProtection="1">
      <alignment horizontal="center" vertical="center"/>
      <protection locked="0"/>
    </xf>
    <xf numFmtId="0" fontId="114" fillId="28" borderId="0" xfId="0" applyFont="1" applyFill="1" applyAlignment="1">
      <alignment horizontal="center" vertical="center"/>
    </xf>
    <xf numFmtId="3" fontId="52" fillId="0" borderId="107" xfId="0" applyNumberFormat="1" applyFont="1" applyBorder="1" applyAlignment="1" applyProtection="1">
      <alignment horizontal="center" vertical="center"/>
      <protection hidden="1"/>
    </xf>
    <xf numFmtId="14" fontId="7" fillId="10" borderId="0" xfId="0" applyNumberFormat="1" applyFont="1" applyFill="1" applyAlignment="1" applyProtection="1">
      <alignment horizontal="left" vertical="center"/>
      <protection locked="0"/>
    </xf>
    <xf numFmtId="0" fontId="7" fillId="10" borderId="0" xfId="0" applyFont="1" applyFill="1" applyAlignment="1" applyProtection="1">
      <alignment horizontal="left" vertical="center"/>
      <protection locked="0"/>
    </xf>
    <xf numFmtId="0" fontId="5" fillId="0" borderId="0" xfId="0" applyFont="1" applyAlignment="1" applyProtection="1">
      <alignment horizontal="left"/>
      <protection hidden="1"/>
    </xf>
    <xf numFmtId="49" fontId="7" fillId="0" borderId="0" xfId="0" applyNumberFormat="1" applyFont="1" applyAlignment="1">
      <alignment horizontal="left" vertical="center"/>
    </xf>
    <xf numFmtId="0" fontId="16" fillId="0" borderId="0" xfId="0" applyFont="1" applyAlignment="1">
      <alignment horizontal="left"/>
    </xf>
    <xf numFmtId="3" fontId="16" fillId="3" borderId="141" xfId="0" applyNumberFormat="1" applyFont="1" applyFill="1" applyBorder="1" applyAlignment="1" applyProtection="1">
      <alignment horizontal="center" vertical="center"/>
      <protection hidden="1"/>
    </xf>
    <xf numFmtId="3" fontId="16" fillId="3" borderId="143" xfId="0" applyNumberFormat="1" applyFont="1" applyFill="1" applyBorder="1" applyAlignment="1" applyProtection="1">
      <alignment horizontal="center" vertical="center"/>
      <protection hidden="1"/>
    </xf>
    <xf numFmtId="3" fontId="16" fillId="0" borderId="122" xfId="0" applyNumberFormat="1" applyFont="1" applyBorder="1" applyAlignment="1">
      <alignment horizontal="center" vertical="center"/>
    </xf>
    <xf numFmtId="3" fontId="16" fillId="3" borderId="138" xfId="0" applyNumberFormat="1" applyFont="1" applyFill="1" applyBorder="1" applyAlignment="1" applyProtection="1">
      <alignment horizontal="center" vertical="center"/>
      <protection hidden="1"/>
    </xf>
    <xf numFmtId="3" fontId="16" fillId="3" borderId="140" xfId="0" applyNumberFormat="1" applyFont="1" applyFill="1" applyBorder="1" applyAlignment="1" applyProtection="1">
      <alignment horizontal="center" vertical="center"/>
      <protection hidden="1"/>
    </xf>
    <xf numFmtId="0" fontId="16" fillId="0" borderId="27" xfId="0" applyFont="1" applyBorder="1" applyAlignment="1">
      <alignment horizontal="left" vertical="center"/>
    </xf>
    <xf numFmtId="0" fontId="16" fillId="0" borderId="18" xfId="0" applyFont="1" applyBorder="1" applyAlignment="1">
      <alignment horizontal="left" vertical="center"/>
    </xf>
    <xf numFmtId="0" fontId="16" fillId="0" borderId="0" xfId="0" applyFont="1" applyAlignment="1">
      <alignment horizontal="left" vertical="center"/>
    </xf>
    <xf numFmtId="164" fontId="16" fillId="0" borderId="121" xfId="0" applyNumberFormat="1" applyFont="1" applyBorder="1" applyAlignment="1">
      <alignment horizontal="center" vertical="center"/>
    </xf>
    <xf numFmtId="0" fontId="10" fillId="0" borderId="0" xfId="0" applyFont="1" applyAlignment="1">
      <alignment horizontal="left"/>
    </xf>
    <xf numFmtId="0" fontId="29" fillId="0" borderId="0" xfId="0" applyFont="1" applyAlignment="1">
      <alignment horizontal="left"/>
    </xf>
    <xf numFmtId="3" fontId="15" fillId="0" borderId="130" xfId="0" applyNumberFormat="1" applyFont="1" applyBorder="1" applyAlignment="1" applyProtection="1">
      <alignment horizontal="center" vertical="center"/>
      <protection hidden="1"/>
    </xf>
    <xf numFmtId="3" fontId="15" fillId="0" borderId="129" xfId="0" applyNumberFormat="1" applyFont="1" applyBorder="1" applyAlignment="1" applyProtection="1">
      <alignment horizontal="center" vertical="center"/>
      <protection hidden="1"/>
    </xf>
    <xf numFmtId="0" fontId="111" fillId="28" borderId="28" xfId="0" applyFont="1" applyFill="1" applyBorder="1" applyAlignment="1" applyProtection="1">
      <alignment vertical="center"/>
      <protection hidden="1"/>
    </xf>
    <xf numFmtId="0" fontId="111" fillId="28" borderId="29" xfId="0" applyFont="1" applyFill="1" applyBorder="1" applyAlignment="1" applyProtection="1">
      <alignment vertical="center"/>
      <protection hidden="1"/>
    </xf>
    <xf numFmtId="0" fontId="111" fillId="28" borderId="30" xfId="0" applyFont="1" applyFill="1" applyBorder="1" applyAlignment="1" applyProtection="1">
      <alignment vertical="center"/>
      <protection hidden="1"/>
    </xf>
    <xf numFmtId="0" fontId="98" fillId="0" borderId="11" xfId="0" applyFont="1" applyBorder="1" applyAlignment="1">
      <alignment horizontal="left" vertical="center"/>
    </xf>
    <xf numFmtId="0" fontId="2" fillId="0" borderId="11" xfId="0" applyFont="1" applyBorder="1" applyAlignment="1">
      <alignment horizontal="left" vertical="center"/>
    </xf>
    <xf numFmtId="0" fontId="111" fillId="28" borderId="31" xfId="0" applyFont="1" applyFill="1" applyBorder="1" applyAlignment="1" applyProtection="1">
      <alignment vertical="center"/>
      <protection hidden="1"/>
    </xf>
    <xf numFmtId="0" fontId="111" fillId="28" borderId="11" xfId="0" applyFont="1" applyFill="1" applyBorder="1" applyAlignment="1" applyProtection="1">
      <alignment vertical="center"/>
      <protection hidden="1"/>
    </xf>
    <xf numFmtId="0" fontId="111" fillId="28" borderId="9" xfId="0" applyFont="1" applyFill="1" applyBorder="1" applyAlignment="1" applyProtection="1">
      <alignment vertical="center"/>
      <protection hidden="1"/>
    </xf>
    <xf numFmtId="0" fontId="98" fillId="0" borderId="109" xfId="0" applyFont="1" applyBorder="1" applyAlignment="1">
      <alignment horizontal="left" vertical="center"/>
    </xf>
    <xf numFmtId="0" fontId="7" fillId="12" borderId="192" xfId="0" applyFont="1" applyFill="1" applyBorder="1" applyAlignment="1">
      <alignment horizontal="center" vertical="center"/>
    </xf>
    <xf numFmtId="0" fontId="98" fillId="5" borderId="11" xfId="0" applyFont="1" applyFill="1" applyBorder="1" applyAlignment="1">
      <alignment horizontal="left" vertical="center"/>
    </xf>
    <xf numFmtId="0" fontId="2" fillId="5" borderId="11" xfId="0" applyFont="1" applyFill="1" applyBorder="1" applyAlignment="1">
      <alignment horizontal="left" vertical="center"/>
    </xf>
    <xf numFmtId="0" fontId="98" fillId="0" borderId="9" xfId="0" applyFont="1" applyBorder="1" applyAlignment="1">
      <alignment horizontal="left" vertical="center"/>
    </xf>
    <xf numFmtId="0" fontId="7" fillId="6" borderId="108" xfId="0" applyFont="1" applyFill="1" applyBorder="1" applyAlignment="1">
      <alignment vertical="center"/>
    </xf>
    <xf numFmtId="0" fontId="0" fillId="0" borderId="28" xfId="0" applyBorder="1" applyAlignment="1">
      <alignment vertical="center"/>
    </xf>
    <xf numFmtId="0" fontId="98" fillId="0" borderId="29" xfId="0" applyFont="1" applyBorder="1" applyAlignment="1">
      <alignment horizontal="left" vertical="center"/>
    </xf>
    <xf numFmtId="0" fontId="2" fillId="0" borderId="29" xfId="0" applyFont="1" applyBorder="1" applyAlignment="1">
      <alignment horizontal="left" vertical="center"/>
    </xf>
    <xf numFmtId="0" fontId="16" fillId="0" borderId="9" xfId="0" applyFont="1" applyBorder="1" applyAlignment="1">
      <alignment horizontal="left" vertical="center"/>
    </xf>
    <xf numFmtId="0" fontId="111" fillId="28" borderId="25" xfId="0" applyFont="1" applyFill="1" applyBorder="1" applyAlignment="1" applyProtection="1">
      <alignment horizontal="center" vertical="center"/>
      <protection locked="0"/>
    </xf>
    <xf numFmtId="0" fontId="111" fillId="28" borderId="12" xfId="0" applyFont="1" applyFill="1" applyBorder="1" applyAlignment="1" applyProtection="1">
      <alignment horizontal="center" vertical="center"/>
      <protection locked="0"/>
    </xf>
    <xf numFmtId="49" fontId="37" fillId="0" borderId="0" xfId="0" applyNumberFormat="1" applyFont="1" applyAlignment="1" applyProtection="1">
      <alignment horizontal="left"/>
      <protection locked="0"/>
    </xf>
    <xf numFmtId="0" fontId="111" fillId="28" borderId="119" xfId="0" applyFont="1" applyFill="1" applyBorder="1" applyAlignment="1">
      <alignment horizontal="center" vertical="center"/>
    </xf>
    <xf numFmtId="0" fontId="0" fillId="0" borderId="11" xfId="0" applyBorder="1" applyAlignment="1">
      <alignment horizontal="left" vertical="center"/>
    </xf>
    <xf numFmtId="0" fontId="16" fillId="0" borderId="109" xfId="0" applyFont="1" applyBorder="1" applyAlignment="1">
      <alignment horizontal="left" vertical="center"/>
    </xf>
    <xf numFmtId="0" fontId="0" fillId="0" borderId="109" xfId="0" applyBorder="1" applyAlignment="1">
      <alignment horizontal="left" vertical="center"/>
    </xf>
    <xf numFmtId="0" fontId="16" fillId="0" borderId="29" xfId="0" applyFont="1" applyBorder="1" applyAlignment="1" applyProtection="1">
      <alignment horizontal="left" vertical="center"/>
      <protection hidden="1"/>
    </xf>
    <xf numFmtId="0" fontId="16" fillId="0" borderId="30" xfId="0" applyFont="1" applyBorder="1" applyAlignment="1" applyProtection="1">
      <alignment horizontal="left" vertical="center"/>
      <protection hidden="1"/>
    </xf>
    <xf numFmtId="49" fontId="7" fillId="10" borderId="0" xfId="0" applyNumberFormat="1" applyFont="1" applyFill="1" applyAlignment="1" applyProtection="1">
      <alignment horizontal="left" vertical="center"/>
      <protection locked="0"/>
    </xf>
    <xf numFmtId="0" fontId="110" fillId="3" borderId="0" xfId="0" applyFont="1" applyFill="1" applyAlignment="1">
      <alignment horizontal="center"/>
    </xf>
    <xf numFmtId="0" fontId="35" fillId="3" borderId="0" xfId="0" applyFont="1" applyFill="1" applyAlignment="1">
      <alignment horizontal="center"/>
    </xf>
    <xf numFmtId="0" fontId="98" fillId="0" borderId="112" xfId="0" applyFont="1" applyBorder="1" applyAlignment="1">
      <alignment horizontal="left" vertical="center"/>
    </xf>
    <xf numFmtId="0" fontId="98" fillId="0" borderId="0" xfId="0" applyFont="1" applyAlignment="1">
      <alignment horizontal="center" vertical="center"/>
    </xf>
    <xf numFmtId="0" fontId="98" fillId="0" borderId="29" xfId="0" applyFont="1" applyBorder="1" applyAlignment="1">
      <alignment horizontal="center" vertical="center"/>
    </xf>
    <xf numFmtId="0" fontId="50" fillId="5" borderId="0" xfId="0" applyFont="1" applyFill="1" applyAlignment="1" applyProtection="1">
      <alignment horizontal="center" vertical="center"/>
      <protection locked="0"/>
    </xf>
    <xf numFmtId="0" fontId="121" fillId="0" borderId="0" xfId="0" applyFont="1" applyAlignment="1">
      <alignment horizontal="right"/>
    </xf>
    <xf numFmtId="0" fontId="119" fillId="0" borderId="0" xfId="0" applyFont="1" applyAlignment="1">
      <alignment horizontal="left"/>
    </xf>
    <xf numFmtId="0" fontId="15" fillId="0" borderId="0" xfId="0" applyFont="1" applyAlignment="1">
      <alignment horizontal="left" vertical="center"/>
    </xf>
    <xf numFmtId="0" fontId="0" fillId="0" borderId="0" xfId="0" applyAlignment="1">
      <alignment horizontal="center"/>
    </xf>
    <xf numFmtId="0" fontId="89" fillId="0" borderId="0" xfId="0" applyFont="1" applyAlignment="1">
      <alignment horizontal="center"/>
    </xf>
    <xf numFmtId="0" fontId="15" fillId="0" borderId="0" xfId="0" applyFont="1" applyAlignment="1">
      <alignment horizontal="right" vertical="center" indent="1"/>
    </xf>
    <xf numFmtId="0" fontId="82" fillId="8" borderId="0" xfId="0" applyFont="1" applyFill="1" applyAlignment="1">
      <alignment horizontal="center" vertical="center"/>
    </xf>
    <xf numFmtId="0" fontId="84" fillId="8" borderId="0" xfId="0" applyFont="1" applyFill="1" applyAlignment="1">
      <alignment horizontal="center" vertical="center"/>
    </xf>
    <xf numFmtId="0" fontId="123" fillId="0" borderId="136" xfId="0" applyFont="1" applyBorder="1" applyAlignment="1">
      <alignment horizontal="left" vertical="center"/>
    </xf>
    <xf numFmtId="0" fontId="123" fillId="0" borderId="134" xfId="0" applyFont="1" applyBorder="1" applyAlignment="1">
      <alignment horizontal="left" vertical="center"/>
    </xf>
    <xf numFmtId="0" fontId="123" fillId="0" borderId="137" xfId="0" applyFont="1" applyBorder="1" applyAlignment="1">
      <alignment horizontal="left" vertical="center"/>
    </xf>
    <xf numFmtId="0" fontId="7" fillId="8" borderId="0" xfId="0" applyFont="1" applyFill="1" applyAlignment="1" applyProtection="1">
      <alignment horizontal="left" vertical="center"/>
      <protection locked="0"/>
    </xf>
    <xf numFmtId="0" fontId="15" fillId="0" borderId="132" xfId="0" applyFont="1" applyBorder="1" applyAlignment="1">
      <alignment horizontal="center"/>
    </xf>
    <xf numFmtId="0" fontId="15" fillId="0" borderId="0" xfId="0" applyFont="1" applyAlignment="1">
      <alignment horizontal="center"/>
    </xf>
    <xf numFmtId="0" fontId="5" fillId="0" borderId="25" xfId="0" applyFont="1" applyBorder="1" applyAlignment="1">
      <alignment horizontal="center" vertical="center"/>
    </xf>
    <xf numFmtId="0" fontId="5" fillId="0" borderId="26" xfId="0" applyFont="1" applyBorder="1" applyAlignment="1">
      <alignment horizontal="center" vertical="center"/>
    </xf>
    <xf numFmtId="0" fontId="6" fillId="0" borderId="0" xfId="0" applyFont="1" applyAlignment="1">
      <alignment horizontal="left"/>
    </xf>
    <xf numFmtId="0" fontId="64" fillId="8" borderId="0" xfId="0" applyFont="1" applyFill="1" applyAlignment="1">
      <alignment horizontal="center" vertical="center"/>
    </xf>
    <xf numFmtId="14" fontId="7" fillId="0" borderId="0" xfId="0" applyNumberFormat="1" applyFont="1" applyAlignment="1">
      <alignment horizontal="left" vertical="top"/>
    </xf>
    <xf numFmtId="9" fontId="16" fillId="8" borderId="121" xfId="2" applyFont="1" applyFill="1" applyBorder="1" applyAlignment="1" applyProtection="1">
      <alignment horizontal="center" vertical="center"/>
      <protection locked="0"/>
    </xf>
    <xf numFmtId="0" fontId="15" fillId="0" borderId="111" xfId="0" applyFont="1" applyBorder="1" applyAlignment="1">
      <alignment horizontal="left" vertical="center"/>
    </xf>
    <xf numFmtId="0" fontId="16" fillId="31" borderId="111" xfId="0" applyFont="1" applyFill="1" applyBorder="1" applyAlignment="1" applyProtection="1">
      <alignment horizontal="left"/>
      <protection locked="0"/>
    </xf>
    <xf numFmtId="0" fontId="16" fillId="31" borderId="112" xfId="0" applyFont="1" applyFill="1" applyBorder="1" applyAlignment="1" applyProtection="1">
      <alignment horizontal="left"/>
      <protection locked="0"/>
    </xf>
    <xf numFmtId="0" fontId="16" fillId="31" borderId="113" xfId="0" applyFont="1" applyFill="1" applyBorder="1" applyAlignment="1" applyProtection="1">
      <alignment horizontal="left"/>
      <protection locked="0"/>
    </xf>
    <xf numFmtId="0" fontId="16" fillId="0" borderId="111" xfId="0" applyFont="1" applyBorder="1" applyAlignment="1">
      <alignment horizontal="left"/>
    </xf>
    <xf numFmtId="0" fontId="16" fillId="0" borderId="113" xfId="0" applyFont="1" applyBorder="1" applyAlignment="1">
      <alignment horizontal="left"/>
    </xf>
    <xf numFmtId="0" fontId="16" fillId="31" borderId="108" xfId="0" applyFont="1" applyFill="1" applyBorder="1" applyAlignment="1" applyProtection="1">
      <alignment horizontal="left"/>
      <protection locked="0"/>
    </xf>
    <xf numFmtId="0" fontId="16" fillId="31" borderId="110" xfId="0" applyFont="1" applyFill="1" applyBorder="1" applyAlignment="1" applyProtection="1">
      <alignment horizontal="left"/>
      <protection locked="0"/>
    </xf>
    <xf numFmtId="0" fontId="16" fillId="0" borderId="119" xfId="0" applyFont="1" applyBorder="1" applyAlignment="1">
      <alignment horizontal="left"/>
    </xf>
    <xf numFmtId="3" fontId="16" fillId="0" borderId="169" xfId="0" applyNumberFormat="1" applyFont="1" applyBorder="1" applyAlignment="1" applyProtection="1">
      <alignment horizontal="center" vertical="center"/>
      <protection hidden="1"/>
    </xf>
    <xf numFmtId="3" fontId="16" fillId="0" borderId="170" xfId="0" applyNumberFormat="1" applyFont="1" applyBorder="1" applyAlignment="1" applyProtection="1">
      <alignment horizontal="center" vertical="center"/>
      <protection hidden="1"/>
    </xf>
    <xf numFmtId="3" fontId="16" fillId="31" borderId="111" xfId="0" applyNumberFormat="1" applyFont="1" applyFill="1" applyBorder="1" applyAlignment="1" applyProtection="1">
      <alignment horizontal="center" vertical="center"/>
      <protection locked="0"/>
    </xf>
    <xf numFmtId="3" fontId="16" fillId="31" borderId="113" xfId="0" applyNumberFormat="1" applyFont="1" applyFill="1" applyBorder="1" applyAlignment="1" applyProtection="1">
      <alignment horizontal="center" vertical="center"/>
      <protection locked="0"/>
    </xf>
    <xf numFmtId="49" fontId="16" fillId="31" borderId="111" xfId="0" applyNumberFormat="1" applyFont="1" applyFill="1" applyBorder="1" applyAlignment="1" applyProtection="1">
      <alignment horizontal="left" vertical="center"/>
      <protection locked="0"/>
    </xf>
    <xf numFmtId="49" fontId="16" fillId="31" borderId="112" xfId="0" applyNumberFormat="1" applyFont="1" applyFill="1" applyBorder="1" applyAlignment="1" applyProtection="1">
      <alignment horizontal="left" vertical="center"/>
      <protection locked="0"/>
    </xf>
    <xf numFmtId="49" fontId="16" fillId="31" borderId="113" xfId="0" applyNumberFormat="1" applyFont="1" applyFill="1" applyBorder="1" applyAlignment="1" applyProtection="1">
      <alignment horizontal="left" vertical="center"/>
      <protection locked="0"/>
    </xf>
    <xf numFmtId="1" fontId="15" fillId="0" borderId="165" xfId="0" applyNumberFormat="1" applyFont="1" applyBorder="1" applyAlignment="1">
      <alignment horizontal="center" vertical="center"/>
    </xf>
    <xf numFmtId="1" fontId="15" fillId="0" borderId="166" xfId="0" applyNumberFormat="1" applyFont="1" applyBorder="1" applyAlignment="1">
      <alignment horizontal="center" vertical="center"/>
    </xf>
    <xf numFmtId="1" fontId="15" fillId="0" borderId="165" xfId="0" applyNumberFormat="1" applyFont="1" applyBorder="1" applyAlignment="1" applyProtection="1">
      <alignment horizontal="center" vertical="center"/>
      <protection hidden="1"/>
    </xf>
    <xf numFmtId="1" fontId="15" fillId="0" borderId="167" xfId="0" applyNumberFormat="1" applyFont="1" applyBorder="1" applyAlignment="1" applyProtection="1">
      <alignment horizontal="center" vertical="center"/>
      <protection hidden="1"/>
    </xf>
    <xf numFmtId="1" fontId="15" fillId="0" borderId="166" xfId="0" applyNumberFormat="1" applyFont="1" applyBorder="1" applyAlignment="1" applyProtection="1">
      <alignment horizontal="center" vertical="center"/>
      <protection hidden="1"/>
    </xf>
    <xf numFmtId="0" fontId="113" fillId="28" borderId="101" xfId="0" applyFont="1" applyFill="1" applyBorder="1" applyAlignment="1" applyProtection="1">
      <alignment horizontal="center"/>
      <protection hidden="1"/>
    </xf>
    <xf numFmtId="0" fontId="113" fillId="28" borderId="102" xfId="0" applyFont="1" applyFill="1" applyBorder="1" applyAlignment="1" applyProtection="1">
      <alignment horizontal="center"/>
      <protection hidden="1"/>
    </xf>
    <xf numFmtId="0" fontId="112" fillId="28" borderId="0" xfId="0" applyFont="1" applyFill="1" applyAlignment="1" applyProtection="1">
      <alignment horizontal="left" vertical="center"/>
      <protection hidden="1"/>
    </xf>
    <xf numFmtId="3" fontId="16" fillId="0" borderId="121" xfId="0" applyNumberFormat="1" applyFont="1" applyBorder="1" applyAlignment="1" applyProtection="1">
      <alignment horizontal="center"/>
      <protection hidden="1"/>
    </xf>
    <xf numFmtId="0" fontId="16" fillId="0" borderId="121" xfId="0" applyFont="1" applyBorder="1" applyAlignment="1" applyProtection="1">
      <alignment horizontal="left"/>
      <protection hidden="1"/>
    </xf>
    <xf numFmtId="0" fontId="16" fillId="0" borderId="121" xfId="0" applyFont="1" applyBorder="1" applyProtection="1">
      <protection hidden="1"/>
    </xf>
    <xf numFmtId="0" fontId="0" fillId="0" borderId="121" xfId="0" applyBorder="1"/>
    <xf numFmtId="0" fontId="16" fillId="6" borderId="27" xfId="0" applyFont="1" applyFill="1" applyBorder="1" applyAlignment="1">
      <alignment horizontal="left"/>
    </xf>
    <xf numFmtId="0" fontId="16" fillId="6" borderId="18" xfId="0" applyFont="1" applyFill="1" applyBorder="1" applyAlignment="1">
      <alignment horizontal="left"/>
    </xf>
    <xf numFmtId="0" fontId="16" fillId="8" borderId="175" xfId="0" applyFont="1" applyFill="1" applyBorder="1" applyAlignment="1" applyProtection="1">
      <alignment horizontal="center" vertical="center"/>
      <protection locked="0"/>
    </xf>
    <xf numFmtId="0" fontId="16" fillId="8" borderId="176" xfId="0" applyFont="1" applyFill="1" applyBorder="1" applyAlignment="1" applyProtection="1">
      <alignment horizontal="center" vertical="center"/>
      <protection locked="0"/>
    </xf>
    <xf numFmtId="0" fontId="16" fillId="8" borderId="177" xfId="0" applyFont="1" applyFill="1" applyBorder="1" applyAlignment="1" applyProtection="1">
      <alignment horizontal="center" vertical="center"/>
      <protection locked="0"/>
    </xf>
    <xf numFmtId="0" fontId="16" fillId="8" borderId="178" xfId="0" applyFont="1" applyFill="1" applyBorder="1" applyAlignment="1" applyProtection="1">
      <alignment horizontal="center" vertical="center"/>
      <protection locked="0"/>
    </xf>
    <xf numFmtId="0" fontId="16" fillId="6" borderId="0" xfId="0" applyFont="1" applyFill="1" applyAlignment="1">
      <alignment horizontal="left"/>
    </xf>
    <xf numFmtId="0" fontId="5" fillId="0" borderId="0" xfId="1" applyFont="1" applyAlignment="1" applyProtection="1">
      <alignment horizontal="left" vertical="center" wrapText="1"/>
      <protection hidden="1"/>
    </xf>
    <xf numFmtId="0" fontId="4" fillId="0" borderId="0" xfId="0" applyFont="1" applyAlignment="1">
      <alignment horizontal="left" vertical="center" wrapText="1"/>
    </xf>
    <xf numFmtId="0" fontId="92" fillId="0" borderId="0" xfId="1" applyFont="1" applyAlignment="1">
      <alignment wrapText="1"/>
      <protection locked="0"/>
    </xf>
    <xf numFmtId="0" fontId="92" fillId="0" borderId="0" xfId="1" applyFont="1" applyBorder="1" applyAlignment="1">
      <alignment wrapText="1"/>
      <protection locked="0"/>
    </xf>
    <xf numFmtId="9" fontId="16" fillId="8" borderId="122" xfId="2" applyFont="1" applyFill="1" applyBorder="1" applyAlignment="1" applyProtection="1">
      <alignment horizontal="center" vertical="center"/>
      <protection locked="0"/>
    </xf>
    <xf numFmtId="0" fontId="16" fillId="8" borderId="92" xfId="0" applyFont="1" applyFill="1" applyBorder="1" applyAlignment="1" applyProtection="1">
      <alignment horizontal="left" vertical="center" wrapText="1"/>
      <protection locked="0"/>
    </xf>
    <xf numFmtId="0" fontId="16" fillId="8" borderId="133" xfId="0" applyFont="1" applyFill="1" applyBorder="1" applyAlignment="1" applyProtection="1">
      <alignment horizontal="left" vertical="center" wrapText="1"/>
      <protection locked="0"/>
    </xf>
    <xf numFmtId="0" fontId="16" fillId="8" borderId="180" xfId="0" applyFont="1" applyFill="1" applyBorder="1" applyAlignment="1" applyProtection="1">
      <alignment horizontal="left" vertical="center" wrapText="1"/>
      <protection locked="0"/>
    </xf>
    <xf numFmtId="0" fontId="16" fillId="8" borderId="179" xfId="0" applyFont="1" applyFill="1" applyBorder="1" applyAlignment="1" applyProtection="1">
      <alignment horizontal="left" vertical="center" wrapText="1"/>
      <protection locked="0"/>
    </xf>
    <xf numFmtId="0" fontId="16" fillId="8" borderId="139" xfId="0" applyFont="1" applyFill="1" applyBorder="1" applyAlignment="1" applyProtection="1">
      <alignment horizontal="left" vertical="center" wrapText="1"/>
      <protection locked="0"/>
    </xf>
    <xf numFmtId="0" fontId="16" fillId="8" borderId="181" xfId="0" applyFont="1" applyFill="1" applyBorder="1" applyAlignment="1" applyProtection="1">
      <alignment horizontal="left" vertical="center" wrapText="1"/>
      <protection locked="0"/>
    </xf>
    <xf numFmtId="0" fontId="16" fillId="0" borderId="175" xfId="0" applyFont="1" applyBorder="1" applyAlignment="1" applyProtection="1">
      <alignment horizontal="left" vertical="center" wrapText="1" indent="1"/>
      <protection hidden="1"/>
    </xf>
    <xf numFmtId="0" fontId="16" fillId="0" borderId="194" xfId="0" applyFont="1" applyBorder="1" applyAlignment="1" applyProtection="1">
      <alignment horizontal="left" vertical="center" wrapText="1" indent="1"/>
      <protection hidden="1"/>
    </xf>
    <xf numFmtId="0" fontId="16" fillId="0" borderId="176" xfId="0" applyFont="1" applyBorder="1" applyAlignment="1" applyProtection="1">
      <alignment horizontal="left" vertical="center" wrapText="1" indent="1"/>
      <protection hidden="1"/>
    </xf>
    <xf numFmtId="0" fontId="16" fillId="0" borderId="177" xfId="0" applyFont="1" applyBorder="1" applyAlignment="1" applyProtection="1">
      <alignment horizontal="left" vertical="center" wrapText="1" indent="1"/>
      <protection hidden="1"/>
    </xf>
    <xf numFmtId="0" fontId="16" fillId="0" borderId="195" xfId="0" applyFont="1" applyBorder="1" applyAlignment="1" applyProtection="1">
      <alignment horizontal="left" vertical="center" wrapText="1" indent="1"/>
      <protection hidden="1"/>
    </xf>
    <xf numFmtId="0" fontId="16" fillId="0" borderId="178" xfId="0" applyFont="1" applyBorder="1" applyAlignment="1" applyProtection="1">
      <alignment horizontal="left" vertical="center" wrapText="1" indent="1"/>
      <protection hidden="1"/>
    </xf>
    <xf numFmtId="1" fontId="113" fillId="28" borderId="0" xfId="0" applyNumberFormat="1" applyFont="1" applyFill="1" applyAlignment="1">
      <alignment horizontal="center" vertical="center"/>
    </xf>
    <xf numFmtId="0" fontId="7" fillId="0" borderId="86" xfId="0" applyFont="1" applyBorder="1" applyAlignment="1">
      <alignment horizontal="left"/>
    </xf>
    <xf numFmtId="49" fontId="16" fillId="0" borderId="111" xfId="0" applyNumberFormat="1" applyFont="1" applyBorder="1" applyAlignment="1" applyProtection="1">
      <alignment horizontal="left" vertical="center"/>
      <protection hidden="1"/>
    </xf>
    <xf numFmtId="166" fontId="15" fillId="0" borderId="111" xfId="0" applyNumberFormat="1" applyFont="1" applyBorder="1" applyAlignment="1" applyProtection="1">
      <alignment horizontal="center" vertical="center"/>
      <protection hidden="1"/>
    </xf>
    <xf numFmtId="166" fontId="15" fillId="0" borderId="113" xfId="0" applyNumberFormat="1" applyFont="1" applyBorder="1" applyAlignment="1" applyProtection="1">
      <alignment horizontal="center" vertical="center"/>
      <protection hidden="1"/>
    </xf>
    <xf numFmtId="0" fontId="112" fillId="28" borderId="18" xfId="0" applyFont="1" applyFill="1" applyBorder="1" applyAlignment="1" applyProtection="1">
      <alignment horizontal="center" vertical="center"/>
      <protection hidden="1"/>
    </xf>
    <xf numFmtId="3" fontId="8" fillId="0" borderId="111" xfId="0" applyNumberFormat="1" applyFont="1" applyBorder="1" applyAlignment="1">
      <alignment horizontal="center" vertical="center"/>
    </xf>
    <xf numFmtId="3" fontId="8" fillId="0" borderId="113" xfId="0" applyNumberFormat="1" applyFont="1" applyBorder="1" applyAlignment="1">
      <alignment horizontal="center" vertical="center"/>
    </xf>
    <xf numFmtId="0" fontId="8" fillId="0" borderId="111" xfId="0" applyFont="1" applyBorder="1" applyAlignment="1">
      <alignment horizontal="center" vertical="center"/>
    </xf>
    <xf numFmtId="0" fontId="8" fillId="0" borderId="113" xfId="0" applyFont="1" applyBorder="1" applyAlignment="1">
      <alignment horizontal="center" vertical="center"/>
    </xf>
    <xf numFmtId="0" fontId="16" fillId="31" borderId="111" xfId="0" applyFont="1" applyFill="1" applyBorder="1" applyAlignment="1" applyProtection="1">
      <alignment horizontal="left" vertical="center"/>
      <protection locked="0"/>
    </xf>
    <xf numFmtId="0" fontId="16" fillId="31" borderId="113" xfId="0" applyFont="1" applyFill="1" applyBorder="1" applyAlignment="1" applyProtection="1">
      <alignment horizontal="left" vertical="center"/>
      <protection locked="0"/>
    </xf>
    <xf numFmtId="3" fontId="15" fillId="0" borderId="111" xfId="0" applyNumberFormat="1" applyFont="1" applyBorder="1" applyAlignment="1" applyProtection="1">
      <alignment horizontal="center" vertical="center"/>
      <protection hidden="1"/>
    </xf>
    <xf numFmtId="3" fontId="15" fillId="0" borderId="113" xfId="0" applyNumberFormat="1" applyFont="1" applyBorder="1" applyAlignment="1" applyProtection="1">
      <alignment horizontal="center" vertical="center"/>
      <protection hidden="1"/>
    </xf>
    <xf numFmtId="3" fontId="15" fillId="0" borderId="111" xfId="0" applyNumberFormat="1" applyFont="1" applyBorder="1" applyAlignment="1" applyProtection="1">
      <alignment horizontal="left" vertical="center"/>
      <protection hidden="1"/>
    </xf>
    <xf numFmtId="1" fontId="111" fillId="28" borderId="101" xfId="0" applyNumberFormat="1" applyFont="1" applyFill="1" applyBorder="1" applyAlignment="1">
      <alignment horizontal="center"/>
    </xf>
    <xf numFmtId="1" fontId="111" fillId="28" borderId="102" xfId="0" applyNumberFormat="1" applyFont="1" applyFill="1" applyBorder="1" applyAlignment="1">
      <alignment horizontal="center"/>
    </xf>
    <xf numFmtId="0" fontId="8" fillId="0" borderId="0" xfId="0" applyFont="1" applyAlignment="1">
      <alignment horizontal="right" wrapText="1"/>
    </xf>
    <xf numFmtId="0" fontId="16" fillId="31" borderId="112" xfId="0" applyFont="1" applyFill="1" applyBorder="1" applyAlignment="1" applyProtection="1">
      <alignment horizontal="left" vertical="center"/>
      <protection locked="0"/>
    </xf>
    <xf numFmtId="14" fontId="7" fillId="8" borderId="0" xfId="0" applyNumberFormat="1" applyFont="1" applyFill="1" applyAlignment="1" applyProtection="1">
      <alignment horizontal="left" vertical="center"/>
      <protection locked="0"/>
    </xf>
    <xf numFmtId="3" fontId="113" fillId="28" borderId="0" xfId="0" applyNumberFormat="1" applyFont="1" applyFill="1" applyAlignment="1" applyProtection="1">
      <alignment horizontal="center" vertical="center"/>
      <protection hidden="1"/>
    </xf>
    <xf numFmtId="3" fontId="15" fillId="0" borderId="171" xfId="0" applyNumberFormat="1" applyFont="1" applyBorder="1" applyAlignment="1" applyProtection="1">
      <alignment horizontal="center" vertical="center"/>
      <protection hidden="1"/>
    </xf>
    <xf numFmtId="3" fontId="15" fillId="0" borderId="172" xfId="0" applyNumberFormat="1" applyFont="1" applyBorder="1" applyAlignment="1" applyProtection="1">
      <alignment horizontal="center" vertical="center"/>
      <protection hidden="1"/>
    </xf>
    <xf numFmtId="3" fontId="15" fillId="6" borderId="169" xfId="0" applyNumberFormat="1" applyFont="1" applyFill="1" applyBorder="1" applyAlignment="1" applyProtection="1">
      <alignment horizontal="center" vertical="center"/>
      <protection hidden="1"/>
    </xf>
    <xf numFmtId="3" fontId="15" fillId="6" borderId="170" xfId="0" applyNumberFormat="1" applyFont="1" applyFill="1" applyBorder="1" applyAlignment="1" applyProtection="1">
      <alignment horizontal="center" vertical="center"/>
      <protection hidden="1"/>
    </xf>
    <xf numFmtId="0" fontId="15" fillId="0" borderId="174" xfId="0" applyFont="1" applyBorder="1" applyAlignment="1" applyProtection="1">
      <alignment horizontal="left" vertical="top" wrapText="1" indent="1"/>
      <protection hidden="1"/>
    </xf>
    <xf numFmtId="0" fontId="15" fillId="0" borderId="173" xfId="0" applyFont="1" applyBorder="1" applyAlignment="1" applyProtection="1">
      <alignment horizontal="left" vertical="top" wrapText="1" indent="1"/>
      <protection hidden="1"/>
    </xf>
    <xf numFmtId="0" fontId="15" fillId="0" borderId="172" xfId="0" applyFont="1" applyBorder="1" applyAlignment="1" applyProtection="1">
      <alignment horizontal="left" vertical="top" wrapText="1" indent="1"/>
      <protection hidden="1"/>
    </xf>
    <xf numFmtId="49" fontId="16" fillId="3" borderId="121" xfId="0" applyNumberFormat="1" applyFont="1" applyFill="1" applyBorder="1" applyAlignment="1" applyProtection="1">
      <alignment horizontal="left"/>
      <protection hidden="1"/>
    </xf>
    <xf numFmtId="0" fontId="15" fillId="0" borderId="112" xfId="0" applyFont="1" applyBorder="1" applyAlignment="1" applyProtection="1">
      <alignment horizontal="left" vertical="center"/>
      <protection hidden="1"/>
    </xf>
    <xf numFmtId="0" fontId="15" fillId="0" borderId="113" xfId="0" applyFont="1" applyBorder="1" applyAlignment="1" applyProtection="1">
      <alignment horizontal="left" vertical="center"/>
      <protection hidden="1"/>
    </xf>
    <xf numFmtId="0" fontId="15" fillId="6" borderId="112" xfId="0" applyFont="1" applyFill="1" applyBorder="1" applyAlignment="1" applyProtection="1">
      <alignment horizontal="left" vertical="center"/>
      <protection hidden="1"/>
    </xf>
    <xf numFmtId="0" fontId="0" fillId="0" borderId="112" xfId="0" applyBorder="1" applyAlignment="1">
      <alignment horizontal="left" vertical="center"/>
    </xf>
    <xf numFmtId="0" fontId="0" fillId="0" borderId="113" xfId="0" applyBorder="1" applyAlignment="1">
      <alignment horizontal="left" vertical="center"/>
    </xf>
    <xf numFmtId="0" fontId="15" fillId="6" borderId="168" xfId="0" applyFont="1" applyFill="1" applyBorder="1" applyAlignment="1" applyProtection="1">
      <alignment horizontal="left" vertical="center"/>
      <protection hidden="1"/>
    </xf>
    <xf numFmtId="0" fontId="0" fillId="0" borderId="168" xfId="0" applyBorder="1" applyAlignment="1">
      <alignment horizontal="left" vertical="center"/>
    </xf>
    <xf numFmtId="0" fontId="0" fillId="0" borderId="186" xfId="0" applyBorder="1" applyAlignment="1">
      <alignment horizontal="left" vertical="center"/>
    </xf>
    <xf numFmtId="0" fontId="113" fillId="28" borderId="105" xfId="0" applyFont="1" applyFill="1" applyBorder="1" applyAlignment="1" applyProtection="1">
      <alignment horizontal="center"/>
      <protection hidden="1"/>
    </xf>
    <xf numFmtId="1" fontId="111" fillId="28" borderId="103" xfId="0" applyNumberFormat="1" applyFont="1" applyFill="1" applyBorder="1" applyAlignment="1" applyProtection="1">
      <alignment horizontal="center"/>
      <protection hidden="1"/>
    </xf>
    <xf numFmtId="1" fontId="111" fillId="28" borderId="104" xfId="0" applyNumberFormat="1" applyFont="1" applyFill="1" applyBorder="1" applyAlignment="1" applyProtection="1">
      <alignment horizontal="center"/>
      <protection hidden="1"/>
    </xf>
    <xf numFmtId="1" fontId="111" fillId="28" borderId="105" xfId="0" applyNumberFormat="1" applyFont="1" applyFill="1" applyBorder="1" applyAlignment="1" applyProtection="1">
      <alignment horizontal="center"/>
      <protection hidden="1"/>
    </xf>
    <xf numFmtId="0" fontId="113" fillId="28" borderId="103" xfId="0" applyFont="1" applyFill="1" applyBorder="1" applyAlignment="1" applyProtection="1">
      <alignment horizontal="center"/>
      <protection hidden="1"/>
    </xf>
    <xf numFmtId="0" fontId="113" fillId="28" borderId="104" xfId="0" applyFont="1" applyFill="1" applyBorder="1" applyAlignment="1" applyProtection="1">
      <alignment horizontal="center"/>
      <protection hidden="1"/>
    </xf>
    <xf numFmtId="1" fontId="111" fillId="28" borderId="101" xfId="0" applyNumberFormat="1" applyFont="1" applyFill="1" applyBorder="1" applyAlignment="1" applyProtection="1">
      <alignment horizontal="center"/>
      <protection hidden="1"/>
    </xf>
    <xf numFmtId="3" fontId="15" fillId="0" borderId="173" xfId="0" applyNumberFormat="1" applyFont="1" applyBorder="1" applyAlignment="1" applyProtection="1">
      <alignment horizontal="center" vertical="center"/>
      <protection hidden="1"/>
    </xf>
    <xf numFmtId="3" fontId="15" fillId="0" borderId="169" xfId="0" applyNumberFormat="1" applyFont="1" applyBorder="1" applyAlignment="1" applyProtection="1">
      <alignment horizontal="center" vertical="center"/>
      <protection hidden="1"/>
    </xf>
    <xf numFmtId="3" fontId="15" fillId="0" borderId="170" xfId="0" applyNumberFormat="1" applyFont="1" applyBorder="1" applyAlignment="1" applyProtection="1">
      <alignment horizontal="center" vertical="center"/>
      <protection hidden="1"/>
    </xf>
    <xf numFmtId="164" fontId="16" fillId="8" borderId="169" xfId="0" applyNumberFormat="1" applyFont="1" applyFill="1" applyBorder="1" applyAlignment="1" applyProtection="1">
      <alignment horizontal="center" vertical="center"/>
      <protection locked="0"/>
    </xf>
    <xf numFmtId="164" fontId="16" fillId="8" borderId="170" xfId="0" applyNumberFormat="1" applyFont="1" applyFill="1" applyBorder="1" applyAlignment="1" applyProtection="1">
      <alignment horizontal="center" vertical="center"/>
      <protection locked="0"/>
    </xf>
    <xf numFmtId="164" fontId="98" fillId="0" borderId="169" xfId="0" applyNumberFormat="1" applyFont="1" applyBorder="1" applyAlignment="1" applyProtection="1">
      <alignment horizontal="center" vertical="center"/>
      <protection hidden="1"/>
    </xf>
    <xf numFmtId="164" fontId="98" fillId="0" borderId="170" xfId="0" applyNumberFormat="1" applyFont="1" applyBorder="1" applyAlignment="1" applyProtection="1">
      <alignment horizontal="center" vertical="center"/>
      <protection hidden="1"/>
    </xf>
    <xf numFmtId="3" fontId="15" fillId="6" borderId="188" xfId="0" applyNumberFormat="1" applyFont="1" applyFill="1" applyBorder="1" applyAlignment="1" applyProtection="1">
      <alignment horizontal="center" vertical="center"/>
      <protection hidden="1"/>
    </xf>
    <xf numFmtId="3" fontId="15" fillId="6" borderId="189" xfId="0" applyNumberFormat="1" applyFont="1" applyFill="1" applyBorder="1" applyAlignment="1" applyProtection="1">
      <alignment horizontal="center" vertical="center"/>
      <protection hidden="1"/>
    </xf>
    <xf numFmtId="1" fontId="15" fillId="0" borderId="183" xfId="0" applyNumberFormat="1" applyFont="1" applyBorder="1" applyAlignment="1" applyProtection="1">
      <alignment horizontal="center" vertical="center"/>
      <protection hidden="1"/>
    </xf>
    <xf numFmtId="164" fontId="16" fillId="8" borderId="111" xfId="0" applyNumberFormat="1" applyFont="1" applyFill="1" applyBorder="1" applyAlignment="1" applyProtection="1">
      <alignment horizontal="center" vertical="center"/>
      <protection locked="0"/>
    </xf>
    <xf numFmtId="164" fontId="16" fillId="8" borderId="113" xfId="0" applyNumberFormat="1" applyFont="1" applyFill="1" applyBorder="1" applyAlignment="1" applyProtection="1">
      <alignment horizontal="center" vertical="center"/>
      <protection locked="0"/>
    </xf>
    <xf numFmtId="0" fontId="7" fillId="0" borderId="0" xfId="0" applyFont="1" applyAlignment="1">
      <alignment horizontal="left" vertical="center"/>
    </xf>
    <xf numFmtId="0" fontId="65" fillId="0" borderId="0" xfId="0" applyFont="1" applyAlignment="1">
      <alignment horizontal="center" vertical="center"/>
    </xf>
    <xf numFmtId="3" fontId="15" fillId="6" borderId="111" xfId="0" applyNumberFormat="1" applyFont="1" applyFill="1" applyBorder="1" applyAlignment="1" applyProtection="1">
      <alignment horizontal="center" vertical="center"/>
      <protection hidden="1"/>
    </xf>
    <xf numFmtId="3" fontId="15" fillId="6" borderId="113" xfId="0" applyNumberFormat="1" applyFont="1" applyFill="1" applyBorder="1" applyAlignment="1" applyProtection="1">
      <alignment horizontal="center" vertical="center"/>
      <protection hidden="1"/>
    </xf>
    <xf numFmtId="3" fontId="52" fillId="0" borderId="111" xfId="0" applyNumberFormat="1" applyFont="1" applyBorder="1" applyAlignment="1" applyProtection="1">
      <alignment horizontal="center" vertical="center"/>
      <protection hidden="1"/>
    </xf>
    <xf numFmtId="3" fontId="52" fillId="0" borderId="113" xfId="0" applyNumberFormat="1" applyFont="1" applyBorder="1" applyAlignment="1" applyProtection="1">
      <alignment horizontal="center" vertical="center"/>
      <protection hidden="1"/>
    </xf>
    <xf numFmtId="0" fontId="0" fillId="0" borderId="0" xfId="0" applyAlignment="1">
      <alignment horizontal="left" vertical="center"/>
    </xf>
    <xf numFmtId="0" fontId="15" fillId="0" borderId="136" xfId="0" applyFont="1" applyBorder="1" applyAlignment="1">
      <alignment horizontal="left"/>
    </xf>
    <xf numFmtId="0" fontId="15" fillId="0" borderId="134" xfId="0" applyFont="1" applyBorder="1" applyAlignment="1">
      <alignment horizontal="left"/>
    </xf>
    <xf numFmtId="0" fontId="16" fillId="0" borderId="136" xfId="0" applyFont="1" applyBorder="1" applyAlignment="1">
      <alignment horizontal="left"/>
    </xf>
    <xf numFmtId="0" fontId="16" fillId="0" borderId="134" xfId="0" applyFont="1" applyBorder="1" applyAlignment="1">
      <alignment horizontal="left"/>
    </xf>
    <xf numFmtId="0" fontId="107" fillId="28" borderId="110" xfId="3" applyFont="1" applyFill="1" applyBorder="1" applyAlignment="1">
      <alignment horizontal="center" vertical="center" wrapText="1"/>
    </xf>
    <xf numFmtId="0" fontId="107" fillId="28" borderId="30" xfId="3" applyFont="1" applyFill="1" applyBorder="1" applyAlignment="1">
      <alignment horizontal="center" vertical="center" wrapText="1"/>
    </xf>
    <xf numFmtId="0" fontId="101" fillId="28" borderId="80" xfId="3" applyFont="1" applyFill="1" applyBorder="1" applyAlignment="1">
      <alignment horizontal="center" wrapText="1"/>
    </xf>
    <xf numFmtId="0" fontId="100" fillId="28" borderId="82" xfId="0" applyFont="1" applyFill="1" applyBorder="1" applyAlignment="1">
      <alignment horizontal="center" wrapText="1"/>
    </xf>
    <xf numFmtId="0" fontId="0" fillId="28" borderId="82" xfId="0" applyFill="1" applyBorder="1" applyAlignment="1">
      <alignment horizontal="center" wrapText="1"/>
    </xf>
    <xf numFmtId="0" fontId="107" fillId="28" borderId="110" xfId="3" applyFont="1" applyFill="1" applyBorder="1" applyAlignment="1">
      <alignment horizontal="center" vertical="center"/>
    </xf>
    <xf numFmtId="0" fontId="107" fillId="28" borderId="30" xfId="3" applyFont="1" applyFill="1" applyBorder="1" applyAlignment="1">
      <alignment horizontal="center" vertical="center"/>
    </xf>
    <xf numFmtId="0" fontId="7" fillId="5" borderId="0" xfId="0" applyFont="1" applyFill="1" applyAlignment="1">
      <alignment horizontal="center" vertical="center"/>
    </xf>
    <xf numFmtId="0" fontId="79" fillId="0" borderId="0" xfId="3" applyFont="1" applyAlignment="1">
      <alignment horizontal="center" vertical="center"/>
    </xf>
    <xf numFmtId="0" fontId="107" fillId="28" borderId="114" xfId="3" applyFont="1" applyFill="1" applyBorder="1" applyAlignment="1">
      <alignment horizontal="center" vertical="center"/>
    </xf>
    <xf numFmtId="0" fontId="107" fillId="28" borderId="55" xfId="3" applyFont="1" applyFill="1" applyBorder="1" applyAlignment="1">
      <alignment horizontal="center" vertical="center"/>
    </xf>
    <xf numFmtId="0" fontId="101" fillId="28" borderId="82" xfId="3" applyFont="1" applyFill="1" applyBorder="1" applyAlignment="1">
      <alignment horizontal="center" wrapText="1"/>
    </xf>
    <xf numFmtId="0" fontId="88" fillId="0" borderId="0" xfId="0" applyFont="1" applyAlignment="1" applyProtection="1">
      <alignment horizontal="center"/>
      <protection locked="0"/>
    </xf>
    <xf numFmtId="0" fontId="7" fillId="0" borderId="108" xfId="0" applyFont="1" applyBorder="1" applyAlignment="1">
      <alignment horizontal="center"/>
    </xf>
    <xf numFmtId="0" fontId="7" fillId="0" borderId="109" xfId="0" applyFont="1" applyBorder="1" applyAlignment="1">
      <alignment horizontal="center"/>
    </xf>
    <xf numFmtId="0" fontId="7" fillId="0" borderId="110" xfId="0" applyFont="1" applyBorder="1" applyAlignment="1">
      <alignment horizontal="center"/>
    </xf>
    <xf numFmtId="0" fontId="7" fillId="0" borderId="116" xfId="0" applyFont="1" applyBorder="1" applyAlignment="1" applyProtection="1">
      <alignment horizontal="right"/>
      <protection hidden="1"/>
    </xf>
    <xf numFmtId="0" fontId="7" fillId="0" borderId="109" xfId="0" applyFont="1" applyBorder="1" applyAlignment="1" applyProtection="1">
      <alignment horizontal="center"/>
      <protection hidden="1"/>
    </xf>
    <xf numFmtId="0" fontId="7" fillId="0" borderId="110" xfId="0" applyFont="1" applyBorder="1" applyAlignment="1" applyProtection="1">
      <alignment horizontal="center"/>
      <protection hidden="1"/>
    </xf>
    <xf numFmtId="0" fontId="7" fillId="0" borderId="0" xfId="0" applyFont="1" applyAlignment="1" applyProtection="1">
      <alignment horizontal="center"/>
      <protection hidden="1"/>
    </xf>
    <xf numFmtId="0" fontId="7" fillId="0" borderId="56" xfId="0" applyFont="1" applyBorder="1" applyAlignment="1" applyProtection="1">
      <alignment horizontal="center" vertical="center"/>
      <protection hidden="1"/>
    </xf>
    <xf numFmtId="0" fontId="7" fillId="0" borderId="62" xfId="0" applyFont="1" applyBorder="1" applyAlignment="1" applyProtection="1">
      <alignment horizontal="center" vertical="center"/>
      <protection hidden="1"/>
    </xf>
    <xf numFmtId="3" fontId="7" fillId="6" borderId="13" xfId="0" applyNumberFormat="1" applyFont="1" applyFill="1" applyBorder="1" applyAlignment="1" applyProtection="1">
      <alignment horizontal="center"/>
      <protection hidden="1"/>
    </xf>
    <xf numFmtId="1" fontId="0" fillId="0" borderId="38" xfId="0" applyNumberFormat="1" applyBorder="1" applyAlignment="1">
      <alignment horizontal="center"/>
    </xf>
    <xf numFmtId="1" fontId="0" fillId="0" borderId="5" xfId="0" applyNumberFormat="1" applyBorder="1" applyAlignment="1">
      <alignment horizontal="center"/>
    </xf>
    <xf numFmtId="0" fontId="4" fillId="0" borderId="0" xfId="0" applyFont="1" applyAlignment="1">
      <alignment horizontal="center"/>
    </xf>
    <xf numFmtId="3" fontId="7" fillId="6" borderId="51" xfId="0" applyNumberFormat="1" applyFont="1" applyFill="1" applyBorder="1" applyAlignment="1" applyProtection="1">
      <alignment horizontal="center"/>
      <protection hidden="1"/>
    </xf>
    <xf numFmtId="3" fontId="7" fillId="6" borderId="47" xfId="0" applyNumberFormat="1" applyFont="1" applyFill="1" applyBorder="1" applyAlignment="1" applyProtection="1">
      <alignment horizontal="center"/>
      <protection hidden="1"/>
    </xf>
    <xf numFmtId="1" fontId="7" fillId="0" borderId="38" xfId="0" applyNumberFormat="1" applyFont="1" applyBorder="1" applyAlignment="1">
      <alignment horizontal="center"/>
    </xf>
    <xf numFmtId="1" fontId="7" fillId="0" borderId="5" xfId="0" applyNumberFormat="1" applyFont="1" applyBorder="1" applyAlignment="1">
      <alignment horizontal="center"/>
    </xf>
    <xf numFmtId="0" fontId="16" fillId="0" borderId="68" xfId="0" applyFont="1" applyBorder="1" applyAlignment="1" applyProtection="1">
      <alignment horizontal="left"/>
      <protection hidden="1"/>
    </xf>
    <xf numFmtId="0" fontId="16" fillId="0" borderId="65" xfId="0" applyFont="1" applyBorder="1" applyAlignment="1" applyProtection="1">
      <alignment horizontal="left"/>
      <protection hidden="1"/>
    </xf>
    <xf numFmtId="0" fontId="16" fillId="0" borderId="66" xfId="0" applyFont="1" applyBorder="1" applyAlignment="1" applyProtection="1">
      <alignment horizontal="left"/>
      <protection hidden="1"/>
    </xf>
    <xf numFmtId="0" fontId="15" fillId="0" borderId="68" xfId="0" applyFont="1" applyBorder="1" applyAlignment="1" applyProtection="1">
      <alignment horizontal="left"/>
      <protection hidden="1"/>
    </xf>
    <xf numFmtId="0" fontId="15" fillId="0" borderId="65" xfId="0" applyFont="1" applyBorder="1" applyAlignment="1" applyProtection="1">
      <alignment horizontal="left"/>
      <protection hidden="1"/>
    </xf>
    <xf numFmtId="0" fontId="15" fillId="0" borderId="66" xfId="0" applyFont="1" applyBorder="1" applyAlignment="1" applyProtection="1">
      <alignment horizontal="left"/>
      <protection hidden="1"/>
    </xf>
    <xf numFmtId="2" fontId="6" fillId="9" borderId="78" xfId="0" applyNumberFormat="1" applyFont="1" applyFill="1" applyBorder="1" applyAlignment="1" applyProtection="1">
      <alignment horizontal="center"/>
      <protection hidden="1"/>
    </xf>
    <xf numFmtId="2" fontId="6" fillId="9" borderId="27" xfId="0" applyNumberFormat="1" applyFont="1" applyFill="1" applyBorder="1" applyAlignment="1" applyProtection="1">
      <alignment horizontal="center"/>
      <protection hidden="1"/>
    </xf>
  </cellXfs>
  <cellStyles count="5">
    <cellStyle name="Hyperlinkki" xfId="1" builtinId="8"/>
    <cellStyle name="Normaali" xfId="0" builtinId="0"/>
    <cellStyle name="Normaali 2" xfId="3" xr:uid="{00000000-0005-0000-0000-000002000000}"/>
    <cellStyle name="Normaali 3" xfId="4" xr:uid="{B6306334-D8CF-4ACF-9526-087806A2BCE7}"/>
    <cellStyle name="Prosenttia" xfId="2" builtinId="5"/>
  </cellStyles>
  <dxfs count="40">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9" defaultPivotStyle="PivotStyleLight16"/>
  <colors>
    <mruColors>
      <color rgb="FFFFFFCC"/>
      <color rgb="FF004990"/>
      <color rgb="FFFFFF66"/>
      <color rgb="FF9CB243"/>
      <color rgb="FF0152A1"/>
      <color rgb="FFFFFF99"/>
      <color rgb="FF99CCFF"/>
      <color rgb="FFFF9900"/>
      <color rgb="FF1A3C6D"/>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latin typeface="Arial" panose="020B0604020202020204" pitchFamily="34" charset="0"/>
                <a:cs typeface="Arial" panose="020B0604020202020204" pitchFamily="34" charset="0"/>
              </a:rPr>
              <a:t>Liikevaihto</a:t>
            </a:r>
            <a:r>
              <a:rPr lang="fi-FI" sz="1200" b="1" baseline="0">
                <a:latin typeface="Arial" panose="020B0604020202020204" pitchFamily="34" charset="0"/>
                <a:cs typeface="Arial" panose="020B0604020202020204" pitchFamily="34" charset="0"/>
              </a:rPr>
              <a:t> ja käyttöpääoma/henkilö </a:t>
            </a:r>
          </a:p>
          <a:p>
            <a:pPr>
              <a:defRPr/>
            </a:pPr>
            <a:r>
              <a:rPr lang="fi-FI" sz="1200" b="1" baseline="0">
                <a:latin typeface="Arial" panose="020B0604020202020204" pitchFamily="34" charset="0"/>
                <a:cs typeface="Arial" panose="020B0604020202020204" pitchFamily="34" charset="0"/>
              </a:rPr>
              <a:t>(1000 €)</a:t>
            </a:r>
            <a:endParaRPr lang="fi-FI" sz="1200" b="1">
              <a:latin typeface="Arial" panose="020B0604020202020204" pitchFamily="34" charset="0"/>
              <a:cs typeface="Arial" panose="020B0604020202020204" pitchFamily="34" charset="0"/>
            </a:endParaRPr>
          </a:p>
        </c:rich>
      </c:tx>
      <c:layout>
        <c:manualLayout>
          <c:xMode val="edge"/>
          <c:yMode val="edge"/>
          <c:x val="0.4361075268817203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 1000 €</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2021</c:v>
                </c:pt>
                <c:pt idx="1">
                  <c:v>2022</c:v>
                </c:pt>
                <c:pt idx="2" formatCode="0">
                  <c:v>2025</c:v>
                </c:pt>
                <c:pt idx="3" formatCode="0">
                  <c:v>2026</c:v>
                </c:pt>
                <c:pt idx="4" formatCode="0">
                  <c:v>2027</c:v>
                </c:pt>
              </c:numCache>
            </c:numRef>
          </c:cat>
          <c:val>
            <c:numRef>
              <c:f>'6 Kaaviot'!$B$10:$F$10</c:f>
              <c:numCache>
                <c:formatCode>0.0</c:formatCode>
                <c:ptCount val="5"/>
                <c:pt idx="0" formatCode="#\ ##0.0\ &quot;€&quot;">
                  <c:v>0</c:v>
                </c:pt>
                <c:pt idx="1">
                  <c:v>0</c:v>
                </c:pt>
                <c:pt idx="2" formatCode="#\ ##0.0\ &quot;€&quot;">
                  <c:v>0</c:v>
                </c:pt>
                <c:pt idx="3" formatCode="#\ ##0.0\ &quot;€&quot;">
                  <c:v>0</c:v>
                </c:pt>
                <c:pt idx="4" formatCode="#\ ##0.0\ &quot;€&quot;">
                  <c:v>0</c:v>
                </c:pt>
              </c:numCache>
            </c:numRef>
          </c:val>
          <c:extLst>
            <c:ext xmlns:c16="http://schemas.microsoft.com/office/drawing/2014/chart" uri="{C3380CC4-5D6E-409C-BE32-E72D297353CC}">
              <c16:uniqueId val="{00000000-7D0E-405E-81F3-9D5F5E244BD1}"/>
            </c:ext>
          </c:extLst>
        </c:ser>
        <c:ser>
          <c:idx val="1"/>
          <c:order val="1"/>
          <c:tx>
            <c:v>Käyttöpääoma/henkilö 1000 €</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2021</c:v>
                </c:pt>
                <c:pt idx="1">
                  <c:v>2022</c:v>
                </c:pt>
                <c:pt idx="2" formatCode="0">
                  <c:v>2025</c:v>
                </c:pt>
                <c:pt idx="3" formatCode="0">
                  <c:v>2026</c:v>
                </c:pt>
                <c:pt idx="4" formatCode="0">
                  <c:v>2027</c:v>
                </c:pt>
              </c:numCache>
            </c:numRef>
          </c:cat>
          <c:val>
            <c:numRef>
              <c:f>'6 Kaaviot'!$B$11:$F$11</c:f>
              <c:numCache>
                <c:formatCode>#\ ##0.0\ "€"</c:formatCode>
                <c:ptCount val="5"/>
                <c:pt idx="0">
                  <c:v>0</c:v>
                </c:pt>
                <c:pt idx="1">
                  <c:v>0</c:v>
                </c:pt>
                <c:pt idx="2">
                  <c:v>0</c:v>
                </c:pt>
                <c:pt idx="3">
                  <c:v>0</c:v>
                </c:pt>
                <c:pt idx="4">
                  <c:v>0</c:v>
                </c:pt>
              </c:numCache>
            </c:numRef>
          </c:val>
          <c:extLst>
            <c:ext xmlns:c16="http://schemas.microsoft.com/office/drawing/2014/chart" uri="{C3380CC4-5D6E-409C-BE32-E72D297353CC}">
              <c16:uniqueId val="{00000001-7D0E-405E-81F3-9D5F5E244BD1}"/>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ayout>
        <c:manualLayout>
          <c:xMode val="edge"/>
          <c:yMode val="edge"/>
          <c:x val="0.21981814773153355"/>
          <c:y val="0.89375218722659666"/>
          <c:w val="0.62529876947199781"/>
          <c:h val="7.384040536599591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r>
              <a:rPr lang="fi-FI" sz="1200" b="1" i="0" baseline="0">
                <a:solidFill>
                  <a:sysClr val="windowText" lastClr="000000"/>
                </a:solidFill>
                <a:effectLst/>
                <a:latin typeface="Arial" panose="020B0604020202020204" pitchFamily="34" charset="0"/>
                <a:cs typeface="Arial" panose="020B0604020202020204" pitchFamily="34" charset="0"/>
              </a:rPr>
              <a:t>Käyttökate-%</a:t>
            </a:r>
            <a:endParaRPr lang="fi-FI" sz="1200">
              <a:solidFill>
                <a:sysClr val="windowText" lastClr="000000"/>
              </a:solidFill>
              <a:effectLst/>
              <a:latin typeface="Arial" panose="020B0604020202020204" pitchFamily="34" charset="0"/>
              <a:cs typeface="Arial" panose="020B0604020202020204" pitchFamily="34" charset="0"/>
            </a:endParaRPr>
          </a:p>
        </c:rich>
      </c:tx>
      <c:layout>
        <c:manualLayout>
          <c:xMode val="edge"/>
          <c:yMode val="edge"/>
          <c:x val="0.48278048158553044"/>
          <c:y val="3.4696406443618343E-2"/>
        </c:manualLayout>
      </c:layout>
      <c:overlay val="0"/>
      <c:spPr>
        <a:noFill/>
        <a:ln>
          <a:noFill/>
        </a:ln>
        <a:effectLst/>
      </c:spPr>
      <c:txPr>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endParaRPr lang="fi-FI"/>
        </a:p>
      </c:txPr>
    </c:title>
    <c:autoTitleDeleted val="0"/>
    <c:plotArea>
      <c:layout>
        <c:manualLayout>
          <c:layoutTarget val="inner"/>
          <c:xMode val="edge"/>
          <c:yMode val="edge"/>
          <c:x val="0.10101538444762787"/>
          <c:y val="0.2287869795170076"/>
          <c:w val="0.88383801554664765"/>
          <c:h val="0.62214484495970668"/>
        </c:manualLayout>
      </c:layout>
      <c:barChart>
        <c:barDir val="col"/>
        <c:grouping val="clustered"/>
        <c:varyColors val="0"/>
        <c:ser>
          <c:idx val="2"/>
          <c:order val="2"/>
          <c:tx>
            <c:v>Käyttökate-%</c:v>
          </c:tx>
          <c:spPr>
            <a:solidFill>
              <a:schemeClr val="accent3"/>
            </a:solidFill>
            <a:ln>
              <a:noFill/>
            </a:ln>
            <a:effectLst/>
          </c:spPr>
          <c:invertIfNegative val="0"/>
          <c:dLbls>
            <c:dLbl>
              <c:idx val="0"/>
              <c:layout>
                <c:manualLayout>
                  <c:x val="-2.0472497540534662E-17"/>
                  <c:y val="4.8824751924596782E-3"/>
                </c:manualLayout>
              </c:layout>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80A-45E7-B44A-9EE0F48076BB}"/>
                </c:ext>
              </c:extLst>
            </c:dLbl>
            <c:dLbl>
              <c:idx val="2"/>
              <c:layout>
                <c:manualLayout>
                  <c:x val="-2.2333891680625349E-3"/>
                  <c:y val="9.6673789382270624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80A-45E7-B44A-9EE0F48076BB}"/>
                </c:ext>
              </c:extLst>
            </c:dLbl>
            <c:dLbl>
              <c:idx val="3"/>
              <c:layout>
                <c:manualLayout>
                  <c:x val="0"/>
                  <c:y val="5.97952376562247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80A-45E7-B44A-9EE0F48076BB}"/>
                </c:ext>
              </c:extLst>
            </c:dLbl>
            <c:dLbl>
              <c:idx val="4"/>
              <c:layout>
                <c:manualLayout>
                  <c:x val="-1.6385221859560228E-16"/>
                  <c:y val="1.09831444958990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80A-45E7-B44A-9EE0F48076BB}"/>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f>'6 Kaaviot'!$B$16:$F$16</c:f>
              <c:numCache>
                <c:formatCode>General</c:formatCode>
                <c:ptCount val="5"/>
                <c:pt idx="0">
                  <c:v>2021</c:v>
                </c:pt>
                <c:pt idx="1">
                  <c:v>2022</c:v>
                </c:pt>
                <c:pt idx="2" formatCode="0">
                  <c:v>2025</c:v>
                </c:pt>
                <c:pt idx="3" formatCode="0">
                  <c:v>2026</c:v>
                </c:pt>
                <c:pt idx="4" formatCode="0">
                  <c:v>2027</c:v>
                </c:pt>
              </c:numCache>
              <c:extLst/>
            </c:numRef>
          </c:cat>
          <c:val>
            <c:numRef>
              <c:f>'6 Kaaviot'!$B$17:$F$17</c:f>
              <c:numCache>
                <c:formatCode>0.0\ %</c:formatCode>
                <c:ptCount val="5"/>
                <c:pt idx="0">
                  <c:v>0</c:v>
                </c:pt>
                <c:pt idx="1">
                  <c:v>0</c:v>
                </c:pt>
                <c:pt idx="2">
                  <c:v>0</c:v>
                </c:pt>
                <c:pt idx="3">
                  <c:v>0</c:v>
                </c:pt>
                <c:pt idx="4">
                  <c:v>0</c:v>
                </c:pt>
              </c:numCache>
              <c:extLst/>
            </c:numRef>
          </c:val>
          <c:extLst>
            <c:ext xmlns:c16="http://schemas.microsoft.com/office/drawing/2014/chart" uri="{C3380CC4-5D6E-409C-BE32-E72D297353CC}">
              <c16:uniqueId val="{00000002-580A-45E7-B44A-9EE0F48076BB}"/>
            </c:ext>
          </c:extLst>
        </c:ser>
        <c:dLbls>
          <c:dLblPos val="inEnd"/>
          <c:showLegendKey val="0"/>
          <c:showVal val="1"/>
          <c:showCatName val="0"/>
          <c:showSerName val="0"/>
          <c:showPercent val="0"/>
          <c:showBubbleSize val="0"/>
        </c:dLbls>
        <c:gapWidth val="267"/>
        <c:overlap val="-43"/>
        <c:axId val="340136464"/>
        <c:axId val="27135088"/>
        <c:extLst>
          <c:ext xmlns:c15="http://schemas.microsoft.com/office/drawing/2012/chart" uri="{02D57815-91ED-43cb-92C2-25804820EDAC}">
            <c15:filteredBarSeries>
              <c15:ser>
                <c:idx val="0"/>
                <c:order val="0"/>
                <c:tx>
                  <c:v>Ainekäyttö-%</c:v>
                </c:tx>
                <c:spPr>
                  <a:solidFill>
                    <a:schemeClr val="accent1"/>
                  </a:solidFill>
                  <a:ln>
                    <a:noFill/>
                  </a:ln>
                  <a:effectLst/>
                </c:spPr>
                <c:invertIfNegative val="0"/>
                <c:dLbls>
                  <c:dLbl>
                    <c:idx val="0"/>
                    <c:layout>
                      <c:manualLayout>
                        <c:x val="0"/>
                        <c:y val="-7.4154299485753046E-5"/>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2-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5-580A-45E7-B44A-9EE0F48076BB}"/>
                      </c:ext>
                    </c:extLst>
                  </c:dLbl>
                  <c:dLbl>
                    <c:idx val="2"/>
                    <c:layout>
                      <c:manualLayout>
                        <c:x val="0"/>
                        <c:y val="1.0137256802362827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8-580A-45E7-B44A-9EE0F48076BB}"/>
                      </c:ext>
                    </c:extLst>
                  </c:dLbl>
                  <c:dLbl>
                    <c:idx val="3"/>
                    <c:layout>
                      <c:manualLayout>
                        <c:x val="-2.2343742467783667E-3"/>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A-580A-45E7-B44A-9EE0F48076BB}"/>
                      </c:ext>
                    </c:extLst>
                  </c:dLbl>
                  <c:dLbl>
                    <c:idx val="4"/>
                    <c:layout>
                      <c:manualLayout>
                        <c:x val="-1.6385221859560228E-16"/>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C-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c:ext uri="{02D57815-91ED-43cb-92C2-25804820EDAC}">
                        <c15:formulaRef>
                          <c15:sqref>'6 Kaaviot'!$B$16:$F$16</c15:sqref>
                        </c15:formulaRef>
                      </c:ext>
                    </c:extLst>
                    <c:numCache>
                      <c:formatCode>General</c:formatCode>
                      <c:ptCount val="5"/>
                      <c:pt idx="0">
                        <c:v>2021</c:v>
                      </c:pt>
                      <c:pt idx="1">
                        <c:v>2022</c:v>
                      </c:pt>
                      <c:pt idx="2" formatCode="0">
                        <c:v>2025</c:v>
                      </c:pt>
                      <c:pt idx="3" formatCode="0">
                        <c:v>2026</c:v>
                      </c:pt>
                      <c:pt idx="4" formatCode="0">
                        <c:v>2027</c:v>
                      </c:pt>
                    </c:numCache>
                  </c:numRef>
                </c:cat>
                <c:val>
                  <c:numRef>
                    <c:extLst>
                      <c:ext uri="{02D57815-91ED-43cb-92C2-25804820EDAC}">
                        <c15:formulaRef>
                          <c15:sqref>Kaaviot!#REF!</c15:sqref>
                        </c15:formulaRef>
                      </c:ext>
                    </c:extLst>
                    <c:numCache>
                      <c:formatCode>General</c:formatCode>
                      <c:ptCount val="1"/>
                      <c:pt idx="0">
                        <c:v>1</c:v>
                      </c:pt>
                    </c:numCache>
                  </c:numRef>
                </c:val>
                <c:extLst>
                  <c:ext xmlns:c16="http://schemas.microsoft.com/office/drawing/2014/chart" uri="{C3380CC4-5D6E-409C-BE32-E72D297353CC}">
                    <c16:uniqueId val="{00000000-580A-45E7-B44A-9EE0F48076BB}"/>
                  </c:ext>
                </c:extLst>
              </c15:ser>
            </c15:filteredBarSeries>
            <c15:filteredBarSeries>
              <c15:ser>
                <c:idx val="1"/>
                <c:order val="1"/>
                <c:tx>
                  <c:v>Henkilökulu-%</c:v>
                </c:tx>
                <c:spPr>
                  <a:solidFill>
                    <a:schemeClr val="accent2"/>
                  </a:solidFill>
                  <a:ln>
                    <a:noFill/>
                  </a:ln>
                  <a:effectLst/>
                </c:spPr>
                <c:invertIfNegative val="0"/>
                <c:dLbls>
                  <c:dLbl>
                    <c:idx val="0"/>
                    <c:layout>
                      <c:manualLayout>
                        <c:x val="-2.0472497540534662E-17"/>
                        <c:y val="-7.4154299485843916E-5"/>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580A-45E7-B44A-9EE0F48076BB}"/>
                      </c:ext>
                    </c:extLst>
                  </c:dLbl>
                  <c:dLbl>
                    <c:idx val="1"/>
                    <c:layout>
                      <c:manualLayout>
                        <c:x val="2.2333891680625349E-3"/>
                        <c:y val="9.6673789382270624E-4"/>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6-580A-45E7-B44A-9EE0F48076BB}"/>
                      </c:ext>
                    </c:extLst>
                  </c:dLbl>
                  <c:dLbl>
                    <c:idx val="2"/>
                    <c:layout>
                      <c:manualLayout>
                        <c:x val="-2.2327444455207718E-3"/>
                        <c:y val="5.8395267124583816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E-580A-45E7-B44A-9EE0F48076BB}"/>
                      </c:ext>
                    </c:extLst>
                  </c:dLbl>
                  <c:dLbl>
                    <c:idx val="3"/>
                    <c:layout>
                      <c:manualLayout>
                        <c:x val="8.1866350608693472E-17"/>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F-580A-45E7-B44A-9EE0F48076BB}"/>
                      </c:ext>
                    </c:extLst>
                  </c:dLbl>
                  <c:dLbl>
                    <c:idx val="4"/>
                    <c:layout>
                      <c:manualLayout>
                        <c:x val="-2.2327444455207718E-3"/>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0-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'6 Kaaviot'!$B$16:$F$16</c15:sqref>
                        </c15:formulaRef>
                      </c:ext>
                    </c:extLst>
                    <c:numCache>
                      <c:formatCode>General</c:formatCode>
                      <c:ptCount val="5"/>
                      <c:pt idx="0">
                        <c:v>2021</c:v>
                      </c:pt>
                      <c:pt idx="1">
                        <c:v>2022</c:v>
                      </c:pt>
                      <c:pt idx="2" formatCode="0">
                        <c:v>2025</c:v>
                      </c:pt>
                      <c:pt idx="3" formatCode="0">
                        <c:v>2026</c:v>
                      </c:pt>
                      <c:pt idx="4" formatCode="0">
                        <c:v>2027</c:v>
                      </c:pt>
                    </c:numCache>
                  </c:numRef>
                </c:cat>
                <c:val>
                  <c:numRef>
                    <c:extLst xmlns:c15="http://schemas.microsoft.com/office/drawing/2012/chart">
                      <c:ext xmlns:c15="http://schemas.microsoft.com/office/drawing/2012/chart" uri="{02D57815-91ED-43cb-92C2-25804820EDAC}">
                        <c15:formulaRef>
                          <c15:sqref>'6 Kaaviot'!$B$22:$F$22</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1-580A-45E7-B44A-9EE0F48076BB}"/>
                  </c:ext>
                </c:extLst>
              </c15:ser>
            </c15:filteredBarSeries>
          </c:ext>
        </c:extLst>
      </c:barChart>
      <c:catAx>
        <c:axId val="340136464"/>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fi-FI"/>
          </a:p>
        </c:txPr>
        <c:crossAx val="27135088"/>
        <c:crosses val="autoZero"/>
        <c:auto val="1"/>
        <c:lblAlgn val="ctr"/>
        <c:lblOffset val="100"/>
        <c:noMultiLvlLbl val="0"/>
      </c:catAx>
      <c:valAx>
        <c:axId val="27135088"/>
        <c:scaling>
          <c:orientation val="minMax"/>
        </c:scaling>
        <c:delete val="0"/>
        <c:axPos val="l"/>
        <c:majorGridlines>
          <c:spPr>
            <a:ln w="9525" cap="flat" cmpd="sng" algn="ctr">
              <a:solidFill>
                <a:schemeClr val="dk1">
                  <a:lumMod val="15000"/>
                  <a:lumOff val="85000"/>
                </a:schemeClr>
              </a:solidFill>
              <a:round/>
            </a:ln>
            <a:effectLst/>
          </c:spPr>
        </c:majorGridlines>
        <c:numFmt formatCode="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fi-FI"/>
          </a:p>
        </c:txPr>
        <c:crossAx val="340136464"/>
        <c:crosses val="autoZero"/>
        <c:crossBetween val="between"/>
      </c:valAx>
      <c:spPr>
        <a:solidFill>
          <a:schemeClr val="bg1">
            <a:lumMod val="95000"/>
          </a:schemeClr>
        </a:soli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6.9778918420180414E-2"/>
          <c:y val="9.8027603963953172E-2"/>
          <c:w val="0.87544077719057456"/>
          <c:h val="0.7771028722624248"/>
        </c:manualLayout>
      </c:layout>
      <c:barChart>
        <c:barDir val="col"/>
        <c:grouping val="clustered"/>
        <c:varyColors val="0"/>
        <c:ser>
          <c:idx val="0"/>
          <c:order val="0"/>
          <c:tx>
            <c:strRef>
              <c:f>'4. Kassabudjetti'!$C$56</c:f>
              <c:strCache>
                <c:ptCount val="1"/>
                <c:pt idx="0">
                  <c:v> TULOT - MENOT</c:v>
                </c:pt>
              </c:strCache>
            </c:strRef>
          </c:tx>
          <c:spPr>
            <a:solidFill>
              <a:schemeClr val="accent5">
                <a:tint val="77000"/>
              </a:schemeClr>
            </a:solidFill>
            <a:ln>
              <a:noFill/>
            </a:ln>
            <a:effectLst/>
          </c:spPr>
          <c:invertIfNegative val="0"/>
          <c:cat>
            <c:numRef>
              <c:f>'4. Kassabudjetti'!$G$6:$R$6</c:f>
              <c:numCache>
                <c:formatCode>mmm\-yy</c:formatCode>
                <c:ptCount val="12"/>
                <c:pt idx="0">
                  <c:v>45292</c:v>
                </c:pt>
                <c:pt idx="1">
                  <c:v>45323</c:v>
                </c:pt>
                <c:pt idx="2">
                  <c:v>45354</c:v>
                </c:pt>
                <c:pt idx="3">
                  <c:v>45385</c:v>
                </c:pt>
                <c:pt idx="4">
                  <c:v>45416</c:v>
                </c:pt>
                <c:pt idx="5">
                  <c:v>45447</c:v>
                </c:pt>
                <c:pt idx="6">
                  <c:v>45478</c:v>
                </c:pt>
                <c:pt idx="7">
                  <c:v>45509</c:v>
                </c:pt>
                <c:pt idx="8">
                  <c:v>45540</c:v>
                </c:pt>
                <c:pt idx="9">
                  <c:v>45571</c:v>
                </c:pt>
                <c:pt idx="10">
                  <c:v>45602</c:v>
                </c:pt>
                <c:pt idx="11">
                  <c:v>45633</c:v>
                </c:pt>
              </c:numCache>
            </c:numRef>
          </c:cat>
          <c:val>
            <c:numRef>
              <c:f>'4. Kassabudjetti'!$G$56:$R$56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C02-44D3-9583-EFEE0E34CBD1}"/>
            </c:ext>
          </c:extLst>
        </c:ser>
        <c:ser>
          <c:idx val="1"/>
          <c:order val="1"/>
          <c:tx>
            <c:strRef>
              <c:f>'4. Kassabudjetti'!$C$57</c:f>
              <c:strCache>
                <c:ptCount val="1"/>
                <c:pt idx="0">
                  <c:v> KASSA KUUKAUDEN LOPUSSA</c:v>
                </c:pt>
              </c:strCache>
            </c:strRef>
          </c:tx>
          <c:spPr>
            <a:solidFill>
              <a:schemeClr val="accent2"/>
            </a:solidFill>
            <a:ln>
              <a:noFill/>
            </a:ln>
            <a:effectLst/>
          </c:spPr>
          <c:invertIfNegative val="0"/>
          <c:cat>
            <c:numRef>
              <c:f>'4. Kassabudjetti'!$G$6:$R$6</c:f>
              <c:numCache>
                <c:formatCode>mmm\-yy</c:formatCode>
                <c:ptCount val="12"/>
                <c:pt idx="0">
                  <c:v>45292</c:v>
                </c:pt>
                <c:pt idx="1">
                  <c:v>45323</c:v>
                </c:pt>
                <c:pt idx="2">
                  <c:v>45354</c:v>
                </c:pt>
                <c:pt idx="3">
                  <c:v>45385</c:v>
                </c:pt>
                <c:pt idx="4">
                  <c:v>45416</c:v>
                </c:pt>
                <c:pt idx="5">
                  <c:v>45447</c:v>
                </c:pt>
                <c:pt idx="6">
                  <c:v>45478</c:v>
                </c:pt>
                <c:pt idx="7">
                  <c:v>45509</c:v>
                </c:pt>
                <c:pt idx="8">
                  <c:v>45540</c:v>
                </c:pt>
                <c:pt idx="9">
                  <c:v>45571</c:v>
                </c:pt>
                <c:pt idx="10">
                  <c:v>45602</c:v>
                </c:pt>
                <c:pt idx="11">
                  <c:v>45633</c:v>
                </c:pt>
              </c:numCache>
            </c:numRef>
          </c:cat>
          <c:val>
            <c:numRef>
              <c:f>'4. Kassabudjetti'!$G$57:$R$57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C02-44D3-9583-EFEE0E34CBD1}"/>
            </c:ext>
          </c:extLst>
        </c:ser>
        <c:dLbls>
          <c:showLegendKey val="0"/>
          <c:showVal val="0"/>
          <c:showCatName val="0"/>
          <c:showSerName val="0"/>
          <c:showPercent val="0"/>
          <c:showBubbleSize val="0"/>
        </c:dLbls>
        <c:gapWidth val="150"/>
        <c:axId val="686050848"/>
        <c:axId val="686044864"/>
      </c:barChart>
      <c:dateAx>
        <c:axId val="686050848"/>
        <c:scaling>
          <c:orientation val="minMax"/>
        </c:scaling>
        <c:delete val="0"/>
        <c:axPos val="b"/>
        <c:numFmt formatCode="mmm\-yy"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44864"/>
        <c:crosses val="autoZero"/>
        <c:auto val="1"/>
        <c:lblOffset val="100"/>
        <c:baseTimeUnit val="months"/>
      </c:dateAx>
      <c:valAx>
        <c:axId val="686044864"/>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50848"/>
        <c:crosses val="autoZero"/>
        <c:crossBetween val="between"/>
      </c:valAx>
      <c:spPr>
        <a:solidFill>
          <a:schemeClr val="bg1">
            <a:lumMod val="95000"/>
          </a:schemeClr>
        </a:solidFill>
        <a:ln>
          <a:noFill/>
        </a:ln>
        <a:effectLst/>
      </c:spPr>
    </c:plotArea>
    <c:legend>
      <c:legendPos val="b"/>
      <c:legendEntry>
        <c:idx val="0"/>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legendEntry>
        <c:idx val="1"/>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overlay val="0"/>
      <c:spPr>
        <a:solidFill>
          <a:schemeClr val="bg1">
            <a:lumMod val="95000"/>
          </a:schemeClr>
        </a:solidFill>
        <a:ln>
          <a:noFill/>
        </a:ln>
        <a:effectLst>
          <a:outerShdw blurRad="50800" dist="50800" dir="5400000" algn="ctr" rotWithShape="0">
            <a:srgbClr val="000000">
              <a:alpha val="0"/>
            </a:srgbClr>
          </a:outerShdw>
        </a:effectLst>
      </c:spPr>
      <c:txPr>
        <a:bodyPr rot="0" spcFirstLastPara="1" vertOverflow="ellipsis" vert="horz" wrap="square" anchor="ctr" anchorCtr="1"/>
        <a:lstStyle/>
        <a:p>
          <a:pPr>
            <a:defRPr sz="165" b="0" i="0" u="none" strike="noStrike" kern="1200" baseline="0">
              <a:solidFill>
                <a:srgbClr val="000000"/>
              </a:solidFill>
              <a:latin typeface="Calibri"/>
              <a:ea typeface="Calibri"/>
              <a:cs typeface="Calibri"/>
            </a:defRPr>
          </a:pPr>
          <a:endParaRPr lang="fi-FI"/>
        </a:p>
      </c:txPr>
    </c:legend>
    <c:plotVisOnly val="1"/>
    <c:dispBlanksAs val="gap"/>
    <c:showDLblsOverMax val="0"/>
  </c:chart>
  <c:spPr>
    <a:solidFill>
      <a:schemeClr val="tx2">
        <a:lumMod val="20000"/>
        <a:lumOff val="80000"/>
      </a:schemeClr>
    </a:solidFill>
    <a:ln w="9525" cap="flat" cmpd="sng" algn="ctr">
      <a:solidFill>
        <a:schemeClr val="tx1">
          <a:tint val="75000"/>
          <a:shade val="95000"/>
          <a:satMod val="10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fi-FI"/>
    </a:p>
  </c:txPr>
  <c:printSettings>
    <c:headerFooter alignWithMargins="0"/>
    <c:pageMargins b="1" l="0.75000000000000022" r="0.75000000000000022" t="1" header="0.49212598450000011" footer="0.49212598450000011"/>
    <c:pageSetup paperSize="9" orientation="landscape" horizontalDpi="300" verticalDpi="300"/>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57323972323972328"/>
          <c:y val="2.3148148148148147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title>
    <c:autoTitleDeleted val="0"/>
    <c:plotArea>
      <c:layout/>
      <c:barChart>
        <c:barDir val="col"/>
        <c:grouping val="clustered"/>
        <c:varyColors val="0"/>
        <c:ser>
          <c:idx val="0"/>
          <c:order val="0"/>
          <c:tx>
            <c:v>Käyttökate-%</c:v>
          </c:tx>
          <c:spPr>
            <a:solidFill>
              <a:schemeClr val="accent1"/>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Kaaviot'!$B$31:$F$31</c:f>
              <c:numCache>
                <c:formatCode>General</c:formatCode>
                <c:ptCount val="5"/>
                <c:pt idx="0">
                  <c:v>2021</c:v>
                </c:pt>
                <c:pt idx="1">
                  <c:v>2022</c:v>
                </c:pt>
                <c:pt idx="2" formatCode="0">
                  <c:v>2025</c:v>
                </c:pt>
                <c:pt idx="3" formatCode="0">
                  <c:v>2026</c:v>
                </c:pt>
                <c:pt idx="4" formatCode="0">
                  <c:v>2027</c:v>
                </c:pt>
              </c:numCache>
            </c:numRef>
          </c:cat>
          <c:val>
            <c:numRef>
              <c:f>'6 Kaaviot'!$B$32:$F$32</c:f>
              <c:numCache>
                <c:formatCode>0.0\ %</c:formatCode>
                <c:ptCount val="5"/>
                <c:pt idx="0">
                  <c:v>0</c:v>
                </c:pt>
                <c:pt idx="1">
                  <c:v>0</c:v>
                </c:pt>
                <c:pt idx="2">
                  <c:v>0</c:v>
                </c:pt>
                <c:pt idx="3">
                  <c:v>0</c:v>
                </c:pt>
                <c:pt idx="4">
                  <c:v>0</c:v>
                </c:pt>
              </c:numCache>
            </c:numRef>
          </c:val>
          <c:extLst>
            <c:ext xmlns:c16="http://schemas.microsoft.com/office/drawing/2014/chart" uri="{C3380CC4-5D6E-409C-BE32-E72D297353CC}">
              <c16:uniqueId val="{00000000-1358-4713-B7C7-2ACE58D157BF}"/>
            </c:ext>
          </c:extLst>
        </c:ser>
        <c:dLbls>
          <c:showLegendKey val="0"/>
          <c:showVal val="0"/>
          <c:showCatName val="0"/>
          <c:showSerName val="0"/>
          <c:showPercent val="0"/>
          <c:showBubbleSize val="0"/>
        </c:dLbls>
        <c:gapWidth val="219"/>
        <c:overlap val="-27"/>
        <c:axId val="719824592"/>
        <c:axId val="719825904"/>
      </c:barChart>
      <c:catAx>
        <c:axId val="719824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5904"/>
        <c:crosses val="autoZero"/>
        <c:auto val="1"/>
        <c:lblAlgn val="ctr"/>
        <c:lblOffset val="100"/>
        <c:noMultiLvlLbl val="0"/>
      </c:catAx>
      <c:valAx>
        <c:axId val="719825904"/>
        <c:scaling>
          <c:orientation val="minMax"/>
        </c:scaling>
        <c:delete val="0"/>
        <c:axPos val="l"/>
        <c:majorGridlines>
          <c:spPr>
            <a:ln w="9525" cap="flat" cmpd="sng" algn="ctr">
              <a:solidFill>
                <a:schemeClr val="tx1">
                  <a:lumMod val="15000"/>
                  <a:lumOff val="85000"/>
                </a:schemeClr>
              </a:solidFill>
              <a:round/>
            </a:ln>
            <a:effectLst/>
          </c:spPr>
        </c:majorGridlines>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4592"/>
        <c:crosses val="autoZero"/>
        <c:crossBetween val="between"/>
      </c:valAx>
      <c:spPr>
        <a:solidFill>
          <a:schemeClr val="bg1">
            <a:lumMod val="95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latin typeface="Arial" panose="020B0604020202020204" pitchFamily="34" charset="0"/>
                <a:cs typeface="Arial" panose="020B0604020202020204" pitchFamily="34" charset="0"/>
              </a:rPr>
              <a:t>Liikevaihto</a:t>
            </a:r>
            <a:r>
              <a:rPr lang="fi-FI" sz="1200" b="1" baseline="0">
                <a:latin typeface="Arial" panose="020B0604020202020204" pitchFamily="34" charset="0"/>
                <a:cs typeface="Arial" panose="020B0604020202020204" pitchFamily="34" charset="0"/>
              </a:rPr>
              <a:t> ja käyttöpääoma/henkilö </a:t>
            </a:r>
          </a:p>
          <a:p>
            <a:pPr>
              <a:defRPr/>
            </a:pPr>
            <a:r>
              <a:rPr lang="fi-FI" sz="1200" b="1" baseline="0">
                <a:latin typeface="Arial" panose="020B0604020202020204" pitchFamily="34" charset="0"/>
                <a:cs typeface="Arial" panose="020B0604020202020204" pitchFamily="34" charset="0"/>
              </a:rPr>
              <a:t>(1000 €)</a:t>
            </a:r>
            <a:endParaRPr lang="fi-FI" sz="1200" b="1">
              <a:latin typeface="Arial" panose="020B0604020202020204" pitchFamily="34" charset="0"/>
              <a:cs typeface="Arial" panose="020B0604020202020204" pitchFamily="34" charset="0"/>
            </a:endParaRPr>
          </a:p>
        </c:rich>
      </c:tx>
      <c:layout>
        <c:manualLayout>
          <c:xMode val="edge"/>
          <c:yMode val="edge"/>
          <c:x val="0.47690722411228587"/>
          <c:y val="2.318640955004591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2021</c:v>
                </c:pt>
                <c:pt idx="1">
                  <c:v>2022</c:v>
                </c:pt>
                <c:pt idx="2" formatCode="0">
                  <c:v>2025</c:v>
                </c:pt>
                <c:pt idx="3" formatCode="0">
                  <c:v>2026</c:v>
                </c:pt>
                <c:pt idx="4" formatCode="0">
                  <c:v>2027</c:v>
                </c:pt>
              </c:numCache>
            </c:numRef>
          </c:cat>
          <c:val>
            <c:numRef>
              <c:f>'6 Kaaviot'!$B$27:$F$27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AC9A-44C2-957B-87540DB53C0E}"/>
            </c:ext>
          </c:extLst>
        </c:ser>
        <c:ser>
          <c:idx val="1"/>
          <c:order val="1"/>
          <c:tx>
            <c:v>Liikevaihto ja käyttöpääoma/henkilö</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2021</c:v>
                </c:pt>
                <c:pt idx="1">
                  <c:v>2022</c:v>
                </c:pt>
                <c:pt idx="2" formatCode="0">
                  <c:v>2025</c:v>
                </c:pt>
                <c:pt idx="3" formatCode="0">
                  <c:v>2026</c:v>
                </c:pt>
                <c:pt idx="4" formatCode="0">
                  <c:v>2027</c:v>
                </c:pt>
              </c:numCache>
            </c:numRef>
          </c:cat>
          <c:val>
            <c:numRef>
              <c:f>'6 Kaaviot'!$B$28:$F$28</c:f>
              <c:numCache>
                <c:formatCode>#\ ##0.0</c:formatCode>
                <c:ptCount val="5"/>
                <c:pt idx="0">
                  <c:v>0</c:v>
                </c:pt>
                <c:pt idx="1">
                  <c:v>0</c:v>
                </c:pt>
                <c:pt idx="2">
                  <c:v>0</c:v>
                </c:pt>
                <c:pt idx="3">
                  <c:v>0</c:v>
                </c:pt>
                <c:pt idx="4">
                  <c:v>0</c:v>
                </c:pt>
              </c:numCache>
            </c:numRef>
          </c:val>
          <c:extLst>
            <c:ext xmlns:c16="http://schemas.microsoft.com/office/drawing/2014/chart" uri="{C3380CC4-5D6E-409C-BE32-E72D297353CC}">
              <c16:uniqueId val="{00000001-AC9A-44C2-957B-87540DB53C0E}"/>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egendEntry>
        <c:idx val="0"/>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5">
  <a:schemeClr val="accent5"/>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Kustannukset Y1'!A1"/><Relationship Id="rId7" Type="http://schemas.openxmlformats.org/officeDocument/2006/relationships/image" Target="../media/image4.jpe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3.jpeg"/><Relationship Id="rId5" Type="http://schemas.openxmlformats.org/officeDocument/2006/relationships/image" Target="../media/image2.png"/><Relationship Id="rId4" Type="http://schemas.openxmlformats.org/officeDocument/2006/relationships/hyperlink" Target="#'Kustannukset K1'!A1"/></Relationships>
</file>

<file path=xl/drawings/_rels/drawing10.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15.jpeg"/><Relationship Id="rId1" Type="http://schemas.openxmlformats.org/officeDocument/2006/relationships/image" Target="../media/image14.jpeg"/><Relationship Id="rId6" Type="http://schemas.openxmlformats.org/officeDocument/2006/relationships/hyperlink" Target="#'4. Kassabudjetti'!A1"/><Relationship Id="rId5" Type="http://schemas.openxmlformats.org/officeDocument/2006/relationships/hyperlink" Target="#'Rahoitus Y3'!A1"/><Relationship Id="rId4" Type="http://schemas.openxmlformats.org/officeDocument/2006/relationships/hyperlink" Target="#'Kustannukset Y1'!A1"/></Relationships>
</file>

<file path=xl/drawings/_rels/drawing11.xml.rels><?xml version="1.0" encoding="UTF-8" standalone="yes"?>
<Relationships xmlns="http://schemas.openxmlformats.org/package/2006/relationships"><Relationship Id="rId8" Type="http://schemas.openxmlformats.org/officeDocument/2006/relationships/hyperlink" Target="#Toimialatiedot!A1"/><Relationship Id="rId3" Type="http://schemas.openxmlformats.org/officeDocument/2006/relationships/chart" Target="../charts/chart5.xml"/><Relationship Id="rId7" Type="http://schemas.openxmlformats.org/officeDocument/2006/relationships/hyperlink" Target="#'4. Kassabudjetti'!A1"/><Relationship Id="rId2" Type="http://schemas.openxmlformats.org/officeDocument/2006/relationships/chart" Target="../charts/chart4.xml"/><Relationship Id="rId1" Type="http://schemas.openxmlformats.org/officeDocument/2006/relationships/image" Target="../media/image17.jpeg"/><Relationship Id="rId6" Type="http://schemas.openxmlformats.org/officeDocument/2006/relationships/hyperlink" Target="#'Myynti Y2'!A1"/><Relationship Id="rId5" Type="http://schemas.openxmlformats.org/officeDocument/2006/relationships/hyperlink" Target="#'Kustannukset Y1'!A1"/><Relationship Id="rId4" Type="http://schemas.openxmlformats.org/officeDocument/2006/relationships/image" Target="../media/image18.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Rahoitus K3'!A1"/><Relationship Id="rId1" Type="http://schemas.openxmlformats.org/officeDocument/2006/relationships/hyperlink" Target="#'Rahoitus Y3'!A1"/><Relationship Id="rId4" Type="http://schemas.openxmlformats.org/officeDocument/2006/relationships/image" Target="../media/image20.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1.emf"/></Relationships>
</file>

<file path=xl/drawings/_rels/drawing2.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hyperlink" Target="#'Myynti K2'!A1"/><Relationship Id="rId1" Type="http://schemas.openxmlformats.org/officeDocument/2006/relationships/image" Target="../media/image5.jpeg"/><Relationship Id="rId4" Type="http://schemas.openxmlformats.org/officeDocument/2006/relationships/hyperlink" Target="#'4. Kassabudjetti'!A1"/></Relationships>
</file>

<file path=xl/drawings/_rels/drawing3.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 Id="rId6" Type="http://schemas.openxmlformats.org/officeDocument/2006/relationships/hyperlink" Target="#'4. Kassabudjetti'!A1"/><Relationship Id="rId5" Type="http://schemas.openxmlformats.org/officeDocument/2006/relationships/hyperlink" Target="#'Rahoitus K3'!A1"/><Relationship Id="rId4" Type="http://schemas.openxmlformats.org/officeDocument/2006/relationships/hyperlink" Target="#'Kustannukset K1'!A1"/></Relationships>
</file>

<file path=xl/drawings/_rels/drawing4.xml.rels><?xml version="1.0" encoding="UTF-8" standalone="yes"?>
<Relationships xmlns="http://schemas.openxmlformats.org/package/2006/relationships"><Relationship Id="rId3" Type="http://schemas.openxmlformats.org/officeDocument/2006/relationships/image" Target="../media/image9.jpeg"/><Relationship Id="rId7" Type="http://schemas.openxmlformats.org/officeDocument/2006/relationships/hyperlink" Target="#Toimialatiedot!A1"/><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4. Kassabudjetti'!A1"/><Relationship Id="rId5" Type="http://schemas.openxmlformats.org/officeDocument/2006/relationships/hyperlink" Target="#'Myynti K2'!A1"/><Relationship Id="rId4" Type="http://schemas.openxmlformats.org/officeDocument/2006/relationships/hyperlink" Target="#'Kustannukset K1'!A1"/></Relationships>
</file>

<file path=xl/drawings/_rels/drawing6.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chart" Target="../charts/chart3.xml"/><Relationship Id="rId5" Type="http://schemas.openxmlformats.org/officeDocument/2006/relationships/hyperlink" Target="#'Rahoitus Y3'!A1"/><Relationship Id="rId4" Type="http://schemas.openxmlformats.org/officeDocument/2006/relationships/hyperlink" Target="#'Rahoitus K3'!A1"/></Relationships>
</file>

<file path=xl/drawings/_rels/drawing8.xml.rels><?xml version="1.0" encoding="UTF-8" standalone="yes"?>
<Relationships xmlns="http://schemas.openxmlformats.org/package/2006/relationships"><Relationship Id="rId3" Type="http://schemas.openxmlformats.org/officeDocument/2006/relationships/hyperlink" Target="#'Kustannukset Y1'!A1"/><Relationship Id="rId2" Type="http://schemas.openxmlformats.org/officeDocument/2006/relationships/hyperlink" Target="#'Kustannukset K1'!A1"/><Relationship Id="rId1" Type="http://schemas.openxmlformats.org/officeDocument/2006/relationships/image" Target="../media/image12.jpeg"/></Relationships>
</file>

<file path=xl/drawings/_rels/drawing9.xml.rels><?xml version="1.0" encoding="UTF-8" standalone="yes"?>
<Relationships xmlns="http://schemas.openxmlformats.org/package/2006/relationships"><Relationship Id="rId3" Type="http://schemas.openxmlformats.org/officeDocument/2006/relationships/hyperlink" Target="#'Rahoitus Y3'!A1"/><Relationship Id="rId2" Type="http://schemas.openxmlformats.org/officeDocument/2006/relationships/hyperlink" Target="#'Myynti Y2'!A1"/><Relationship Id="rId1" Type="http://schemas.openxmlformats.org/officeDocument/2006/relationships/image" Target="../media/image13.jpeg"/><Relationship Id="rId4" Type="http://schemas.openxmlformats.org/officeDocument/2006/relationships/hyperlink" Target="#'4. Kassabudjetti'!A1"/></Relationships>
</file>

<file path=xl/drawings/drawing1.xml><?xml version="1.0" encoding="utf-8"?>
<xdr:wsDr xmlns:xdr="http://schemas.openxmlformats.org/drawingml/2006/spreadsheetDrawing" xmlns:a="http://schemas.openxmlformats.org/drawingml/2006/main">
  <xdr:twoCellAnchor editAs="oneCell">
    <xdr:from>
      <xdr:col>0</xdr:col>
      <xdr:colOff>283058</xdr:colOff>
      <xdr:row>5</xdr:row>
      <xdr:rowOff>38040</xdr:rowOff>
    </xdr:from>
    <xdr:to>
      <xdr:col>13</xdr:col>
      <xdr:colOff>6940</xdr:colOff>
      <xdr:row>30</xdr:row>
      <xdr:rowOff>55186</xdr:rowOff>
    </xdr:to>
    <xdr:pic>
      <xdr:nvPicPr>
        <xdr:cNvPr id="21" name="Kuva 20">
          <a:extLst>
            <a:ext uri="{FF2B5EF4-FFF2-40B4-BE49-F238E27FC236}">
              <a16:creationId xmlns:a16="http://schemas.microsoft.com/office/drawing/2014/main" id="{C342612D-7AD2-496C-B199-A827CA8DF193}"/>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66000"/>
                  </a14:imgEffect>
                </a14:imgLayer>
              </a14:imgProps>
            </a:ext>
            <a:ext uri="{28A0092B-C50C-407E-A947-70E740481C1C}">
              <a14:useLocalDpi xmlns:a14="http://schemas.microsoft.com/office/drawing/2010/main" val="0"/>
            </a:ext>
          </a:extLst>
        </a:blip>
        <a:stretch>
          <a:fillRect/>
        </a:stretch>
      </xdr:blipFill>
      <xdr:spPr>
        <a:xfrm>
          <a:off x="283058" y="687429"/>
          <a:ext cx="8334857" cy="4514072"/>
        </a:xfrm>
        <a:prstGeom prst="rect">
          <a:avLst/>
        </a:prstGeom>
      </xdr:spPr>
    </xdr:pic>
    <xdr:clientData/>
  </xdr:twoCellAnchor>
  <xdr:twoCellAnchor>
    <xdr:from>
      <xdr:col>1</xdr:col>
      <xdr:colOff>390524</xdr:colOff>
      <xdr:row>13</xdr:row>
      <xdr:rowOff>0</xdr:rowOff>
    </xdr:from>
    <xdr:to>
      <xdr:col>5</xdr:col>
      <xdr:colOff>510524</xdr:colOff>
      <xdr:row>28</xdr:row>
      <xdr:rowOff>67640</xdr:rowOff>
    </xdr:to>
    <xdr:sp macro="" textlink="">
      <xdr:nvSpPr>
        <xdr:cNvPr id="19" name="Suorakulmio 18">
          <a:extLst>
            <a:ext uri="{FF2B5EF4-FFF2-40B4-BE49-F238E27FC236}">
              <a16:creationId xmlns:a16="http://schemas.microsoft.com/office/drawing/2014/main" id="{5BCD8D01-F229-4D1A-B8E0-8085ECA04540}"/>
            </a:ext>
          </a:extLst>
        </xdr:cNvPr>
        <xdr:cNvSpPr/>
      </xdr:nvSpPr>
      <xdr:spPr>
        <a:xfrm>
          <a:off x="712362" y="2153478"/>
          <a:ext cx="3168000" cy="2808000"/>
        </a:xfrm>
        <a:prstGeom prst="rect">
          <a:avLst/>
        </a:prstGeom>
        <a:solidFill>
          <a:srgbClr val="FFFF00">
            <a:alpha val="8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269779</xdr:colOff>
      <xdr:row>30</xdr:row>
      <xdr:rowOff>19076</xdr:rowOff>
    </xdr:from>
    <xdr:to>
      <xdr:col>13</xdr:col>
      <xdr:colOff>18932</xdr:colOff>
      <xdr:row>31</xdr:row>
      <xdr:rowOff>42597</xdr:rowOff>
    </xdr:to>
    <xdr:sp macro="" textlink="">
      <xdr:nvSpPr>
        <xdr:cNvPr id="46" name="Suorakulmio 45">
          <a:extLst>
            <a:ext uri="{FF2B5EF4-FFF2-40B4-BE49-F238E27FC236}">
              <a16:creationId xmlns:a16="http://schemas.microsoft.com/office/drawing/2014/main" id="{00000000-0008-0000-0000-00002E000000}"/>
            </a:ext>
          </a:extLst>
        </xdr:cNvPr>
        <xdr:cNvSpPr/>
      </xdr:nvSpPr>
      <xdr:spPr>
        <a:xfrm flipV="1">
          <a:off x="269779" y="5144827"/>
          <a:ext cx="8358333" cy="99248"/>
        </a:xfrm>
        <a:prstGeom prst="rect">
          <a:avLst/>
        </a:prstGeom>
        <a:solidFill>
          <a:srgbClr val="0053A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sv-FI"/>
        </a:p>
      </xdr:txBody>
    </xdr:sp>
    <xdr:clientData/>
  </xdr:twoCellAnchor>
  <xdr:twoCellAnchor>
    <xdr:from>
      <xdr:col>6</xdr:col>
      <xdr:colOff>538163</xdr:colOff>
      <xdr:row>9</xdr:row>
      <xdr:rowOff>157164</xdr:rowOff>
    </xdr:from>
    <xdr:to>
      <xdr:col>12</xdr:col>
      <xdr:colOff>301538</xdr:colOff>
      <xdr:row>12</xdr:row>
      <xdr:rowOff>25089</xdr:rowOff>
    </xdr:to>
    <xdr:sp macro="" textlink="">
      <xdr:nvSpPr>
        <xdr:cNvPr id="43" name="Pyöristetty suorakulmio 42">
          <a:hlinkClick xmlns:r="http://schemas.openxmlformats.org/officeDocument/2006/relationships" r:id="rId3"/>
          <a:extLst>
            <a:ext uri="{FF2B5EF4-FFF2-40B4-BE49-F238E27FC236}">
              <a16:creationId xmlns:a16="http://schemas.microsoft.com/office/drawing/2014/main" id="{00000000-0008-0000-0000-00002B000000}"/>
            </a:ext>
          </a:extLst>
        </xdr:cNvPr>
        <xdr:cNvSpPr/>
      </xdr:nvSpPr>
      <xdr:spPr>
        <a:xfrm>
          <a:off x="5076826" y="1485902"/>
          <a:ext cx="3240000" cy="439425"/>
        </a:xfrm>
        <a:prstGeom prst="roundRect">
          <a:avLst/>
        </a:prstGeom>
        <a:solidFill>
          <a:schemeClr val="tx2">
            <a:lumMod val="20000"/>
            <a:lumOff val="80000"/>
          </a:schemeClr>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300"/>
            </a:lnSpc>
          </a:pPr>
          <a:r>
            <a:rPr lang="fi-FI" sz="1400" b="1" baseline="0">
              <a:solidFill>
                <a:sysClr val="windowText" lastClr="000000"/>
              </a:solidFill>
              <a:effectLst/>
              <a:latin typeface="+mn-lt"/>
              <a:ea typeface="+mn-ea"/>
              <a:cs typeface="+mn-cs"/>
            </a:rPr>
            <a:t>PALVELUT YRITYKSILLE</a:t>
          </a:r>
          <a:endParaRPr lang="fi-FI" sz="1100">
            <a:solidFill>
              <a:sysClr val="windowText" lastClr="000000"/>
            </a:solidFill>
          </a:endParaRPr>
        </a:p>
      </xdr:txBody>
    </xdr:sp>
    <xdr:clientData/>
  </xdr:twoCellAnchor>
  <xdr:twoCellAnchor>
    <xdr:from>
      <xdr:col>1</xdr:col>
      <xdr:colOff>381000</xdr:colOff>
      <xdr:row>9</xdr:row>
      <xdr:rowOff>152398</xdr:rowOff>
    </xdr:from>
    <xdr:to>
      <xdr:col>5</xdr:col>
      <xdr:colOff>564450</xdr:colOff>
      <xdr:row>12</xdr:row>
      <xdr:rowOff>20323</xdr:rowOff>
    </xdr:to>
    <xdr:sp macro="" textlink="">
      <xdr:nvSpPr>
        <xdr:cNvPr id="40" name="Pyöristetty suorakulmio 39">
          <a:hlinkClick xmlns:r="http://schemas.openxmlformats.org/officeDocument/2006/relationships" r:id="rId4"/>
          <a:extLst>
            <a:ext uri="{FF2B5EF4-FFF2-40B4-BE49-F238E27FC236}">
              <a16:creationId xmlns:a16="http://schemas.microsoft.com/office/drawing/2014/main" id="{00000000-0008-0000-0000-000028000000}"/>
            </a:ext>
          </a:extLst>
        </xdr:cNvPr>
        <xdr:cNvSpPr/>
      </xdr:nvSpPr>
      <xdr:spPr>
        <a:xfrm>
          <a:off x="923925" y="1600198"/>
          <a:ext cx="3060000" cy="468000"/>
        </a:xfrm>
        <a:prstGeom prst="roundRect">
          <a:avLst/>
        </a:prstGeom>
        <a:solidFill>
          <a:srgbClr val="FFFF00"/>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400"/>
            </a:lnSpc>
          </a:pPr>
          <a:r>
            <a:rPr lang="fi-FI" sz="1400" b="1">
              <a:solidFill>
                <a:sysClr val="windowText" lastClr="000000"/>
              </a:solidFill>
            </a:rPr>
            <a:t>PALVELUT KULUTTAJILLE</a:t>
          </a:r>
          <a:endParaRPr lang="fi-FI" sz="1100" b="1">
            <a:solidFill>
              <a:sysClr val="windowText" lastClr="000000"/>
            </a:solidFill>
          </a:endParaRPr>
        </a:p>
      </xdr:txBody>
    </xdr:sp>
    <xdr:clientData/>
  </xdr:twoCellAnchor>
  <xdr:twoCellAnchor>
    <xdr:from>
      <xdr:col>2</xdr:col>
      <xdr:colOff>234043</xdr:colOff>
      <xdr:row>13</xdr:row>
      <xdr:rowOff>104774</xdr:rowOff>
    </xdr:from>
    <xdr:to>
      <xdr:col>5</xdr:col>
      <xdr:colOff>809157</xdr:colOff>
      <xdr:row>21</xdr:row>
      <xdr:rowOff>38099</xdr:rowOff>
    </xdr:to>
    <xdr:sp macro="" textlink="">
      <xdr:nvSpPr>
        <xdr:cNvPr id="2" name="Tekstiruutu 1">
          <a:extLst>
            <a:ext uri="{FF2B5EF4-FFF2-40B4-BE49-F238E27FC236}">
              <a16:creationId xmlns:a16="http://schemas.microsoft.com/office/drawing/2014/main" id="{00000000-0008-0000-0000-000002000000}"/>
            </a:ext>
          </a:extLst>
        </xdr:cNvPr>
        <xdr:cNvSpPr txBox="1"/>
      </xdr:nvSpPr>
      <xdr:spPr>
        <a:xfrm>
          <a:off x="1208314" y="2260145"/>
          <a:ext cx="2969972" cy="15498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Vähittäis</a:t>
          </a:r>
          <a:r>
            <a:rPr lang="fi-FI" sz="1100" b="1" baseline="0">
              <a:solidFill>
                <a:schemeClr val="dk1"/>
              </a:solidFill>
              <a:effectLst/>
              <a:latin typeface="+mn-lt"/>
              <a:ea typeface="+mn-ea"/>
              <a:cs typeface="+mn-cs"/>
            </a:rPr>
            <a:t>kauppa </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Majoitus-</a:t>
          </a:r>
          <a:r>
            <a:rPr lang="fi-FI" sz="1100" b="1" baseline="0">
              <a:solidFill>
                <a:schemeClr val="dk1"/>
              </a:solidFill>
              <a:effectLst/>
              <a:latin typeface="+mn-lt"/>
              <a:ea typeface="+mn-ea"/>
              <a:cs typeface="+mn-cs"/>
            </a:rPr>
            <a:t> ja ravitsemustoiminta </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Matkailu- ja liikuntapalvelut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Kauneudenhoitoala</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Korjauspalvelut kuluttajille</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Terveydenhuoltopalvelut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Sosiaalihuoltopalvelut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yms.</a:t>
          </a:r>
          <a:br>
            <a:rPr lang="fi-FI" sz="1100" b="1" baseline="0">
              <a:solidFill>
                <a:schemeClr val="dk1"/>
              </a:solidFill>
              <a:effectLst/>
              <a:latin typeface="+mn-lt"/>
              <a:ea typeface="+mn-ea"/>
              <a:cs typeface="+mn-cs"/>
            </a:rPr>
          </a:br>
          <a:br>
            <a:rPr lang="fi-FI" sz="1100" b="1" baseline="0">
              <a:solidFill>
                <a:schemeClr val="dk1"/>
              </a:solidFill>
              <a:effectLst/>
              <a:latin typeface="+mn-lt"/>
              <a:ea typeface="+mn-ea"/>
              <a:cs typeface="+mn-cs"/>
            </a:rPr>
          </a:br>
          <a:endParaRPr lang="fi-FI" b="1">
            <a:effectLst/>
          </a:endParaRPr>
        </a:p>
      </xdr:txBody>
    </xdr:sp>
    <xdr:clientData/>
  </xdr:twoCellAnchor>
  <xdr:twoCellAnchor editAs="oneCell">
    <xdr:from>
      <xdr:col>3</xdr:col>
      <xdr:colOff>95250</xdr:colOff>
      <xdr:row>20</xdr:row>
      <xdr:rowOff>133350</xdr:rowOff>
    </xdr:from>
    <xdr:to>
      <xdr:col>4</xdr:col>
      <xdr:colOff>561975</xdr:colOff>
      <xdr:row>27</xdr:row>
      <xdr:rowOff>85725</xdr:rowOff>
    </xdr:to>
    <xdr:pic>
      <xdr:nvPicPr>
        <xdr:cNvPr id="13925221" name="Kuva 39" descr="C:\Users\Henri\AppData\Local\Microsoft\Windows\Temporary Internet Files\Content.IE5\9ZN2D3X7\MC900432666[1].png">
          <a:hlinkClick xmlns:r="http://schemas.openxmlformats.org/officeDocument/2006/relationships" r:id="rId4"/>
          <a:extLst>
            <a:ext uri="{FF2B5EF4-FFF2-40B4-BE49-F238E27FC236}">
              <a16:creationId xmlns:a16="http://schemas.microsoft.com/office/drawing/2014/main" id="{00000000-0008-0000-0000-000065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19263" y="3709988"/>
          <a:ext cx="11906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567949</xdr:colOff>
      <xdr:row>13</xdr:row>
      <xdr:rowOff>4852</xdr:rowOff>
    </xdr:from>
    <xdr:to>
      <xdr:col>12</xdr:col>
      <xdr:colOff>285651</xdr:colOff>
      <xdr:row>28</xdr:row>
      <xdr:rowOff>72492</xdr:rowOff>
    </xdr:to>
    <xdr:sp macro="" textlink="">
      <xdr:nvSpPr>
        <xdr:cNvPr id="20" name="Suorakulmio 19">
          <a:extLst>
            <a:ext uri="{FF2B5EF4-FFF2-40B4-BE49-F238E27FC236}">
              <a16:creationId xmlns:a16="http://schemas.microsoft.com/office/drawing/2014/main" id="{F0949859-B118-41AD-BD18-FDE1E4FEE3CB}"/>
            </a:ext>
          </a:extLst>
        </xdr:cNvPr>
        <xdr:cNvSpPr/>
      </xdr:nvSpPr>
      <xdr:spPr>
        <a:xfrm>
          <a:off x="5073688" y="2158330"/>
          <a:ext cx="3168000" cy="2808000"/>
        </a:xfrm>
        <a:prstGeom prst="rect">
          <a:avLst/>
        </a:prstGeom>
        <a:solidFill>
          <a:schemeClr val="tx2">
            <a:lumMod val="20000"/>
            <a:lumOff val="80000"/>
            <a:alpha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7</xdr:col>
      <xdr:colOff>103414</xdr:colOff>
      <xdr:row>13</xdr:row>
      <xdr:rowOff>95250</xdr:rowOff>
    </xdr:from>
    <xdr:to>
      <xdr:col>12</xdr:col>
      <xdr:colOff>323850</xdr:colOff>
      <xdr:row>20</xdr:row>
      <xdr:rowOff>142875</xdr:rowOff>
    </xdr:to>
    <xdr:sp macro="" textlink="">
      <xdr:nvSpPr>
        <xdr:cNvPr id="5" name="Tekstiruutu 4">
          <a:extLst>
            <a:ext uri="{FF2B5EF4-FFF2-40B4-BE49-F238E27FC236}">
              <a16:creationId xmlns:a16="http://schemas.microsoft.com/office/drawing/2014/main" id="{00000000-0008-0000-0000-000005000000}"/>
            </a:ext>
          </a:extLst>
        </xdr:cNvPr>
        <xdr:cNvSpPr txBox="1"/>
      </xdr:nvSpPr>
      <xdr:spPr>
        <a:xfrm>
          <a:off x="5606143" y="2250621"/>
          <a:ext cx="2675164" cy="15117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Asennusliiketoiminta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Kuljetusala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Koneurakointi</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Rakennusala</a:t>
          </a:r>
        </a:p>
        <a:p>
          <a:pPr marL="108000" indent="-108000">
            <a:buFont typeface="Arial" panose="020B0604020202020204" pitchFamily="34" charset="0"/>
            <a:buChar char="•"/>
          </a:pPr>
          <a:r>
            <a:rPr lang="fi-FI" sz="1100" b="1">
              <a:solidFill>
                <a:schemeClr val="dk1"/>
              </a:solidFill>
              <a:effectLst/>
              <a:latin typeface="+mn-lt"/>
              <a:ea typeface="+mn-ea"/>
              <a:cs typeface="+mn-cs"/>
            </a:rPr>
            <a:t>Teollisuus</a:t>
          </a:r>
        </a:p>
        <a:p>
          <a:pPr marL="108000" indent="-108000">
            <a:buFont typeface="Arial" panose="020B0604020202020204" pitchFamily="34" charset="0"/>
            <a:buChar char="•"/>
          </a:pPr>
          <a:r>
            <a:rPr lang="fi-FI" sz="1100" b="1">
              <a:solidFill>
                <a:schemeClr val="dk1"/>
              </a:solidFill>
              <a:effectLst/>
              <a:latin typeface="+mn-lt"/>
              <a:ea typeface="+mn-ea"/>
              <a:cs typeface="+mn-cs"/>
            </a:rPr>
            <a:t>Tukkukauppa</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Yritys- ja asiantuntijapalvelut</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yms.</a:t>
          </a:r>
          <a:endParaRPr lang="fi-FI">
            <a:effectLst/>
          </a:endParaRPr>
        </a:p>
        <a:p>
          <a:endParaRPr lang="fi-FI" sz="1100"/>
        </a:p>
      </xdr:txBody>
    </xdr:sp>
    <xdr:clientData/>
  </xdr:twoCellAnchor>
  <xdr:twoCellAnchor editAs="oneCell">
    <xdr:from>
      <xdr:col>7</xdr:col>
      <xdr:colOff>566738</xdr:colOff>
      <xdr:row>20</xdr:row>
      <xdr:rowOff>123825</xdr:rowOff>
    </xdr:from>
    <xdr:to>
      <xdr:col>9</xdr:col>
      <xdr:colOff>495301</xdr:colOff>
      <xdr:row>27</xdr:row>
      <xdr:rowOff>76200</xdr:rowOff>
    </xdr:to>
    <xdr:pic>
      <xdr:nvPicPr>
        <xdr:cNvPr id="13925218" name="Kuva 39" descr="C:\Users\Henri\AppData\Local\Microsoft\Windows\Temporary Internet Files\Content.IE5\9ZN2D3X7\MC900432666[1].png">
          <a:hlinkClick xmlns:r="http://schemas.openxmlformats.org/officeDocument/2006/relationships" r:id="rId3"/>
          <a:extLst>
            <a:ext uri="{FF2B5EF4-FFF2-40B4-BE49-F238E27FC236}">
              <a16:creationId xmlns:a16="http://schemas.microsoft.com/office/drawing/2014/main" id="{00000000-0008-0000-0000-000062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367463" y="3829050"/>
          <a:ext cx="12287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593271</xdr:colOff>
      <xdr:row>38</xdr:row>
      <xdr:rowOff>21771</xdr:rowOff>
    </xdr:from>
    <xdr:to>
      <xdr:col>3</xdr:col>
      <xdr:colOff>495301</xdr:colOff>
      <xdr:row>39</xdr:row>
      <xdr:rowOff>146957</xdr:rowOff>
    </xdr:to>
    <xdr:sp macro="" textlink="">
      <xdr:nvSpPr>
        <xdr:cNvPr id="3" name="Tekstiruutu 2">
          <a:extLst>
            <a:ext uri="{FF2B5EF4-FFF2-40B4-BE49-F238E27FC236}">
              <a16:creationId xmlns:a16="http://schemas.microsoft.com/office/drawing/2014/main" id="{C4847495-599A-7211-C956-1F47E7F25A1A}"/>
            </a:ext>
          </a:extLst>
        </xdr:cNvPr>
        <xdr:cNvSpPr txBox="1"/>
      </xdr:nvSpPr>
      <xdr:spPr>
        <a:xfrm>
          <a:off x="914400" y="6389914"/>
          <a:ext cx="1208315" cy="28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000" b="1">
              <a:solidFill>
                <a:schemeClr val="bg1"/>
              </a:solidFill>
            </a:rPr>
            <a:t>Palvelun tarjoavat</a:t>
          </a:r>
        </a:p>
      </xdr:txBody>
    </xdr:sp>
    <xdr:clientData/>
  </xdr:twoCellAnchor>
  <xdr:twoCellAnchor>
    <xdr:from>
      <xdr:col>3</xdr:col>
      <xdr:colOff>391886</xdr:colOff>
      <xdr:row>4</xdr:row>
      <xdr:rowOff>157842</xdr:rowOff>
    </xdr:from>
    <xdr:to>
      <xdr:col>13</xdr:col>
      <xdr:colOff>16329</xdr:colOff>
      <xdr:row>6</xdr:row>
      <xdr:rowOff>259927</xdr:rowOff>
    </xdr:to>
    <xdr:sp macro="" textlink="">
      <xdr:nvSpPr>
        <xdr:cNvPr id="6" name="Suorakulmio: Pyöristetyt kulmat 5">
          <a:extLst>
            <a:ext uri="{FF2B5EF4-FFF2-40B4-BE49-F238E27FC236}">
              <a16:creationId xmlns:a16="http://schemas.microsoft.com/office/drawing/2014/main" id="{59064EBA-E79A-8704-2F21-90C7762F2B66}"/>
            </a:ext>
          </a:extLst>
        </xdr:cNvPr>
        <xdr:cNvSpPr/>
      </xdr:nvSpPr>
      <xdr:spPr>
        <a:xfrm>
          <a:off x="2019300" y="642256"/>
          <a:ext cx="6607629" cy="396000"/>
        </a:xfrm>
        <a:prstGeom prst="roundRect">
          <a:avLst/>
        </a:prstGeom>
        <a:solidFill>
          <a:srgbClr val="004990">
            <a:alpha val="9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fi-FI" sz="1100" b="1" i="1">
              <a:solidFill>
                <a:schemeClr val="lt1"/>
              </a:solidFill>
              <a:effectLst/>
              <a:latin typeface="+mn-lt"/>
              <a:ea typeface="+mn-ea"/>
              <a:cs typeface="+mn-cs"/>
            </a:rPr>
            <a:t>          </a:t>
          </a:r>
          <a:r>
            <a:rPr lang="fi-FI" sz="1400" b="1" i="0">
              <a:solidFill>
                <a:schemeClr val="lt1"/>
              </a:solidFill>
              <a:effectLst/>
              <a:latin typeface="+mn-lt"/>
              <a:ea typeface="+mn-ea"/>
              <a:cs typeface="+mn-cs"/>
            </a:rPr>
            <a:t>YT5 ALOITTAVAN</a:t>
          </a:r>
          <a:r>
            <a:rPr lang="fi-FI" sz="1400" b="1" i="0" baseline="0">
              <a:solidFill>
                <a:schemeClr val="lt1"/>
              </a:solidFill>
              <a:effectLst/>
              <a:latin typeface="+mn-lt"/>
              <a:ea typeface="+mn-ea"/>
              <a:cs typeface="+mn-cs"/>
            </a:rPr>
            <a:t> YRITYKSEN</a:t>
          </a:r>
          <a:r>
            <a:rPr lang="fi-FI" sz="1400" b="1" i="0">
              <a:solidFill>
                <a:schemeClr val="lt1"/>
              </a:solidFill>
              <a:effectLst/>
              <a:latin typeface="+mn-lt"/>
              <a:ea typeface="+mn-ea"/>
              <a:cs typeface="+mn-cs"/>
            </a:rPr>
            <a:t> TALOUSSUUNNITELMA </a:t>
          </a:r>
          <a:endParaRPr lang="fi-FI">
            <a:effectLst/>
          </a:endParaRPr>
        </a:p>
        <a:p>
          <a:pPr algn="l"/>
          <a:endParaRPr lang="fi-FI" sz="1100"/>
        </a:p>
      </xdr:txBody>
    </xdr:sp>
    <xdr:clientData/>
  </xdr:twoCellAnchor>
  <xdr:twoCellAnchor editAs="oneCell">
    <xdr:from>
      <xdr:col>1</xdr:col>
      <xdr:colOff>489857</xdr:colOff>
      <xdr:row>4</xdr:row>
      <xdr:rowOff>152400</xdr:rowOff>
    </xdr:from>
    <xdr:to>
      <xdr:col>3</xdr:col>
      <xdr:colOff>222676</xdr:colOff>
      <xdr:row>6</xdr:row>
      <xdr:rowOff>254485</xdr:rowOff>
    </xdr:to>
    <xdr:pic>
      <xdr:nvPicPr>
        <xdr:cNvPr id="8" name="Kuva 7">
          <a:extLst>
            <a:ext uri="{FF2B5EF4-FFF2-40B4-BE49-F238E27FC236}">
              <a16:creationId xmlns:a16="http://schemas.microsoft.com/office/drawing/2014/main" id="{2BDA0361-7644-0CD0-C0C2-D1C3FFCA6D1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10986" y="636814"/>
          <a:ext cx="1039104" cy="396000"/>
        </a:xfrm>
        <a:prstGeom prst="rect">
          <a:avLst/>
        </a:prstGeom>
      </xdr:spPr>
    </xdr:pic>
    <xdr:clientData/>
  </xdr:twoCellAnchor>
  <xdr:twoCellAnchor editAs="oneCell">
    <xdr:from>
      <xdr:col>4</xdr:col>
      <xdr:colOff>1017813</xdr:colOff>
      <xdr:row>32</xdr:row>
      <xdr:rowOff>48988</xdr:rowOff>
    </xdr:from>
    <xdr:to>
      <xdr:col>12</xdr:col>
      <xdr:colOff>170470</xdr:colOff>
      <xdr:row>36</xdr:row>
      <xdr:rowOff>51607</xdr:rowOff>
    </xdr:to>
    <xdr:pic>
      <xdr:nvPicPr>
        <xdr:cNvPr id="33" name="Kuva 32">
          <a:extLst>
            <a:ext uri="{FF2B5EF4-FFF2-40B4-BE49-F238E27FC236}">
              <a16:creationId xmlns:a16="http://schemas.microsoft.com/office/drawing/2014/main" id="{33A6056D-0EA6-3D9C-9A1B-DE1DA197814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358242" y="5366659"/>
          <a:ext cx="4769685" cy="66664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1276350</xdr:colOff>
      <xdr:row>1</xdr:row>
      <xdr:rowOff>38100</xdr:rowOff>
    </xdr:from>
    <xdr:to>
      <xdr:col>2</xdr:col>
      <xdr:colOff>2095500</xdr:colOff>
      <xdr:row>2</xdr:row>
      <xdr:rowOff>0</xdr:rowOff>
    </xdr:to>
    <xdr:sp macro="" textlink="">
      <xdr:nvSpPr>
        <xdr:cNvPr id="5122" name="Text Box 2">
          <a:extLst>
            <a:ext uri="{FF2B5EF4-FFF2-40B4-BE49-F238E27FC236}">
              <a16:creationId xmlns:a16="http://schemas.microsoft.com/office/drawing/2014/main" id="{00000000-0008-0000-0A00-000002140000}"/>
            </a:ext>
          </a:extLst>
        </xdr:cNvPr>
        <xdr:cNvSpPr txBox="1">
          <a:spLocks noChangeArrowheads="1"/>
        </xdr:cNvSpPr>
      </xdr:nvSpPr>
      <xdr:spPr bwMode="auto">
        <a:xfrm>
          <a:off x="2447925" y="38100"/>
          <a:ext cx="0" cy="1905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fi-FI" sz="800" b="1" i="1" strike="noStrike">
              <a:solidFill>
                <a:srgbClr val="000000"/>
              </a:solidFill>
              <a:latin typeface="Arial"/>
              <a:cs typeface="Arial"/>
            </a:rPr>
            <a:t> </a:t>
          </a:r>
        </a:p>
      </xdr:txBody>
    </xdr:sp>
    <xdr:clientData/>
  </xdr:twoCellAnchor>
  <xdr:twoCellAnchor>
    <xdr:from>
      <xdr:col>7</xdr:col>
      <xdr:colOff>299085</xdr:colOff>
      <xdr:row>75</xdr:row>
      <xdr:rowOff>69683</xdr:rowOff>
    </xdr:from>
    <xdr:to>
      <xdr:col>8</xdr:col>
      <xdr:colOff>1034419</xdr:colOff>
      <xdr:row>78</xdr:row>
      <xdr:rowOff>50633</xdr:rowOff>
    </xdr:to>
    <xdr:sp macro="" textlink="">
      <xdr:nvSpPr>
        <xdr:cNvPr id="20" name="Tekstikehys 27">
          <a:extLst>
            <a:ext uri="{FF2B5EF4-FFF2-40B4-BE49-F238E27FC236}">
              <a16:creationId xmlns:a16="http://schemas.microsoft.com/office/drawing/2014/main" id="{00000000-0008-0000-0A00-000014000000}"/>
            </a:ext>
          </a:extLst>
        </xdr:cNvPr>
        <xdr:cNvSpPr txBox="1"/>
      </xdr:nvSpPr>
      <xdr:spPr>
        <a:xfrm>
          <a:off x="6457950" y="1060283"/>
          <a:ext cx="11049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fi-FI" sz="900" i="0">
            <a:latin typeface="Swis721 BT" panose="020B0504020202020204" pitchFamily="34" charset="0"/>
          </a:endParaRPr>
        </a:p>
      </xdr:txBody>
    </xdr:sp>
    <xdr:clientData/>
  </xdr:twoCellAnchor>
  <xdr:twoCellAnchor>
    <xdr:from>
      <xdr:col>1</xdr:col>
      <xdr:colOff>82827</xdr:colOff>
      <xdr:row>2</xdr:row>
      <xdr:rowOff>140805</xdr:rowOff>
    </xdr:from>
    <xdr:to>
      <xdr:col>8</xdr:col>
      <xdr:colOff>1010478</xdr:colOff>
      <xdr:row>4</xdr:row>
      <xdr:rowOff>82827</xdr:rowOff>
    </xdr:to>
    <xdr:sp macro="" textlink="">
      <xdr:nvSpPr>
        <xdr:cNvPr id="2" name="Tekstiruutu 1">
          <a:extLst>
            <a:ext uri="{FF2B5EF4-FFF2-40B4-BE49-F238E27FC236}">
              <a16:creationId xmlns:a16="http://schemas.microsoft.com/office/drawing/2014/main" id="{2249EFA6-BC66-4AAF-A6E2-54060F5C6043}"/>
            </a:ext>
          </a:extLst>
        </xdr:cNvPr>
        <xdr:cNvSpPr txBox="1"/>
      </xdr:nvSpPr>
      <xdr:spPr>
        <a:xfrm>
          <a:off x="463827" y="496957"/>
          <a:ext cx="6112564" cy="3230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MYYNTIENNUSTE Y2</a:t>
          </a:r>
        </a:p>
      </xdr:txBody>
    </xdr:sp>
    <xdr:clientData/>
  </xdr:twoCellAnchor>
  <xdr:twoCellAnchor>
    <xdr:from>
      <xdr:col>8</xdr:col>
      <xdr:colOff>1462088</xdr:colOff>
      <xdr:row>155</xdr:row>
      <xdr:rowOff>29510</xdr:rowOff>
    </xdr:from>
    <xdr:to>
      <xdr:col>8</xdr:col>
      <xdr:colOff>1634219</xdr:colOff>
      <xdr:row>155</xdr:row>
      <xdr:rowOff>30177</xdr:rowOff>
    </xdr:to>
    <xdr:cxnSp macro="">
      <xdr:nvCxnSpPr>
        <xdr:cNvPr id="27" name="Suora nuoliyhdysviiva 26">
          <a:extLst>
            <a:ext uri="{FF2B5EF4-FFF2-40B4-BE49-F238E27FC236}">
              <a16:creationId xmlns:a16="http://schemas.microsoft.com/office/drawing/2014/main" id="{D10E95B1-C473-4497-B6B4-937E1338994E}"/>
            </a:ext>
          </a:extLst>
        </xdr:cNvPr>
        <xdr:cNvCxnSpPr/>
      </xdr:nvCxnSpPr>
      <xdr:spPr>
        <a:xfrm>
          <a:off x="7472363" y="21436948"/>
          <a:ext cx="172131" cy="667"/>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4928</xdr:colOff>
      <xdr:row>155</xdr:row>
      <xdr:rowOff>28574</xdr:rowOff>
    </xdr:from>
    <xdr:to>
      <xdr:col>9</xdr:col>
      <xdr:colOff>298845</xdr:colOff>
      <xdr:row>155</xdr:row>
      <xdr:rowOff>29419</xdr:rowOff>
    </xdr:to>
    <xdr:cxnSp macro="">
      <xdr:nvCxnSpPr>
        <xdr:cNvPr id="31" name="Suora nuoliyhdysviiva 30">
          <a:extLst>
            <a:ext uri="{FF2B5EF4-FFF2-40B4-BE49-F238E27FC236}">
              <a16:creationId xmlns:a16="http://schemas.microsoft.com/office/drawing/2014/main" id="{E7C053A1-69CB-4A5A-B30F-015F1BF29ADA}"/>
            </a:ext>
          </a:extLst>
        </xdr:cNvPr>
        <xdr:cNvCxnSpPr/>
      </xdr:nvCxnSpPr>
      <xdr:spPr>
        <a:xfrm flipH="1">
          <a:off x="7667791" y="21436012"/>
          <a:ext cx="293917" cy="845"/>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1566412</xdr:colOff>
      <xdr:row>74</xdr:row>
      <xdr:rowOff>18378</xdr:rowOff>
    </xdr:from>
    <xdr:to>
      <xdr:col>9</xdr:col>
      <xdr:colOff>246</xdr:colOff>
      <xdr:row>74</xdr:row>
      <xdr:rowOff>20334</xdr:rowOff>
    </xdr:to>
    <xdr:cxnSp macro="">
      <xdr:nvCxnSpPr>
        <xdr:cNvPr id="32" name="Suora nuoliyhdysviiva 31">
          <a:extLst>
            <a:ext uri="{FF2B5EF4-FFF2-40B4-BE49-F238E27FC236}">
              <a16:creationId xmlns:a16="http://schemas.microsoft.com/office/drawing/2014/main" id="{F391B4FC-CFDB-4D0C-AA57-C58560E8C98C}"/>
            </a:ext>
          </a:extLst>
        </xdr:cNvPr>
        <xdr:cNvCxnSpPr/>
      </xdr:nvCxnSpPr>
      <xdr:spPr>
        <a:xfrm>
          <a:off x="7533763" y="10619933"/>
          <a:ext cx="72346" cy="195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4399</xdr:colOff>
      <xdr:row>74</xdr:row>
      <xdr:rowOff>19050</xdr:rowOff>
    </xdr:from>
    <xdr:to>
      <xdr:col>9</xdr:col>
      <xdr:colOff>73478</xdr:colOff>
      <xdr:row>74</xdr:row>
      <xdr:rowOff>19420</xdr:rowOff>
    </xdr:to>
    <xdr:cxnSp macro="">
      <xdr:nvCxnSpPr>
        <xdr:cNvPr id="34" name="Suora nuoliyhdysviiva 33">
          <a:extLst>
            <a:ext uri="{FF2B5EF4-FFF2-40B4-BE49-F238E27FC236}">
              <a16:creationId xmlns:a16="http://schemas.microsoft.com/office/drawing/2014/main" id="{33794471-9269-4788-935F-0EDA52A08D7C}"/>
            </a:ext>
          </a:extLst>
        </xdr:cNvPr>
        <xdr:cNvCxnSpPr/>
      </xdr:nvCxnSpPr>
      <xdr:spPr>
        <a:xfrm flipH="1">
          <a:off x="7608071" y="10599964"/>
          <a:ext cx="69079" cy="37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547688</xdr:colOff>
      <xdr:row>79</xdr:row>
      <xdr:rowOff>95250</xdr:rowOff>
    </xdr:from>
    <xdr:to>
      <xdr:col>9</xdr:col>
      <xdr:colOff>396</xdr:colOff>
      <xdr:row>81</xdr:row>
      <xdr:rowOff>134257</xdr:rowOff>
    </xdr:to>
    <xdr:pic>
      <xdr:nvPicPr>
        <xdr:cNvPr id="4" name="Kuva 3">
          <a:extLst>
            <a:ext uri="{FF2B5EF4-FFF2-40B4-BE49-F238E27FC236}">
              <a16:creationId xmlns:a16="http://schemas.microsoft.com/office/drawing/2014/main" id="{A8ED7D5A-860E-4D87-868A-3C8D18DD83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86538" y="11391900"/>
          <a:ext cx="1060528" cy="360000"/>
        </a:xfrm>
        <a:prstGeom prst="rect">
          <a:avLst/>
        </a:prstGeom>
      </xdr:spPr>
    </xdr:pic>
    <xdr:clientData/>
  </xdr:twoCellAnchor>
  <xdr:twoCellAnchor editAs="oneCell">
    <xdr:from>
      <xdr:col>8</xdr:col>
      <xdr:colOff>521970</xdr:colOff>
      <xdr:row>160</xdr:row>
      <xdr:rowOff>104776</xdr:rowOff>
    </xdr:from>
    <xdr:to>
      <xdr:col>8</xdr:col>
      <xdr:colOff>1554167</xdr:colOff>
      <xdr:row>162</xdr:row>
      <xdr:rowOff>125006</xdr:rowOff>
    </xdr:to>
    <xdr:pic>
      <xdr:nvPicPr>
        <xdr:cNvPr id="35" name="Kuva 34">
          <a:extLst>
            <a:ext uri="{FF2B5EF4-FFF2-40B4-BE49-F238E27FC236}">
              <a16:creationId xmlns:a16="http://schemas.microsoft.com/office/drawing/2014/main" id="{A119E742-4315-4A65-B983-2282513CEF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22695" y="22250401"/>
          <a:ext cx="1032197" cy="363130"/>
        </a:xfrm>
        <a:prstGeom prst="rect">
          <a:avLst/>
        </a:prstGeom>
      </xdr:spPr>
    </xdr:pic>
    <xdr:clientData/>
  </xdr:twoCellAnchor>
  <xdr:twoCellAnchor editAs="oneCell">
    <xdr:from>
      <xdr:col>8</xdr:col>
      <xdr:colOff>668655</xdr:colOff>
      <xdr:row>4</xdr:row>
      <xdr:rowOff>15241</xdr:rowOff>
    </xdr:from>
    <xdr:to>
      <xdr:col>8</xdr:col>
      <xdr:colOff>1554240</xdr:colOff>
      <xdr:row>6</xdr:row>
      <xdr:rowOff>36151</xdr:rowOff>
    </xdr:to>
    <xdr:pic>
      <xdr:nvPicPr>
        <xdr:cNvPr id="6" name="Kuva 5">
          <a:extLst>
            <a:ext uri="{FF2B5EF4-FFF2-40B4-BE49-F238E27FC236}">
              <a16:creationId xmlns:a16="http://schemas.microsoft.com/office/drawing/2014/main" id="{00C5C863-A704-433B-A327-46FB2849DAD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69380" y="758191"/>
          <a:ext cx="885585" cy="363810"/>
        </a:xfrm>
        <a:prstGeom prst="rect">
          <a:avLst/>
        </a:prstGeom>
      </xdr:spPr>
    </xdr:pic>
    <xdr:clientData/>
  </xdr:twoCellAnchor>
  <xdr:twoCellAnchor>
    <xdr:from>
      <xdr:col>9</xdr:col>
      <xdr:colOff>193901</xdr:colOff>
      <xdr:row>5</xdr:row>
      <xdr:rowOff>135392</xdr:rowOff>
    </xdr:from>
    <xdr:to>
      <xdr:col>11</xdr:col>
      <xdr:colOff>744734</xdr:colOff>
      <xdr:row>7</xdr:row>
      <xdr:rowOff>119273</xdr:rowOff>
    </xdr:to>
    <xdr:sp macro="" textlink="">
      <xdr:nvSpPr>
        <xdr:cNvPr id="3" name="Suorakulmio: Pyöristetyt kulmat 2">
          <a:extLst>
            <a:ext uri="{FF2B5EF4-FFF2-40B4-BE49-F238E27FC236}">
              <a16:creationId xmlns:a16="http://schemas.microsoft.com/office/drawing/2014/main" id="{E580E16F-5935-46CD-9DCA-CA3047EC4E9C}"/>
            </a:ext>
          </a:extLst>
        </xdr:cNvPr>
        <xdr:cNvSpPr/>
      </xdr:nvSpPr>
      <xdr:spPr>
        <a:xfrm>
          <a:off x="7786687" y="1053874"/>
          <a:ext cx="1404681" cy="290042"/>
        </a:xfrm>
        <a:prstGeom prst="roundRect">
          <a:avLst/>
        </a:prstGeom>
        <a:solidFill>
          <a:schemeClr val="accent1">
            <a:lumMod val="60000"/>
            <a:lumOff val="4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Y2</a:t>
          </a:r>
        </a:p>
      </xdr:txBody>
    </xdr:sp>
    <xdr:clientData fPrintsWithSheet="0"/>
  </xdr:twoCellAnchor>
  <xdr:twoCellAnchor>
    <xdr:from>
      <xdr:col>9</xdr:col>
      <xdr:colOff>183015</xdr:colOff>
      <xdr:row>3</xdr:row>
      <xdr:rowOff>135392</xdr:rowOff>
    </xdr:from>
    <xdr:to>
      <xdr:col>11</xdr:col>
      <xdr:colOff>733848</xdr:colOff>
      <xdr:row>5</xdr:row>
      <xdr:rowOff>42392</xdr:rowOff>
    </xdr:to>
    <xdr:sp macro="" textlink="">
      <xdr:nvSpPr>
        <xdr:cNvPr id="5" name="Suorakulmio: Pyöristetyt kulmat 4">
          <a:hlinkClick xmlns:r="http://schemas.openxmlformats.org/officeDocument/2006/relationships" r:id="rId4"/>
          <a:extLst>
            <a:ext uri="{FF2B5EF4-FFF2-40B4-BE49-F238E27FC236}">
              <a16:creationId xmlns:a16="http://schemas.microsoft.com/office/drawing/2014/main" id="{DF489782-5CD6-4B77-AFE3-C6FAB23EDC54}"/>
            </a:ext>
          </a:extLst>
        </xdr:cNvPr>
        <xdr:cNvSpPr/>
      </xdr:nvSpPr>
      <xdr:spPr>
        <a:xfrm>
          <a:off x="7775801" y="672874"/>
          <a:ext cx="1404681"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9</xdr:col>
      <xdr:colOff>199344</xdr:colOff>
      <xdr:row>8</xdr:row>
      <xdr:rowOff>71438</xdr:rowOff>
    </xdr:from>
    <xdr:to>
      <xdr:col>12</xdr:col>
      <xdr:colOff>5186</xdr:colOff>
      <xdr:row>10</xdr:row>
      <xdr:rowOff>36271</xdr:rowOff>
    </xdr:to>
    <xdr:sp macro="" textlink="">
      <xdr:nvSpPr>
        <xdr:cNvPr id="7" name="Suorakulmio: Pyöristetyt kulmat 6">
          <a:hlinkClick xmlns:r="http://schemas.openxmlformats.org/officeDocument/2006/relationships" r:id="rId5"/>
          <a:extLst>
            <a:ext uri="{FF2B5EF4-FFF2-40B4-BE49-F238E27FC236}">
              <a16:creationId xmlns:a16="http://schemas.microsoft.com/office/drawing/2014/main" id="{113406FD-8FAD-43E4-B465-FA145135F78D}"/>
            </a:ext>
          </a:extLst>
        </xdr:cNvPr>
        <xdr:cNvSpPr/>
      </xdr:nvSpPr>
      <xdr:spPr>
        <a:xfrm>
          <a:off x="7792130" y="1449161"/>
          <a:ext cx="1404681" cy="29140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199343</xdr:colOff>
      <xdr:row>10</xdr:row>
      <xdr:rowOff>136073</xdr:rowOff>
    </xdr:from>
    <xdr:to>
      <xdr:col>12</xdr:col>
      <xdr:colOff>5185</xdr:colOff>
      <xdr:row>12</xdr:row>
      <xdr:rowOff>114510</xdr:rowOff>
    </xdr:to>
    <xdr:sp macro="" textlink="">
      <xdr:nvSpPr>
        <xdr:cNvPr id="9" name="Suorakulmio: Pyöristetyt kulmat 8">
          <a:hlinkClick xmlns:r="http://schemas.openxmlformats.org/officeDocument/2006/relationships" r:id="rId6"/>
          <a:extLst>
            <a:ext uri="{FF2B5EF4-FFF2-40B4-BE49-F238E27FC236}">
              <a16:creationId xmlns:a16="http://schemas.microsoft.com/office/drawing/2014/main" id="{A234DEF4-495B-4D8D-8232-A727E3E88512}"/>
            </a:ext>
          </a:extLst>
        </xdr:cNvPr>
        <xdr:cNvSpPr/>
      </xdr:nvSpPr>
      <xdr:spPr>
        <a:xfrm>
          <a:off x="7792129" y="1840367"/>
          <a:ext cx="1404681"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197304</xdr:colOff>
      <xdr:row>237</xdr:row>
      <xdr:rowOff>23811</xdr:rowOff>
    </xdr:from>
    <xdr:to>
      <xdr:col>12</xdr:col>
      <xdr:colOff>625928</xdr:colOff>
      <xdr:row>239</xdr:row>
      <xdr:rowOff>0</xdr:rowOff>
    </xdr:to>
    <xdr:sp macro="" textlink="">
      <xdr:nvSpPr>
        <xdr:cNvPr id="11" name="Suorakulmio: Pyöristetyt kulmat 10">
          <a:hlinkClick xmlns:r="http://schemas.openxmlformats.org/officeDocument/2006/relationships" r:id="rId5"/>
          <a:extLst>
            <a:ext uri="{FF2B5EF4-FFF2-40B4-BE49-F238E27FC236}">
              <a16:creationId xmlns:a16="http://schemas.microsoft.com/office/drawing/2014/main" id="{EA25DCF8-CA5A-4321-8E59-F435CD6C5097}"/>
            </a:ext>
          </a:extLst>
        </xdr:cNvPr>
        <xdr:cNvSpPr/>
      </xdr:nvSpPr>
      <xdr:spPr>
        <a:xfrm>
          <a:off x="7790090" y="32310840"/>
          <a:ext cx="2028824" cy="29187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SEURAAVAKSI 3. RAHOITUS Y3</a:t>
          </a: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2</xdr:col>
      <xdr:colOff>595313</xdr:colOff>
      <xdr:row>119</xdr:row>
      <xdr:rowOff>104775</xdr:rowOff>
    </xdr:from>
    <xdr:to>
      <xdr:col>4</xdr:col>
      <xdr:colOff>190500</xdr:colOff>
      <xdr:row>132</xdr:row>
      <xdr:rowOff>41671</xdr:rowOff>
    </xdr:to>
    <xdr:sp macro="" textlink="">
      <xdr:nvSpPr>
        <xdr:cNvPr id="33" name="Suorakulmio 32">
          <a:extLst>
            <a:ext uri="{FF2B5EF4-FFF2-40B4-BE49-F238E27FC236}">
              <a16:creationId xmlns:a16="http://schemas.microsoft.com/office/drawing/2014/main" id="{5BDA9C6A-1950-455E-B749-F68B091761F7}"/>
            </a:ext>
          </a:extLst>
        </xdr:cNvPr>
        <xdr:cNvSpPr/>
      </xdr:nvSpPr>
      <xdr:spPr>
        <a:xfrm>
          <a:off x="1204913" y="18507075"/>
          <a:ext cx="1852612" cy="2041921"/>
        </a:xfrm>
        <a:prstGeom prst="rect">
          <a:avLst/>
        </a:prstGeom>
        <a:solidFill>
          <a:srgbClr val="CCFFCC">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 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16565</xdr:colOff>
      <xdr:row>2</xdr:row>
      <xdr:rowOff>165652</xdr:rowOff>
    </xdr:from>
    <xdr:to>
      <xdr:col>11</xdr:col>
      <xdr:colOff>314739</xdr:colOff>
      <xdr:row>4</xdr:row>
      <xdr:rowOff>24848</xdr:rowOff>
    </xdr:to>
    <xdr:sp macro="" textlink="">
      <xdr:nvSpPr>
        <xdr:cNvPr id="2" name="Tekstiruutu 1">
          <a:extLst>
            <a:ext uri="{FF2B5EF4-FFF2-40B4-BE49-F238E27FC236}">
              <a16:creationId xmlns:a16="http://schemas.microsoft.com/office/drawing/2014/main" id="{4E01C86B-5348-4F7A-B703-3FB2E43B855C}"/>
            </a:ext>
          </a:extLst>
        </xdr:cNvPr>
        <xdr:cNvSpPr txBox="1"/>
      </xdr:nvSpPr>
      <xdr:spPr>
        <a:xfrm>
          <a:off x="397565" y="521804"/>
          <a:ext cx="6327913" cy="240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200" b="1">
              <a:solidFill>
                <a:schemeClr val="dk1"/>
              </a:solidFill>
              <a:effectLst/>
              <a:latin typeface="Arial" panose="020B0604020202020204" pitchFamily="34" charset="0"/>
              <a:ea typeface="+mn-ea"/>
              <a:cs typeface="Arial" panose="020B0604020202020204" pitchFamily="34" charset="0"/>
            </a:rPr>
            <a:t>RAHOITUS Y3</a:t>
          </a:r>
          <a:endParaRPr lang="fi-FI" sz="1200">
            <a:effectLst/>
            <a:latin typeface="Arial" panose="020B0604020202020204" pitchFamily="34" charset="0"/>
            <a:cs typeface="Arial" panose="020B0604020202020204" pitchFamily="34" charset="0"/>
          </a:endParaRPr>
        </a:p>
        <a:p>
          <a:endParaRPr lang="fi-FI" sz="1100"/>
        </a:p>
      </xdr:txBody>
    </xdr:sp>
    <xdr:clientData/>
  </xdr:twoCellAnchor>
  <xdr:twoCellAnchor editAs="oneCell">
    <xdr:from>
      <xdr:col>10</xdr:col>
      <xdr:colOff>19050</xdr:colOff>
      <xdr:row>69</xdr:row>
      <xdr:rowOff>76200</xdr:rowOff>
    </xdr:from>
    <xdr:to>
      <xdr:col>11</xdr:col>
      <xdr:colOff>244487</xdr:colOff>
      <xdr:row>71</xdr:row>
      <xdr:rowOff>112351</xdr:rowOff>
    </xdr:to>
    <xdr:pic>
      <xdr:nvPicPr>
        <xdr:cNvPr id="7" name="Kuva 6">
          <a:extLst>
            <a:ext uri="{FF2B5EF4-FFF2-40B4-BE49-F238E27FC236}">
              <a16:creationId xmlns:a16="http://schemas.microsoft.com/office/drawing/2014/main" id="{E8571E6F-6DAF-4B99-A23E-99FEB52B24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38900" y="10868025"/>
          <a:ext cx="1023496" cy="360000"/>
        </a:xfrm>
        <a:prstGeom prst="rect">
          <a:avLst/>
        </a:prstGeom>
      </xdr:spPr>
    </xdr:pic>
    <xdr:clientData/>
  </xdr:twoCellAnchor>
  <xdr:twoCellAnchor>
    <xdr:from>
      <xdr:col>2</xdr:col>
      <xdr:colOff>38100</xdr:colOff>
      <xdr:row>118</xdr:row>
      <xdr:rowOff>68580</xdr:rowOff>
    </xdr:from>
    <xdr:to>
      <xdr:col>11</xdr:col>
      <xdr:colOff>297180</xdr:colOff>
      <xdr:row>134</xdr:row>
      <xdr:rowOff>129540</xdr:rowOff>
    </xdr:to>
    <xdr:graphicFrame macro="">
      <xdr:nvGraphicFramePr>
        <xdr:cNvPr id="20" name="Kaavio 19">
          <a:extLst>
            <a:ext uri="{FF2B5EF4-FFF2-40B4-BE49-F238E27FC236}">
              <a16:creationId xmlns:a16="http://schemas.microsoft.com/office/drawing/2014/main" id="{1393D292-AEA5-4952-B8AE-0849B5710A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541020</xdr:colOff>
      <xdr:row>118</xdr:row>
      <xdr:rowOff>83821</xdr:rowOff>
    </xdr:from>
    <xdr:to>
      <xdr:col>4</xdr:col>
      <xdr:colOff>464820</xdr:colOff>
      <xdr:row>133</xdr:row>
      <xdr:rowOff>15240</xdr:rowOff>
    </xdr:to>
    <xdr:sp macro="" textlink="">
      <xdr:nvSpPr>
        <xdr:cNvPr id="4" name="Suorakulmio 3">
          <a:extLst>
            <a:ext uri="{FF2B5EF4-FFF2-40B4-BE49-F238E27FC236}">
              <a16:creationId xmlns:a16="http://schemas.microsoft.com/office/drawing/2014/main" id="{0CE195E7-1312-4B1A-80D9-302149D34F1A}"/>
            </a:ext>
          </a:extLst>
        </xdr:cNvPr>
        <xdr:cNvSpPr/>
      </xdr:nvSpPr>
      <xdr:spPr>
        <a:xfrm>
          <a:off x="1173480" y="18455641"/>
          <a:ext cx="2247900" cy="2446019"/>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38100</xdr:colOff>
      <xdr:row>101</xdr:row>
      <xdr:rowOff>15240</xdr:rowOff>
    </xdr:from>
    <xdr:to>
      <xdr:col>11</xdr:col>
      <xdr:colOff>281940</xdr:colOff>
      <xdr:row>117</xdr:row>
      <xdr:rowOff>99060</xdr:rowOff>
    </xdr:to>
    <xdr:graphicFrame macro="">
      <xdr:nvGraphicFramePr>
        <xdr:cNvPr id="19" name="Kaavio 18">
          <a:extLst>
            <a:ext uri="{FF2B5EF4-FFF2-40B4-BE49-F238E27FC236}">
              <a16:creationId xmlns:a16="http://schemas.microsoft.com/office/drawing/2014/main" id="{348A3105-03CA-4518-8817-06107EA338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359229</xdr:colOff>
      <xdr:row>136</xdr:row>
      <xdr:rowOff>91441</xdr:rowOff>
    </xdr:from>
    <xdr:to>
      <xdr:col>11</xdr:col>
      <xdr:colOff>326572</xdr:colOff>
      <xdr:row>165</xdr:row>
      <xdr:rowOff>32658</xdr:rowOff>
    </xdr:to>
    <xdr:sp macro="" textlink="">
      <xdr:nvSpPr>
        <xdr:cNvPr id="3" name="Suorakulmio: Taitettu kulma 2">
          <a:extLst>
            <a:ext uri="{FF2B5EF4-FFF2-40B4-BE49-F238E27FC236}">
              <a16:creationId xmlns:a16="http://schemas.microsoft.com/office/drawing/2014/main" id="{6E9133DA-AB57-40A4-B522-9C589E703463}"/>
            </a:ext>
          </a:extLst>
        </xdr:cNvPr>
        <xdr:cNvSpPr/>
      </xdr:nvSpPr>
      <xdr:spPr>
        <a:xfrm>
          <a:off x="359229" y="21253270"/>
          <a:ext cx="7059386" cy="4518659"/>
        </a:xfrm>
        <a:prstGeom prst="foldedCorner">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1100" b="1" i="0" u="none" strike="noStrike" baseline="0">
              <a:solidFill>
                <a:schemeClr val="lt1"/>
              </a:solidFill>
              <a:effectLst/>
              <a:latin typeface="+mn-lt"/>
              <a:ea typeface="+mn-ea"/>
              <a:cs typeface="+mn-cs"/>
            </a:rPr>
            <a:t> </a:t>
          </a:r>
          <a:r>
            <a:rPr lang="fi-FI" sz="1400" baseline="0"/>
            <a:t> </a:t>
          </a:r>
        </a:p>
        <a:p>
          <a:r>
            <a:rPr lang="fi-FI" sz="1100" b="1" baseline="0">
              <a:solidFill>
                <a:schemeClr val="tx1"/>
              </a:solidFill>
              <a:effectLst/>
              <a:latin typeface="+mn-lt"/>
              <a:ea typeface="+mn-ea"/>
              <a:cs typeface="+mn-cs"/>
            </a:rPr>
            <a:t>KANNATTAVUUDEN PARANTAMISTAPOJA</a:t>
          </a:r>
          <a:br>
            <a:rPr lang="fi-FI" sz="1100" b="1" baseline="0">
              <a:solidFill>
                <a:schemeClr val="tx1"/>
              </a:solidFill>
              <a:effectLst/>
              <a:latin typeface="+mn-lt"/>
              <a:ea typeface="+mn-ea"/>
              <a:cs typeface="+mn-cs"/>
            </a:rPr>
          </a:br>
          <a:endParaRPr lang="fi-FI">
            <a:solidFill>
              <a:schemeClr val="tx1"/>
            </a:solidFill>
            <a:effectLst/>
          </a:endParaRPr>
        </a:p>
        <a:p>
          <a:r>
            <a:rPr lang="fi-FI" sz="1100" b="1" baseline="0">
              <a:solidFill>
                <a:schemeClr val="tx1"/>
              </a:solidFill>
              <a:effectLst/>
              <a:latin typeface="+mn-lt"/>
              <a:ea typeface="+mn-ea"/>
              <a:cs typeface="+mn-cs"/>
            </a:rPr>
            <a:t>1. Lainan vapaavuosien lisääminen (rahoitus K3 ja Y3-taulukko)</a:t>
          </a:r>
          <a:endParaRPr lang="fi-FI">
            <a:solidFill>
              <a:schemeClr val="tx1"/>
            </a:solidFill>
            <a:effectLst/>
          </a:endParaRPr>
        </a:p>
        <a:p>
          <a:r>
            <a:rPr lang="fi-FI" sz="1100" b="0" baseline="0">
              <a:solidFill>
                <a:schemeClr val="tx1"/>
              </a:solidFill>
              <a:effectLst/>
              <a:latin typeface="+mn-lt"/>
              <a:ea typeface="+mn-ea"/>
              <a:cs typeface="+mn-cs"/>
            </a:rPr>
            <a:t>      - Yksi vapaavuosi lainan lyhennyksistä lisää käyttöpääomaa nopeasti.</a:t>
          </a:r>
          <a:endParaRPr lang="fi-FI">
            <a:solidFill>
              <a:schemeClr val="tx1"/>
            </a:solidFill>
            <a:effectLst/>
          </a:endParaRPr>
        </a:p>
        <a:p>
          <a:r>
            <a:rPr lang="fi-FI" sz="1100" b="0" baseline="0">
              <a:solidFill>
                <a:schemeClr val="tx1"/>
              </a:solidFill>
              <a:effectLst/>
              <a:latin typeface="+mn-lt"/>
              <a:ea typeface="+mn-ea"/>
              <a:cs typeface="+mn-cs"/>
            </a:rPr>
            <a:t>      - Kaksi vapaavuotta antaa liian positiivisen kuvan rahojen riittävyydestä.</a:t>
          </a:r>
          <a:endParaRPr lang="fi-FI">
            <a:solidFill>
              <a:schemeClr val="tx1"/>
            </a:solidFill>
            <a:effectLst/>
          </a:endParaRPr>
        </a:p>
        <a:p>
          <a:br>
            <a:rPr lang="fi-FI" sz="1100" b="1" baseline="0">
              <a:solidFill>
                <a:schemeClr val="tx1"/>
              </a:solidFill>
              <a:effectLst/>
              <a:latin typeface="+mn-lt"/>
              <a:ea typeface="+mn-ea"/>
              <a:cs typeface="+mn-cs"/>
            </a:rPr>
          </a:br>
          <a:r>
            <a:rPr lang="fi-FI" sz="1100" b="1" baseline="0">
              <a:solidFill>
                <a:schemeClr val="tx1"/>
              </a:solidFill>
              <a:effectLst/>
              <a:latin typeface="+mn-lt"/>
              <a:ea typeface="+mn-ea"/>
              <a:cs typeface="+mn-cs"/>
            </a:rPr>
            <a:t>2.  Osamaksu- ja leasingrahoituksen käyttö laitehankintoihin (Rahoitus K3 ja Y3-taulukko)</a:t>
          </a:r>
          <a:r>
            <a:rPr lang="fi-FI" sz="1100" b="0" baseline="0">
              <a:solidFill>
                <a:schemeClr val="tx1"/>
              </a:solidFill>
              <a:effectLst/>
              <a:latin typeface="+mn-lt"/>
              <a:ea typeface="+mn-ea"/>
              <a:cs typeface="+mn-cs"/>
            </a:rPr>
            <a:t>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Kaikkia omia rahoja ja vakuuksia ei kannata käyttää heti yrityksen alkuvaiheessa, sillä laitehankintoja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voidaan rahoittaa myös osamaksu- ja leasingrahoituksella. Osamaksukaupassa koneet tulevat yrityksen</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omaisuudeksi, kun taas leasing on vuokraamista. Osamaksurahoituksen etuna on leasingrahoitukseen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verrattuna arvonlisäveron palautus koko hankintahinnasta ja laitteet käsitellään verotuksessa yhtiön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omaisuutena. Leasingrahoituksen etuna on normaalisti pienempi ensimmäisen erän suuruus kuin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osamaksukaupassa. </a:t>
          </a:r>
          <a:endParaRPr lang="fi-FI">
            <a:solidFill>
              <a:schemeClr val="tx1"/>
            </a:solidFill>
            <a:effectLst/>
          </a:endParaRPr>
        </a:p>
        <a:p>
          <a:br>
            <a:rPr lang="fi-FI" sz="1100" b="1" baseline="0">
              <a:solidFill>
                <a:schemeClr val="tx1"/>
              </a:solidFill>
              <a:effectLst/>
              <a:latin typeface="+mn-lt"/>
              <a:ea typeface="+mn-ea"/>
              <a:cs typeface="+mn-cs"/>
            </a:rPr>
          </a:br>
          <a:r>
            <a:rPr lang="fi-FI" sz="1100" b="1" baseline="0">
              <a:solidFill>
                <a:schemeClr val="tx1"/>
              </a:solidFill>
              <a:effectLst/>
              <a:latin typeface="+mn-lt"/>
              <a:ea typeface="+mn-ea"/>
              <a:cs typeface="+mn-cs"/>
            </a:rPr>
            <a:t>3.  YEL Yrittäjäeläkevakuutuksen maksun pienentäminen (Kustannukset K1 ja Y1-taulukko)</a:t>
          </a:r>
          <a:br>
            <a:rPr lang="fi-FI" sz="1100" b="1" baseline="0">
              <a:solidFill>
                <a:schemeClr val="tx1"/>
              </a:solidFill>
              <a:effectLst/>
              <a:latin typeface="+mn-lt"/>
              <a:ea typeface="+mn-ea"/>
              <a:cs typeface="+mn-cs"/>
            </a:rPr>
          </a:br>
          <a:r>
            <a:rPr lang="fi-FI" sz="1100" b="0" baseline="0">
              <a:solidFill>
                <a:schemeClr val="tx1"/>
              </a:solidFill>
              <a:effectLst/>
              <a:latin typeface="+mn-lt"/>
              <a:ea typeface="+mn-ea"/>
              <a:cs typeface="+mn-cs"/>
            </a:rPr>
            <a:t>     Laskelma ehdottaa yrittäjäeläkevakuutuksen perusteena olevan työtulon laskelmassa olevan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kuukausipalkan mukaan. YEL-maksua voidaan myös maksaa vähemmän. J</a:t>
          </a:r>
          <a:r>
            <a:rPr lang="fi-FI" sz="1100">
              <a:solidFill>
                <a:schemeClr val="tx1"/>
              </a:solidFill>
              <a:effectLst/>
              <a:latin typeface="+mn-lt"/>
              <a:ea typeface="+mn-ea"/>
              <a:cs typeface="+mn-cs"/>
            </a:rPr>
            <a:t>os sairastut, päivärahan määrä </a:t>
          </a:r>
          <a:br>
            <a:rPr lang="fi-FI" sz="1100">
              <a:solidFill>
                <a:schemeClr val="tx1"/>
              </a:solidFill>
              <a:effectLst/>
              <a:latin typeface="+mn-lt"/>
              <a:ea typeface="+mn-ea"/>
              <a:cs typeface="+mn-cs"/>
            </a:rPr>
          </a:br>
          <a:r>
            <a:rPr lang="fi-FI" sz="1100">
              <a:solidFill>
                <a:schemeClr val="tx1"/>
              </a:solidFill>
              <a:effectLst/>
              <a:latin typeface="+mn-lt"/>
              <a:ea typeface="+mn-ea"/>
              <a:cs typeface="+mn-cs"/>
            </a:rPr>
            <a:t>     riippuu YEL-työtulostasi. </a:t>
          </a:r>
          <a:r>
            <a:rPr lang="fi-FI" sz="1100" b="0" baseline="0">
              <a:solidFill>
                <a:schemeClr val="tx1"/>
              </a:solidFill>
              <a:effectLst/>
              <a:latin typeface="+mn-lt"/>
              <a:ea typeface="+mn-ea"/>
              <a:cs typeface="+mn-cs"/>
            </a:rPr>
            <a:t>YELiä kannattaisi maksaa alussa, koska vakuutusmaksusta saa 22 %:n alennuksen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ensimmäiset 4 vuotta. </a:t>
          </a:r>
          <a:br>
            <a:rPr lang="fi-FI" sz="1100" b="1" baseline="0">
              <a:solidFill>
                <a:schemeClr val="tx1"/>
              </a:solidFill>
              <a:effectLst/>
              <a:latin typeface="+mn-lt"/>
              <a:ea typeface="+mn-ea"/>
              <a:cs typeface="+mn-cs"/>
            </a:rPr>
          </a:br>
          <a:endParaRPr lang="fi-FI">
            <a:solidFill>
              <a:schemeClr val="tx1"/>
            </a:solidFill>
            <a:effectLst/>
          </a:endParaRPr>
        </a:p>
      </xdr:txBody>
    </xdr:sp>
    <xdr:clientData fPrintsWithSheet="0"/>
  </xdr:twoCellAnchor>
  <xdr:twoCellAnchor editAs="oneCell">
    <xdr:from>
      <xdr:col>10</xdr:col>
      <xdr:colOff>172072</xdr:colOff>
      <xdr:row>4</xdr:row>
      <xdr:rowOff>7248</xdr:rowOff>
    </xdr:from>
    <xdr:to>
      <xdr:col>11</xdr:col>
      <xdr:colOff>322190</xdr:colOff>
      <xdr:row>6</xdr:row>
      <xdr:rowOff>22431</xdr:rowOff>
    </xdr:to>
    <xdr:pic>
      <xdr:nvPicPr>
        <xdr:cNvPr id="8" name="Kuva 7">
          <a:extLst>
            <a:ext uri="{FF2B5EF4-FFF2-40B4-BE49-F238E27FC236}">
              <a16:creationId xmlns:a16="http://schemas.microsoft.com/office/drawing/2014/main" id="{4467A839-1998-4B94-9088-BD5EE54225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599376" y="740259"/>
          <a:ext cx="945675" cy="360000"/>
        </a:xfrm>
        <a:prstGeom prst="rect">
          <a:avLst/>
        </a:prstGeom>
      </xdr:spPr>
    </xdr:pic>
    <xdr:clientData/>
  </xdr:twoCellAnchor>
  <xdr:twoCellAnchor>
    <xdr:from>
      <xdr:col>13</xdr:col>
      <xdr:colOff>3986</xdr:colOff>
      <xdr:row>7</xdr:row>
      <xdr:rowOff>75851</xdr:rowOff>
    </xdr:from>
    <xdr:to>
      <xdr:col>14</xdr:col>
      <xdr:colOff>757732</xdr:colOff>
      <xdr:row>9</xdr:row>
      <xdr:rowOff>58103</xdr:rowOff>
    </xdr:to>
    <xdr:sp macro="" textlink="">
      <xdr:nvSpPr>
        <xdr:cNvPr id="6" name="Suorakulmio: Pyöristetyt kulmat 5">
          <a:extLst>
            <a:ext uri="{FF2B5EF4-FFF2-40B4-BE49-F238E27FC236}">
              <a16:creationId xmlns:a16="http://schemas.microsoft.com/office/drawing/2014/main" id="{4FBBD846-2721-41CE-884D-ED0640AC2F5D}"/>
            </a:ext>
          </a:extLst>
        </xdr:cNvPr>
        <xdr:cNvSpPr/>
      </xdr:nvSpPr>
      <xdr:spPr>
        <a:xfrm>
          <a:off x="7735953" y="1354145"/>
          <a:ext cx="1406889" cy="293272"/>
        </a:xfrm>
        <a:prstGeom prst="roundRect">
          <a:avLst/>
        </a:prstGeom>
        <a:solidFill>
          <a:schemeClr val="accent1">
            <a:lumMod val="60000"/>
            <a:lumOff val="4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Y3</a:t>
          </a:r>
        </a:p>
      </xdr:txBody>
    </xdr:sp>
    <xdr:clientData fPrintsWithSheet="0"/>
  </xdr:twoCellAnchor>
  <xdr:twoCellAnchor>
    <xdr:from>
      <xdr:col>12</xdr:col>
      <xdr:colOff>264369</xdr:colOff>
      <xdr:row>3</xdr:row>
      <xdr:rowOff>67647</xdr:rowOff>
    </xdr:from>
    <xdr:to>
      <xdr:col>14</xdr:col>
      <xdr:colOff>746846</xdr:colOff>
      <xdr:row>4</xdr:row>
      <xdr:rowOff>167411</xdr:rowOff>
    </xdr:to>
    <xdr:sp macro="" textlink="">
      <xdr:nvSpPr>
        <xdr:cNvPr id="9" name="Suorakulmio: Pyöristetyt kulmat 8">
          <a:hlinkClick xmlns:r="http://schemas.openxmlformats.org/officeDocument/2006/relationships" r:id="rId5"/>
          <a:extLst>
            <a:ext uri="{FF2B5EF4-FFF2-40B4-BE49-F238E27FC236}">
              <a16:creationId xmlns:a16="http://schemas.microsoft.com/office/drawing/2014/main" id="{6560046B-B610-4242-8CA9-33B8B0DABD67}"/>
            </a:ext>
          </a:extLst>
        </xdr:cNvPr>
        <xdr:cNvSpPr/>
      </xdr:nvSpPr>
      <xdr:spPr>
        <a:xfrm>
          <a:off x="7722638" y="605712"/>
          <a:ext cx="1409318" cy="28948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13</xdr:col>
      <xdr:colOff>1921</xdr:colOff>
      <xdr:row>5</xdr:row>
      <xdr:rowOff>61539</xdr:rowOff>
    </xdr:from>
    <xdr:to>
      <xdr:col>14</xdr:col>
      <xdr:colOff>755667</xdr:colOff>
      <xdr:row>6</xdr:row>
      <xdr:rowOff>198712</xdr:rowOff>
    </xdr:to>
    <xdr:sp macro="" textlink="">
      <xdr:nvSpPr>
        <xdr:cNvPr id="10" name="Suorakulmio: Pyöristetyt kulmat 9">
          <a:hlinkClick xmlns:r="http://schemas.openxmlformats.org/officeDocument/2006/relationships" r:id="rId6"/>
          <a:extLst>
            <a:ext uri="{FF2B5EF4-FFF2-40B4-BE49-F238E27FC236}">
              <a16:creationId xmlns:a16="http://schemas.microsoft.com/office/drawing/2014/main" id="{03553B3A-F152-4FDE-9B5A-8C76A8ACE275}"/>
            </a:ext>
          </a:extLst>
        </xdr:cNvPr>
        <xdr:cNvSpPr/>
      </xdr:nvSpPr>
      <xdr:spPr>
        <a:xfrm>
          <a:off x="7733888" y="979049"/>
          <a:ext cx="1406889" cy="28957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13</xdr:col>
      <xdr:colOff>9428</xdr:colOff>
      <xdr:row>11</xdr:row>
      <xdr:rowOff>14256</xdr:rowOff>
    </xdr:from>
    <xdr:to>
      <xdr:col>14</xdr:col>
      <xdr:colOff>763174</xdr:colOff>
      <xdr:row>13</xdr:row>
      <xdr:rowOff>68174</xdr:rowOff>
    </xdr:to>
    <xdr:sp macro="" textlink="">
      <xdr:nvSpPr>
        <xdr:cNvPr id="11" name="Suorakulmio: Pyöristetyt kulmat 10">
          <a:hlinkClick xmlns:r="http://schemas.openxmlformats.org/officeDocument/2006/relationships" r:id="rId7"/>
          <a:extLst>
            <a:ext uri="{FF2B5EF4-FFF2-40B4-BE49-F238E27FC236}">
              <a16:creationId xmlns:a16="http://schemas.microsoft.com/office/drawing/2014/main" id="{69FA827A-8DF8-4427-B2F0-787CF73A2E1B}"/>
            </a:ext>
          </a:extLst>
        </xdr:cNvPr>
        <xdr:cNvSpPr/>
      </xdr:nvSpPr>
      <xdr:spPr>
        <a:xfrm>
          <a:off x="7741395" y="1737309"/>
          <a:ext cx="1406889" cy="29029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16328</xdr:colOff>
      <xdr:row>91</xdr:row>
      <xdr:rowOff>148458</xdr:rowOff>
    </xdr:from>
    <xdr:to>
      <xdr:col>11</xdr:col>
      <xdr:colOff>284979</xdr:colOff>
      <xdr:row>96</xdr:row>
      <xdr:rowOff>59428</xdr:rowOff>
    </xdr:to>
    <xdr:sp macro="" textlink="">
      <xdr:nvSpPr>
        <xdr:cNvPr id="12" name="Suorakulmio: Pyöristetyt kulmat 11">
          <a:hlinkClick xmlns:r="http://schemas.openxmlformats.org/officeDocument/2006/relationships" r:id="rId8"/>
          <a:extLst>
            <a:ext uri="{FF2B5EF4-FFF2-40B4-BE49-F238E27FC236}">
              <a16:creationId xmlns:a16="http://schemas.microsoft.com/office/drawing/2014/main" id="{640706A9-2F51-48B1-A66E-4D467C179951}"/>
            </a:ext>
          </a:extLst>
        </xdr:cNvPr>
        <xdr:cNvSpPr/>
      </xdr:nvSpPr>
      <xdr:spPr>
        <a:xfrm>
          <a:off x="5970814" y="14348872"/>
          <a:ext cx="1406208" cy="64031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twoCellAnchor>
    <xdr:from>
      <xdr:col>12</xdr:col>
      <xdr:colOff>204952</xdr:colOff>
      <xdr:row>132</xdr:row>
      <xdr:rowOff>156529</xdr:rowOff>
    </xdr:from>
    <xdr:to>
      <xdr:col>15</xdr:col>
      <xdr:colOff>457199</xdr:colOff>
      <xdr:row>134</xdr:row>
      <xdr:rowOff>128804</xdr:rowOff>
    </xdr:to>
    <xdr:sp macro="" textlink="">
      <xdr:nvSpPr>
        <xdr:cNvPr id="13" name="Suorakulmio: Pyöristetyt kulmat 12">
          <a:hlinkClick xmlns:r="http://schemas.openxmlformats.org/officeDocument/2006/relationships" r:id="rId7"/>
          <a:extLst>
            <a:ext uri="{FF2B5EF4-FFF2-40B4-BE49-F238E27FC236}">
              <a16:creationId xmlns:a16="http://schemas.microsoft.com/office/drawing/2014/main" id="{D36B7044-2891-4036-AF32-4342EDC806E9}"/>
            </a:ext>
          </a:extLst>
        </xdr:cNvPr>
        <xdr:cNvSpPr/>
      </xdr:nvSpPr>
      <xdr:spPr>
        <a:xfrm>
          <a:off x="7451572" y="21279169"/>
          <a:ext cx="2065807" cy="307555"/>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a:t>
          </a:r>
          <a:r>
            <a:rPr lang="fi-FI" sz="1000" b="1" baseline="0"/>
            <a:t> </a:t>
          </a:r>
          <a:r>
            <a:rPr lang="fi-FI" sz="1000" b="1"/>
            <a:t>4. KASSABUDJETTI</a:t>
          </a:r>
        </a:p>
      </xdr:txBody>
    </xdr:sp>
    <xdr:clientData fPrintsWithSheet="0"/>
  </xdr:twoCellAnchor>
</xdr:wsDr>
</file>

<file path=xl/drawings/drawing12.xml><?xml version="1.0" encoding="utf-8"?>
<c:userShapes xmlns:c="http://schemas.openxmlformats.org/drawingml/2006/chart">
  <cdr:relSizeAnchor xmlns:cdr="http://schemas.openxmlformats.org/drawingml/2006/chartDrawing">
    <cdr:from>
      <cdr:x>0.09345</cdr:x>
      <cdr:y>0</cdr:y>
    </cdr:from>
    <cdr:to>
      <cdr:x>0.43819</cdr:x>
      <cdr:y>0.80165</cdr:y>
    </cdr:to>
    <cdr:sp macro="" textlink="">
      <cdr:nvSpPr>
        <cdr:cNvPr id="2" name="Suorakulmio 1">
          <a:extLst xmlns:a="http://schemas.openxmlformats.org/drawingml/2006/main">
            <a:ext uri="{FF2B5EF4-FFF2-40B4-BE49-F238E27FC236}">
              <a16:creationId xmlns:a16="http://schemas.microsoft.com/office/drawing/2014/main" id="{0CE195E7-1312-4B1A-80D9-302149D34F1A}"/>
            </a:ext>
          </a:extLst>
        </cdr:cNvPr>
        <cdr:cNvSpPr/>
      </cdr:nvSpPr>
      <cdr:spPr>
        <a:xfrm xmlns:a="http://schemas.openxmlformats.org/drawingml/2006/main">
          <a:off x="633848" y="0"/>
          <a:ext cx="2338287" cy="2155564"/>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1</xdr:col>
      <xdr:colOff>140572</xdr:colOff>
      <xdr:row>2</xdr:row>
      <xdr:rowOff>399330</xdr:rowOff>
    </xdr:from>
    <xdr:to>
      <xdr:col>2</xdr:col>
      <xdr:colOff>892942</xdr:colOff>
      <xdr:row>4</xdr:row>
      <xdr:rowOff>66675</xdr:rowOff>
    </xdr:to>
    <xdr:sp macro="" textlink="">
      <xdr:nvSpPr>
        <xdr:cNvPr id="2" name="Tekstiruutu 1">
          <a:hlinkClick xmlns:r="http://schemas.openxmlformats.org/officeDocument/2006/relationships" r:id="rId1"/>
          <a:extLst>
            <a:ext uri="{FF2B5EF4-FFF2-40B4-BE49-F238E27FC236}">
              <a16:creationId xmlns:a16="http://schemas.microsoft.com/office/drawing/2014/main" id="{974D568A-37D8-4F5A-9D37-34032B4C4F65}"/>
            </a:ext>
          </a:extLst>
        </xdr:cNvPr>
        <xdr:cNvSpPr txBox="1"/>
      </xdr:nvSpPr>
      <xdr:spPr>
        <a:xfrm>
          <a:off x="232012" y="772710"/>
          <a:ext cx="1118130" cy="269325"/>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fi-FI" sz="1100" b="1"/>
            <a:t>RAHOITUS Y3</a:t>
          </a:r>
        </a:p>
      </xdr:txBody>
    </xdr:sp>
    <xdr:clientData fPrintsWithSheet="0"/>
  </xdr:twoCellAnchor>
  <xdr:twoCellAnchor>
    <xdr:from>
      <xdr:col>1</xdr:col>
      <xdr:colOff>139211</xdr:colOff>
      <xdr:row>1</xdr:row>
      <xdr:rowOff>124558</xdr:rowOff>
    </xdr:from>
    <xdr:to>
      <xdr:col>2</xdr:col>
      <xdr:colOff>893885</xdr:colOff>
      <xdr:row>2</xdr:row>
      <xdr:rowOff>179509</xdr:rowOff>
    </xdr:to>
    <xdr:sp macro="" textlink="">
      <xdr:nvSpPr>
        <xdr:cNvPr id="3" name="Tekstiruutu 2">
          <a:hlinkClick xmlns:r="http://schemas.openxmlformats.org/officeDocument/2006/relationships" r:id="rId2"/>
          <a:extLst>
            <a:ext uri="{FF2B5EF4-FFF2-40B4-BE49-F238E27FC236}">
              <a16:creationId xmlns:a16="http://schemas.microsoft.com/office/drawing/2014/main" id="{0733189F-848D-4328-853A-454ED1236DAE}"/>
            </a:ext>
          </a:extLst>
        </xdr:cNvPr>
        <xdr:cNvSpPr txBox="1"/>
      </xdr:nvSpPr>
      <xdr:spPr>
        <a:xfrm>
          <a:off x="230651" y="292198"/>
          <a:ext cx="1120434" cy="260691"/>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fi-FI" sz="1100" b="1"/>
            <a:t>RAHOITUS K3</a:t>
          </a:r>
        </a:p>
      </xdr:txBody>
    </xdr:sp>
    <xdr:clientData fPrintsWithSheet="0"/>
  </xdr:twoCellAnchor>
  <xdr:twoCellAnchor editAs="oneCell">
    <xdr:from>
      <xdr:col>0</xdr:col>
      <xdr:colOff>109903</xdr:colOff>
      <xdr:row>1</xdr:row>
      <xdr:rowOff>91586</xdr:rowOff>
    </xdr:from>
    <xdr:to>
      <xdr:col>2</xdr:col>
      <xdr:colOff>1345</xdr:colOff>
      <xdr:row>2</xdr:row>
      <xdr:rowOff>207564</xdr:rowOff>
    </xdr:to>
    <xdr:pic>
      <xdr:nvPicPr>
        <xdr:cNvPr id="4" name="Kuva 3">
          <a:hlinkClick xmlns:r="http://schemas.openxmlformats.org/officeDocument/2006/relationships" r:id="rId2"/>
          <a:extLst>
            <a:ext uri="{FF2B5EF4-FFF2-40B4-BE49-F238E27FC236}">
              <a16:creationId xmlns:a16="http://schemas.microsoft.com/office/drawing/2014/main" id="{382DA2B7-0138-41BA-8C55-184C16F18F2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663" y="259226"/>
          <a:ext cx="346737" cy="321718"/>
        </a:xfrm>
        <a:prstGeom prst="rect">
          <a:avLst/>
        </a:prstGeom>
      </xdr:spPr>
    </xdr:pic>
    <xdr:clientData/>
  </xdr:twoCellAnchor>
  <xdr:twoCellAnchor editAs="oneCell">
    <xdr:from>
      <xdr:col>0</xdr:col>
      <xdr:colOff>109904</xdr:colOff>
      <xdr:row>2</xdr:row>
      <xdr:rowOff>373671</xdr:rowOff>
    </xdr:from>
    <xdr:to>
      <xdr:col>2</xdr:col>
      <xdr:colOff>1346</xdr:colOff>
      <xdr:row>4</xdr:row>
      <xdr:rowOff>93599</xdr:rowOff>
    </xdr:to>
    <xdr:pic>
      <xdr:nvPicPr>
        <xdr:cNvPr id="5" name="Kuva 4">
          <a:hlinkClick xmlns:r="http://schemas.openxmlformats.org/officeDocument/2006/relationships" r:id="rId1"/>
          <a:extLst>
            <a:ext uri="{FF2B5EF4-FFF2-40B4-BE49-F238E27FC236}">
              <a16:creationId xmlns:a16="http://schemas.microsoft.com/office/drawing/2014/main" id="{BBBE3BAB-1231-4ABD-81D0-A098233C135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664" y="747051"/>
          <a:ext cx="346737" cy="333338"/>
        </a:xfrm>
        <a:prstGeom prst="rect">
          <a:avLst/>
        </a:prstGeom>
      </xdr:spPr>
    </xdr:pic>
    <xdr:clientData/>
  </xdr:twoCellAnchor>
  <xdr:twoCellAnchor editAs="oneCell">
    <xdr:from>
      <xdr:col>25</xdr:col>
      <xdr:colOff>377833</xdr:colOff>
      <xdr:row>2</xdr:row>
      <xdr:rowOff>229558</xdr:rowOff>
    </xdr:from>
    <xdr:to>
      <xdr:col>26</xdr:col>
      <xdr:colOff>555907</xdr:colOff>
      <xdr:row>3</xdr:row>
      <xdr:rowOff>148772</xdr:rowOff>
    </xdr:to>
    <xdr:pic>
      <xdr:nvPicPr>
        <xdr:cNvPr id="6" name="Kuva 5">
          <a:extLst>
            <a:ext uri="{FF2B5EF4-FFF2-40B4-BE49-F238E27FC236}">
              <a16:creationId xmlns:a16="http://schemas.microsoft.com/office/drawing/2014/main" id="{04EA8C4E-7AF7-4364-9389-390CBB1E823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679715" y="606076"/>
          <a:ext cx="942540" cy="3226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137160</xdr:colOff>
      <xdr:row>12</xdr:row>
      <xdr:rowOff>121920</xdr:rowOff>
    </xdr:from>
    <xdr:to>
      <xdr:col>12</xdr:col>
      <xdr:colOff>594360</xdr:colOff>
      <xdr:row>15</xdr:row>
      <xdr:rowOff>60960</xdr:rowOff>
    </xdr:to>
    <xdr:sp macro="" textlink="">
      <xdr:nvSpPr>
        <xdr:cNvPr id="3" name="Ellipsi 2">
          <a:extLst>
            <a:ext uri="{FF2B5EF4-FFF2-40B4-BE49-F238E27FC236}">
              <a16:creationId xmlns:a16="http://schemas.microsoft.com/office/drawing/2014/main" id="{452B4622-A31F-4FA5-A990-E500EE3ECB39}"/>
            </a:ext>
          </a:extLst>
        </xdr:cNvPr>
        <xdr:cNvSpPr/>
      </xdr:nvSpPr>
      <xdr:spPr>
        <a:xfrm>
          <a:off x="8321040" y="2057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14</xdr:col>
      <xdr:colOff>53340</xdr:colOff>
      <xdr:row>12</xdr:row>
      <xdr:rowOff>106680</xdr:rowOff>
    </xdr:from>
    <xdr:to>
      <xdr:col>14</xdr:col>
      <xdr:colOff>510540</xdr:colOff>
      <xdr:row>15</xdr:row>
      <xdr:rowOff>45720</xdr:rowOff>
    </xdr:to>
    <xdr:sp macro="" textlink="">
      <xdr:nvSpPr>
        <xdr:cNvPr id="4" name="Ellipsi 3">
          <a:extLst>
            <a:ext uri="{FF2B5EF4-FFF2-40B4-BE49-F238E27FC236}">
              <a16:creationId xmlns:a16="http://schemas.microsoft.com/office/drawing/2014/main" id="{31DE32A4-F83D-4FDB-A962-2EB54EDB2BD1}"/>
            </a:ext>
          </a:extLst>
        </xdr:cNvPr>
        <xdr:cNvSpPr/>
      </xdr:nvSpPr>
      <xdr:spPr>
        <a:xfrm>
          <a:off x="9220200" y="204216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60960</xdr:colOff>
      <xdr:row>8</xdr:row>
      <xdr:rowOff>30480</xdr:rowOff>
    </xdr:from>
    <xdr:to>
      <xdr:col>0</xdr:col>
      <xdr:colOff>518160</xdr:colOff>
      <xdr:row>10</xdr:row>
      <xdr:rowOff>137160</xdr:rowOff>
    </xdr:to>
    <xdr:sp macro="" textlink="">
      <xdr:nvSpPr>
        <xdr:cNvPr id="6" name="Ellipsi 5">
          <a:extLst>
            <a:ext uri="{FF2B5EF4-FFF2-40B4-BE49-F238E27FC236}">
              <a16:creationId xmlns:a16="http://schemas.microsoft.com/office/drawing/2014/main" id="{475DA271-056C-497F-A950-A1D6E2E907C6}"/>
            </a:ext>
          </a:extLst>
        </xdr:cNvPr>
        <xdr:cNvSpPr/>
      </xdr:nvSpPr>
      <xdr:spPr>
        <a:xfrm>
          <a:off x="60960" y="1295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editAs="oneCell">
    <xdr:from>
      <xdr:col>7</xdr:col>
      <xdr:colOff>476250</xdr:colOff>
      <xdr:row>11</xdr:row>
      <xdr:rowOff>142875</xdr:rowOff>
    </xdr:from>
    <xdr:to>
      <xdr:col>19</xdr:col>
      <xdr:colOff>15240</xdr:colOff>
      <xdr:row>31</xdr:row>
      <xdr:rowOff>57867</xdr:rowOff>
    </xdr:to>
    <xdr:pic>
      <xdr:nvPicPr>
        <xdr:cNvPr id="14" name="Kuva 13">
          <a:extLst>
            <a:ext uri="{FF2B5EF4-FFF2-40B4-BE49-F238E27FC236}">
              <a16:creationId xmlns:a16="http://schemas.microsoft.com/office/drawing/2014/main" id="{1E7D2C4F-A7F9-498C-AFFC-B7B90908B3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29375" y="1943100"/>
          <a:ext cx="6972300" cy="3361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342900</xdr:colOff>
      <xdr:row>11</xdr:row>
      <xdr:rowOff>76200</xdr:rowOff>
    </xdr:from>
    <xdr:to>
      <xdr:col>12</xdr:col>
      <xdr:colOff>121920</xdr:colOff>
      <xdr:row>14</xdr:row>
      <xdr:rowOff>22860</xdr:rowOff>
    </xdr:to>
    <xdr:sp macro="" textlink="">
      <xdr:nvSpPr>
        <xdr:cNvPr id="15" name="Ellipsi 14">
          <a:extLst>
            <a:ext uri="{FF2B5EF4-FFF2-40B4-BE49-F238E27FC236}">
              <a16:creationId xmlns:a16="http://schemas.microsoft.com/office/drawing/2014/main" id="{A0B3A0DC-492A-4F96-934B-A8733DB44601}"/>
            </a:ext>
          </a:extLst>
        </xdr:cNvPr>
        <xdr:cNvSpPr/>
      </xdr:nvSpPr>
      <xdr:spPr>
        <a:xfrm>
          <a:off x="7917180" y="14478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12</xdr:col>
      <xdr:colOff>480060</xdr:colOff>
      <xdr:row>11</xdr:row>
      <xdr:rowOff>114300</xdr:rowOff>
    </xdr:from>
    <xdr:to>
      <xdr:col>13</xdr:col>
      <xdr:colOff>259080</xdr:colOff>
      <xdr:row>14</xdr:row>
      <xdr:rowOff>60960</xdr:rowOff>
    </xdr:to>
    <xdr:sp macro="" textlink="">
      <xdr:nvSpPr>
        <xdr:cNvPr id="16" name="Ellipsi 15">
          <a:extLst>
            <a:ext uri="{FF2B5EF4-FFF2-40B4-BE49-F238E27FC236}">
              <a16:creationId xmlns:a16="http://schemas.microsoft.com/office/drawing/2014/main" id="{FE0110DC-C1A9-4B29-AE1E-4101BE65DD43}"/>
            </a:ext>
          </a:extLst>
        </xdr:cNvPr>
        <xdr:cNvSpPr/>
      </xdr:nvSpPr>
      <xdr:spPr>
        <a:xfrm>
          <a:off x="8663940" y="14859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15</xdr:col>
      <xdr:colOff>259080</xdr:colOff>
      <xdr:row>11</xdr:row>
      <xdr:rowOff>152400</xdr:rowOff>
    </xdr:from>
    <xdr:to>
      <xdr:col>16</xdr:col>
      <xdr:colOff>15240</xdr:colOff>
      <xdr:row>14</xdr:row>
      <xdr:rowOff>22860</xdr:rowOff>
    </xdr:to>
    <xdr:sp macro="" textlink="">
      <xdr:nvSpPr>
        <xdr:cNvPr id="17" name="Ellipsi 16">
          <a:extLst>
            <a:ext uri="{FF2B5EF4-FFF2-40B4-BE49-F238E27FC236}">
              <a16:creationId xmlns:a16="http://schemas.microsoft.com/office/drawing/2014/main" id="{A830442F-61AE-4ED2-9143-3D88931C8133}"/>
            </a:ext>
          </a:extLst>
        </xdr:cNvPr>
        <xdr:cNvSpPr/>
      </xdr:nvSpPr>
      <xdr:spPr>
        <a:xfrm>
          <a:off x="10271760" y="152400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17</xdr:col>
      <xdr:colOff>411480</xdr:colOff>
      <xdr:row>11</xdr:row>
      <xdr:rowOff>144780</xdr:rowOff>
    </xdr:from>
    <xdr:to>
      <xdr:col>18</xdr:col>
      <xdr:colOff>167640</xdr:colOff>
      <xdr:row>14</xdr:row>
      <xdr:rowOff>15240</xdr:rowOff>
    </xdr:to>
    <xdr:sp macro="" textlink="">
      <xdr:nvSpPr>
        <xdr:cNvPr id="18" name="Ellipsi 17">
          <a:extLst>
            <a:ext uri="{FF2B5EF4-FFF2-40B4-BE49-F238E27FC236}">
              <a16:creationId xmlns:a16="http://schemas.microsoft.com/office/drawing/2014/main" id="{D636CA2A-EC3C-4941-ACF9-F19AC3E03A98}"/>
            </a:ext>
          </a:extLst>
        </xdr:cNvPr>
        <xdr:cNvSpPr/>
      </xdr:nvSpPr>
      <xdr:spPr>
        <a:xfrm>
          <a:off x="11643360" y="151638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16329</xdr:colOff>
      <xdr:row>3</xdr:row>
      <xdr:rowOff>60120</xdr:rowOff>
    </xdr:from>
    <xdr:to>
      <xdr:col>7</xdr:col>
      <xdr:colOff>723900</xdr:colOff>
      <xdr:row>5</xdr:row>
      <xdr:rowOff>2970</xdr:rowOff>
    </xdr:to>
    <xdr:sp macro="" textlink="">
      <xdr:nvSpPr>
        <xdr:cNvPr id="14" name="Tekstiruutu 13">
          <a:extLst>
            <a:ext uri="{FF2B5EF4-FFF2-40B4-BE49-F238E27FC236}">
              <a16:creationId xmlns:a16="http://schemas.microsoft.com/office/drawing/2014/main" id="{1FA6FBEC-481D-41FB-B894-5D456EA115C0}"/>
            </a:ext>
          </a:extLst>
        </xdr:cNvPr>
        <xdr:cNvSpPr txBox="1"/>
      </xdr:nvSpPr>
      <xdr:spPr>
        <a:xfrm>
          <a:off x="963386" y="598963"/>
          <a:ext cx="6749143"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K1</a:t>
          </a:r>
        </a:p>
      </xdr:txBody>
    </xdr:sp>
    <xdr:clientData/>
  </xdr:twoCellAnchor>
  <xdr:twoCellAnchor>
    <xdr:from>
      <xdr:col>7</xdr:col>
      <xdr:colOff>700336</xdr:colOff>
      <xdr:row>23</xdr:row>
      <xdr:rowOff>37555</xdr:rowOff>
    </xdr:from>
    <xdr:to>
      <xdr:col>7</xdr:col>
      <xdr:colOff>765371</xdr:colOff>
      <xdr:row>23</xdr:row>
      <xdr:rowOff>38471</xdr:rowOff>
    </xdr:to>
    <xdr:cxnSp macro="">
      <xdr:nvCxnSpPr>
        <xdr:cNvPr id="5" name="Suora nuoliyhdysviiva 4">
          <a:extLst>
            <a:ext uri="{FF2B5EF4-FFF2-40B4-BE49-F238E27FC236}">
              <a16:creationId xmlns:a16="http://schemas.microsoft.com/office/drawing/2014/main" id="{EF7505A2-4E3E-4C10-BA1C-936F1D52684D}"/>
            </a:ext>
          </a:extLst>
        </xdr:cNvPr>
        <xdr:cNvCxnSpPr/>
      </xdr:nvCxnSpPr>
      <xdr:spPr>
        <a:xfrm>
          <a:off x="7689813" y="3728802"/>
          <a:ext cx="65035" cy="91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692727</xdr:colOff>
      <xdr:row>126</xdr:row>
      <xdr:rowOff>21206</xdr:rowOff>
    </xdr:from>
    <xdr:to>
      <xdr:col>7</xdr:col>
      <xdr:colOff>762503</xdr:colOff>
      <xdr:row>126</xdr:row>
      <xdr:rowOff>21769</xdr:rowOff>
    </xdr:to>
    <xdr:cxnSp macro="">
      <xdr:nvCxnSpPr>
        <xdr:cNvPr id="33" name="Suora nuoliyhdysviiva 32">
          <a:extLst>
            <a:ext uri="{FF2B5EF4-FFF2-40B4-BE49-F238E27FC236}">
              <a16:creationId xmlns:a16="http://schemas.microsoft.com/office/drawing/2014/main" id="{52975C32-AABA-4B96-8283-4885CBFD0929}"/>
            </a:ext>
          </a:extLst>
        </xdr:cNvPr>
        <xdr:cNvCxnSpPr/>
      </xdr:nvCxnSpPr>
      <xdr:spPr>
        <a:xfrm>
          <a:off x="7682204" y="19884100"/>
          <a:ext cx="69776" cy="563"/>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20616</xdr:colOff>
      <xdr:row>126</xdr:row>
      <xdr:rowOff>22551</xdr:rowOff>
    </xdr:from>
    <xdr:to>
      <xdr:col>8</xdr:col>
      <xdr:colOff>93305</xdr:colOff>
      <xdr:row>126</xdr:row>
      <xdr:rowOff>22620</xdr:rowOff>
    </xdr:to>
    <xdr:cxnSp macro="">
      <xdr:nvCxnSpPr>
        <xdr:cNvPr id="34" name="Suora nuoliyhdysviiva 33">
          <a:extLst>
            <a:ext uri="{FF2B5EF4-FFF2-40B4-BE49-F238E27FC236}">
              <a16:creationId xmlns:a16="http://schemas.microsoft.com/office/drawing/2014/main" id="{DE727D60-B7D3-4F7E-85EA-0AD76907EAD4}"/>
            </a:ext>
          </a:extLst>
        </xdr:cNvPr>
        <xdr:cNvCxnSpPr/>
      </xdr:nvCxnSpPr>
      <xdr:spPr>
        <a:xfrm flipH="1" flipV="1">
          <a:off x="7777748" y="19885445"/>
          <a:ext cx="72689" cy="69"/>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561106</xdr:colOff>
      <xdr:row>4</xdr:row>
      <xdr:rowOff>10428</xdr:rowOff>
    </xdr:from>
    <xdr:to>
      <xdr:col>8</xdr:col>
      <xdr:colOff>1884</xdr:colOff>
      <xdr:row>6</xdr:row>
      <xdr:rowOff>53401</xdr:rowOff>
    </xdr:to>
    <xdr:pic>
      <xdr:nvPicPr>
        <xdr:cNvPr id="6" name="Kuva 5">
          <a:extLst>
            <a:ext uri="{FF2B5EF4-FFF2-40B4-BE49-F238E27FC236}">
              <a16:creationId xmlns:a16="http://schemas.microsoft.com/office/drawing/2014/main" id="{8059C18E-7FC4-4552-96BC-2B89CF3743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82292" y="739771"/>
          <a:ext cx="947361" cy="345052"/>
        </a:xfrm>
        <a:prstGeom prst="rect">
          <a:avLst/>
        </a:prstGeom>
      </xdr:spPr>
    </xdr:pic>
    <xdr:clientData/>
  </xdr:twoCellAnchor>
  <xdr:twoCellAnchor>
    <xdr:from>
      <xdr:col>8</xdr:col>
      <xdr:colOff>18570</xdr:colOff>
      <xdr:row>23</xdr:row>
      <xdr:rowOff>39461</xdr:rowOff>
    </xdr:from>
    <xdr:to>
      <xdr:col>8</xdr:col>
      <xdr:colOff>87562</xdr:colOff>
      <xdr:row>23</xdr:row>
      <xdr:rowOff>39463</xdr:rowOff>
    </xdr:to>
    <xdr:cxnSp macro="">
      <xdr:nvCxnSpPr>
        <xdr:cNvPr id="24" name="Suora nuoliyhdysviiva 23">
          <a:extLst>
            <a:ext uri="{FF2B5EF4-FFF2-40B4-BE49-F238E27FC236}">
              <a16:creationId xmlns:a16="http://schemas.microsoft.com/office/drawing/2014/main" id="{B44A577D-DBAF-4357-84C7-01A646208E09}"/>
            </a:ext>
          </a:extLst>
        </xdr:cNvPr>
        <xdr:cNvCxnSpPr/>
      </xdr:nvCxnSpPr>
      <xdr:spPr>
        <a:xfrm flipH="1">
          <a:off x="7775702" y="3730708"/>
          <a:ext cx="68992" cy="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266700</xdr:colOff>
      <xdr:row>2</xdr:row>
      <xdr:rowOff>130629</xdr:rowOff>
    </xdr:from>
    <xdr:to>
      <xdr:col>11</xdr:col>
      <xdr:colOff>422186</xdr:colOff>
      <xdr:row>4</xdr:row>
      <xdr:rowOff>37629</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A534BEC4-890C-E327-DE77-BF077D91E5AC}"/>
            </a:ext>
          </a:extLst>
        </xdr:cNvPr>
        <xdr:cNvSpPr/>
      </xdr:nvSpPr>
      <xdr:spPr>
        <a:xfrm>
          <a:off x="8202386" y="478972"/>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9</xdr:col>
      <xdr:colOff>272142</xdr:colOff>
      <xdr:row>4</xdr:row>
      <xdr:rowOff>114300</xdr:rowOff>
    </xdr:from>
    <xdr:to>
      <xdr:col>11</xdr:col>
      <xdr:colOff>427628</xdr:colOff>
      <xdr:row>6</xdr:row>
      <xdr:rowOff>97500</xdr:rowOff>
    </xdr:to>
    <xdr:sp macro="" textlink="">
      <xdr:nvSpPr>
        <xdr:cNvPr id="3" name="Suorakulmio: Pyöristetyt kulmat 2">
          <a:hlinkClick xmlns:r="http://schemas.openxmlformats.org/officeDocument/2006/relationships" r:id="rId3"/>
          <a:extLst>
            <a:ext uri="{FF2B5EF4-FFF2-40B4-BE49-F238E27FC236}">
              <a16:creationId xmlns:a16="http://schemas.microsoft.com/office/drawing/2014/main" id="{53DBD4C0-1845-45F9-B3BB-A27B1F03DC6F}"/>
            </a:ext>
          </a:extLst>
        </xdr:cNvPr>
        <xdr:cNvSpPr/>
      </xdr:nvSpPr>
      <xdr:spPr>
        <a:xfrm>
          <a:off x="8207828" y="843643"/>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9</xdr:col>
      <xdr:colOff>266701</xdr:colOff>
      <xdr:row>7</xdr:row>
      <xdr:rowOff>27215</xdr:rowOff>
    </xdr:from>
    <xdr:to>
      <xdr:col>11</xdr:col>
      <xdr:colOff>422187</xdr:colOff>
      <xdr:row>8</xdr:row>
      <xdr:rowOff>162815</xdr:rowOff>
    </xdr:to>
    <xdr:sp macro="" textlink="">
      <xdr:nvSpPr>
        <xdr:cNvPr id="7" name="Suorakulmio: Pyöristetyt kulmat 6">
          <a:hlinkClick xmlns:r="http://schemas.openxmlformats.org/officeDocument/2006/relationships" r:id="rId4"/>
          <a:extLst>
            <a:ext uri="{FF2B5EF4-FFF2-40B4-BE49-F238E27FC236}">
              <a16:creationId xmlns:a16="http://schemas.microsoft.com/office/drawing/2014/main" id="{4B9142BA-9FB2-4824-994E-0F022F84B4B4}"/>
            </a:ext>
          </a:extLst>
        </xdr:cNvPr>
        <xdr:cNvSpPr/>
      </xdr:nvSpPr>
      <xdr:spPr>
        <a:xfrm>
          <a:off x="8202387" y="1213758"/>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266700</xdr:colOff>
      <xdr:row>0</xdr:row>
      <xdr:rowOff>114300</xdr:rowOff>
    </xdr:from>
    <xdr:to>
      <xdr:col>11</xdr:col>
      <xdr:colOff>422186</xdr:colOff>
      <xdr:row>2</xdr:row>
      <xdr:rowOff>53957</xdr:rowOff>
    </xdr:to>
    <xdr:sp macro="" textlink="">
      <xdr:nvSpPr>
        <xdr:cNvPr id="11" name="Suorakulmio: Pyöristetyt kulmat 10">
          <a:extLst>
            <a:ext uri="{FF2B5EF4-FFF2-40B4-BE49-F238E27FC236}">
              <a16:creationId xmlns:a16="http://schemas.microsoft.com/office/drawing/2014/main" id="{05DD1E24-97CF-060E-A573-385355C553C6}"/>
            </a:ext>
          </a:extLst>
        </xdr:cNvPr>
        <xdr:cNvSpPr/>
      </xdr:nvSpPr>
      <xdr:spPr>
        <a:xfrm>
          <a:off x="8202386" y="114300"/>
          <a:ext cx="1440000"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K1</a:t>
          </a:r>
        </a:p>
      </xdr:txBody>
    </xdr:sp>
    <xdr:clientData fPrintsWithSheet="0"/>
  </xdr:twoCellAnchor>
  <xdr:twoCellAnchor>
    <xdr:from>
      <xdr:col>9</xdr:col>
      <xdr:colOff>38099</xdr:colOff>
      <xdr:row>130</xdr:row>
      <xdr:rowOff>103415</xdr:rowOff>
    </xdr:from>
    <xdr:to>
      <xdr:col>12</xdr:col>
      <xdr:colOff>108858</xdr:colOff>
      <xdr:row>132</xdr:row>
      <xdr:rowOff>75729</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0FB3C404-327A-47F9-9524-D4547748E348}"/>
            </a:ext>
          </a:extLst>
        </xdr:cNvPr>
        <xdr:cNvSpPr/>
      </xdr:nvSpPr>
      <xdr:spPr>
        <a:xfrm>
          <a:off x="7973785" y="20432486"/>
          <a:ext cx="1910444" cy="288000"/>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K2</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xdr:col>
      <xdr:colOff>1835728</xdr:colOff>
      <xdr:row>2</xdr:row>
      <xdr:rowOff>121228</xdr:rowOff>
    </xdr:from>
    <xdr:to>
      <xdr:col>4</xdr:col>
      <xdr:colOff>770659</xdr:colOff>
      <xdr:row>4</xdr:row>
      <xdr:rowOff>77932</xdr:rowOff>
    </xdr:to>
    <xdr:sp macro="" textlink="">
      <xdr:nvSpPr>
        <xdr:cNvPr id="8" name="Tekstiruutu 7">
          <a:extLst>
            <a:ext uri="{FF2B5EF4-FFF2-40B4-BE49-F238E27FC236}">
              <a16:creationId xmlns:a16="http://schemas.microsoft.com/office/drawing/2014/main" id="{9C9B0EEF-A09D-4389-8FDC-2E2FDE5AB984}"/>
            </a:ext>
          </a:extLst>
        </xdr:cNvPr>
        <xdr:cNvSpPr txBox="1"/>
      </xdr:nvSpPr>
      <xdr:spPr>
        <a:xfrm>
          <a:off x="2216728" y="476251"/>
          <a:ext cx="2459181" cy="337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fi-FI" sz="1400" b="1">
              <a:latin typeface="Arial" panose="020B0604020202020204" pitchFamily="34" charset="0"/>
              <a:cs typeface="Arial" panose="020B0604020202020204" pitchFamily="34" charset="0"/>
            </a:rPr>
            <a:t>MYYNTIENNUSTE K2</a:t>
          </a:r>
        </a:p>
      </xdr:txBody>
    </xdr:sp>
    <xdr:clientData/>
  </xdr:twoCellAnchor>
  <xdr:twoCellAnchor>
    <xdr:from>
      <xdr:col>8</xdr:col>
      <xdr:colOff>1176933</xdr:colOff>
      <xdr:row>62</xdr:row>
      <xdr:rowOff>95250</xdr:rowOff>
    </xdr:from>
    <xdr:to>
      <xdr:col>8</xdr:col>
      <xdr:colOff>1333389</xdr:colOff>
      <xdr:row>62</xdr:row>
      <xdr:rowOff>96533</xdr:rowOff>
    </xdr:to>
    <xdr:cxnSp macro="">
      <xdr:nvCxnSpPr>
        <xdr:cNvPr id="21" name="Suora nuoliyhdysviiva 20">
          <a:extLst>
            <a:ext uri="{FF2B5EF4-FFF2-40B4-BE49-F238E27FC236}">
              <a16:creationId xmlns:a16="http://schemas.microsoft.com/office/drawing/2014/main" id="{4AB55A5B-FCA1-4C97-A86F-D05EEBE7905C}"/>
            </a:ext>
          </a:extLst>
        </xdr:cNvPr>
        <xdr:cNvCxnSpPr/>
      </xdr:nvCxnSpPr>
      <xdr:spPr>
        <a:xfrm>
          <a:off x="7308652" y="9304734"/>
          <a:ext cx="156456" cy="128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1341207</xdr:colOff>
      <xdr:row>62</xdr:row>
      <xdr:rowOff>95250</xdr:rowOff>
    </xdr:from>
    <xdr:to>
      <xdr:col>10</xdr:col>
      <xdr:colOff>17859</xdr:colOff>
      <xdr:row>62</xdr:row>
      <xdr:rowOff>95775</xdr:rowOff>
    </xdr:to>
    <xdr:cxnSp macro="">
      <xdr:nvCxnSpPr>
        <xdr:cNvPr id="22" name="Suora nuoliyhdysviiva 21">
          <a:extLst>
            <a:ext uri="{FF2B5EF4-FFF2-40B4-BE49-F238E27FC236}">
              <a16:creationId xmlns:a16="http://schemas.microsoft.com/office/drawing/2014/main" id="{C1FAEF2A-C922-4677-B7EA-4D330BDBC6A1}"/>
            </a:ext>
          </a:extLst>
        </xdr:cNvPr>
        <xdr:cNvCxnSpPr/>
      </xdr:nvCxnSpPr>
      <xdr:spPr>
        <a:xfrm flipH="1">
          <a:off x="7472926" y="9304734"/>
          <a:ext cx="170886" cy="5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1157882</xdr:colOff>
      <xdr:row>134</xdr:row>
      <xdr:rowOff>937</xdr:rowOff>
    </xdr:from>
    <xdr:to>
      <xdr:col>8</xdr:col>
      <xdr:colOff>1330013</xdr:colOff>
      <xdr:row>134</xdr:row>
      <xdr:rowOff>1604</xdr:rowOff>
    </xdr:to>
    <xdr:cxnSp macro="">
      <xdr:nvCxnSpPr>
        <xdr:cNvPr id="35" name="Suora nuoliyhdysviiva 34">
          <a:extLst>
            <a:ext uri="{FF2B5EF4-FFF2-40B4-BE49-F238E27FC236}">
              <a16:creationId xmlns:a16="http://schemas.microsoft.com/office/drawing/2014/main" id="{FC9973A5-D296-405B-AEC4-EF3AFAE89491}"/>
            </a:ext>
          </a:extLst>
        </xdr:cNvPr>
        <xdr:cNvCxnSpPr/>
      </xdr:nvCxnSpPr>
      <xdr:spPr>
        <a:xfrm>
          <a:off x="7289601" y="19312875"/>
          <a:ext cx="172131" cy="667"/>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10880</xdr:colOff>
      <xdr:row>134</xdr:row>
      <xdr:rowOff>1</xdr:rowOff>
    </xdr:from>
    <xdr:to>
      <xdr:col>10</xdr:col>
      <xdr:colOff>152993</xdr:colOff>
      <xdr:row>134</xdr:row>
      <xdr:rowOff>846</xdr:rowOff>
    </xdr:to>
    <xdr:cxnSp macro="">
      <xdr:nvCxnSpPr>
        <xdr:cNvPr id="36" name="Suora nuoliyhdysviiva 35">
          <a:extLst>
            <a:ext uri="{FF2B5EF4-FFF2-40B4-BE49-F238E27FC236}">
              <a16:creationId xmlns:a16="http://schemas.microsoft.com/office/drawing/2014/main" id="{4B2394F2-C9BB-4779-8F9B-84AD4B280806}"/>
            </a:ext>
          </a:extLst>
        </xdr:cNvPr>
        <xdr:cNvCxnSpPr/>
      </xdr:nvCxnSpPr>
      <xdr:spPr>
        <a:xfrm flipH="1">
          <a:off x="7485029" y="19311939"/>
          <a:ext cx="293917" cy="845"/>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282347</xdr:colOff>
      <xdr:row>140</xdr:row>
      <xdr:rowOff>102314</xdr:rowOff>
    </xdr:from>
    <xdr:to>
      <xdr:col>9</xdr:col>
      <xdr:colOff>2952</xdr:colOff>
      <xdr:row>143</xdr:row>
      <xdr:rowOff>20899</xdr:rowOff>
    </xdr:to>
    <xdr:pic>
      <xdr:nvPicPr>
        <xdr:cNvPr id="3" name="Kuva 2">
          <a:extLst>
            <a:ext uri="{FF2B5EF4-FFF2-40B4-BE49-F238E27FC236}">
              <a16:creationId xmlns:a16="http://schemas.microsoft.com/office/drawing/2014/main" id="{1DE343D8-F0E1-48D8-87FB-9FC7235F36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53187" y="20268100"/>
          <a:ext cx="1043310" cy="360000"/>
        </a:xfrm>
        <a:prstGeom prst="rect">
          <a:avLst/>
        </a:prstGeom>
      </xdr:spPr>
    </xdr:pic>
    <xdr:clientData/>
  </xdr:twoCellAnchor>
  <xdr:twoCellAnchor editAs="oneCell">
    <xdr:from>
      <xdr:col>8</xdr:col>
      <xdr:colOff>223837</xdr:colOff>
      <xdr:row>70</xdr:row>
      <xdr:rowOff>80969</xdr:rowOff>
    </xdr:from>
    <xdr:to>
      <xdr:col>9</xdr:col>
      <xdr:colOff>1837</xdr:colOff>
      <xdr:row>72</xdr:row>
      <xdr:rowOff>135897</xdr:rowOff>
    </xdr:to>
    <xdr:pic>
      <xdr:nvPicPr>
        <xdr:cNvPr id="6" name="Kuva 5">
          <a:extLst>
            <a:ext uri="{FF2B5EF4-FFF2-40B4-BE49-F238E27FC236}">
              <a16:creationId xmlns:a16="http://schemas.microsoft.com/office/drawing/2014/main" id="{9C7A46EF-2D48-46C6-879D-4E1A692F7B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94677" y="10367969"/>
          <a:ext cx="1050540" cy="360000"/>
        </a:xfrm>
        <a:prstGeom prst="rect">
          <a:avLst/>
        </a:prstGeom>
      </xdr:spPr>
    </xdr:pic>
    <xdr:clientData/>
  </xdr:twoCellAnchor>
  <xdr:twoCellAnchor editAs="oneCell">
    <xdr:from>
      <xdr:col>8</xdr:col>
      <xdr:colOff>332694</xdr:colOff>
      <xdr:row>4</xdr:row>
      <xdr:rowOff>57829</xdr:rowOff>
    </xdr:from>
    <xdr:to>
      <xdr:col>9</xdr:col>
      <xdr:colOff>349</xdr:colOff>
      <xdr:row>6</xdr:row>
      <xdr:rowOff>77651</xdr:rowOff>
    </xdr:to>
    <xdr:pic>
      <xdr:nvPicPr>
        <xdr:cNvPr id="5" name="Kuva 4">
          <a:extLst>
            <a:ext uri="{FF2B5EF4-FFF2-40B4-BE49-F238E27FC236}">
              <a16:creationId xmlns:a16="http://schemas.microsoft.com/office/drawing/2014/main" id="{4D7C60A9-A57B-468C-B26F-A071B4B58A4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03534" y="792615"/>
          <a:ext cx="944640" cy="360000"/>
        </a:xfrm>
        <a:prstGeom prst="rect">
          <a:avLst/>
        </a:prstGeom>
      </xdr:spPr>
    </xdr:pic>
    <xdr:clientData/>
  </xdr:twoCellAnchor>
  <xdr:twoCellAnchor>
    <xdr:from>
      <xdr:col>10</xdr:col>
      <xdr:colOff>38101</xdr:colOff>
      <xdr:row>4</xdr:row>
      <xdr:rowOff>163286</xdr:rowOff>
    </xdr:from>
    <xdr:to>
      <xdr:col>12</xdr:col>
      <xdr:colOff>122209</xdr:colOff>
      <xdr:row>6</xdr:row>
      <xdr:rowOff>108386</xdr:rowOff>
    </xdr:to>
    <xdr:sp macro="" textlink="">
      <xdr:nvSpPr>
        <xdr:cNvPr id="10" name="Suorakulmio: Pyöristetyt kulmat 9">
          <a:extLst>
            <a:ext uri="{FF2B5EF4-FFF2-40B4-BE49-F238E27FC236}">
              <a16:creationId xmlns:a16="http://schemas.microsoft.com/office/drawing/2014/main" id="{C8EB83E2-F790-49F8-8124-0874E042220B}"/>
            </a:ext>
          </a:extLst>
        </xdr:cNvPr>
        <xdr:cNvSpPr/>
      </xdr:nvSpPr>
      <xdr:spPr>
        <a:xfrm>
          <a:off x="7712530" y="891268"/>
          <a:ext cx="1404000" cy="288681"/>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K2</a:t>
          </a:r>
        </a:p>
      </xdr:txBody>
    </xdr:sp>
    <xdr:clientData fPrintsWithSheet="0"/>
  </xdr:twoCellAnchor>
  <xdr:twoCellAnchor>
    <xdr:from>
      <xdr:col>10</xdr:col>
      <xdr:colOff>27215</xdr:colOff>
      <xdr:row>2</xdr:row>
      <xdr:rowOff>163286</xdr:rowOff>
    </xdr:from>
    <xdr:to>
      <xdr:col>12</xdr:col>
      <xdr:colOff>111323</xdr:colOff>
      <xdr:row>4</xdr:row>
      <xdr:rowOff>70286</xdr:rowOff>
    </xdr:to>
    <xdr:sp macro="" textlink="">
      <xdr:nvSpPr>
        <xdr:cNvPr id="12" name="Suorakulmio: Pyöristetyt kulmat 11">
          <a:hlinkClick xmlns:r="http://schemas.openxmlformats.org/officeDocument/2006/relationships" r:id="rId4"/>
          <a:extLst>
            <a:ext uri="{FF2B5EF4-FFF2-40B4-BE49-F238E27FC236}">
              <a16:creationId xmlns:a16="http://schemas.microsoft.com/office/drawing/2014/main" id="{C8C3B7E7-7E76-4D25-B4F6-8F4233215B8A}"/>
            </a:ext>
          </a:extLst>
        </xdr:cNvPr>
        <xdr:cNvSpPr/>
      </xdr:nvSpPr>
      <xdr:spPr>
        <a:xfrm>
          <a:off x="7701644" y="510268"/>
          <a:ext cx="1404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10</xdr:col>
      <xdr:colOff>43544</xdr:colOff>
      <xdr:row>7</xdr:row>
      <xdr:rowOff>59871</xdr:rowOff>
    </xdr:from>
    <xdr:to>
      <xdr:col>12</xdr:col>
      <xdr:colOff>127652</xdr:colOff>
      <xdr:row>9</xdr:row>
      <xdr:rowOff>26743</xdr:rowOff>
    </xdr:to>
    <xdr:sp macro="" textlink="">
      <xdr:nvSpPr>
        <xdr:cNvPr id="14" name="Suorakulmio: Pyöristetyt kulmat 13">
          <a:hlinkClick xmlns:r="http://schemas.openxmlformats.org/officeDocument/2006/relationships" r:id="rId5"/>
          <a:extLst>
            <a:ext uri="{FF2B5EF4-FFF2-40B4-BE49-F238E27FC236}">
              <a16:creationId xmlns:a16="http://schemas.microsoft.com/office/drawing/2014/main" id="{2D24AE0A-150B-4D4E-9160-DA2134BD63E6}"/>
            </a:ext>
          </a:extLst>
        </xdr:cNvPr>
        <xdr:cNvSpPr/>
      </xdr:nvSpPr>
      <xdr:spPr>
        <a:xfrm>
          <a:off x="7717973" y="1284514"/>
          <a:ext cx="1404000" cy="290042"/>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10</xdr:col>
      <xdr:colOff>43543</xdr:colOff>
      <xdr:row>9</xdr:row>
      <xdr:rowOff>127907</xdr:rowOff>
    </xdr:from>
    <xdr:to>
      <xdr:col>12</xdr:col>
      <xdr:colOff>127651</xdr:colOff>
      <xdr:row>11</xdr:row>
      <xdr:rowOff>73007</xdr:rowOff>
    </xdr:to>
    <xdr:sp macro="" textlink="">
      <xdr:nvSpPr>
        <xdr:cNvPr id="16" name="Suorakulmio: Pyöristetyt kulmat 15">
          <a:hlinkClick xmlns:r="http://schemas.openxmlformats.org/officeDocument/2006/relationships" r:id="rId6"/>
          <a:extLst>
            <a:ext uri="{FF2B5EF4-FFF2-40B4-BE49-F238E27FC236}">
              <a16:creationId xmlns:a16="http://schemas.microsoft.com/office/drawing/2014/main" id="{9F102F2B-3D3C-4327-B7D8-F518CF9929E7}"/>
            </a:ext>
          </a:extLst>
        </xdr:cNvPr>
        <xdr:cNvSpPr/>
      </xdr:nvSpPr>
      <xdr:spPr>
        <a:xfrm>
          <a:off x="7717972" y="1675720"/>
          <a:ext cx="1404000" cy="28868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10</xdr:col>
      <xdr:colOff>32657</xdr:colOff>
      <xdr:row>204</xdr:row>
      <xdr:rowOff>76199</xdr:rowOff>
    </xdr:from>
    <xdr:to>
      <xdr:col>12</xdr:col>
      <xdr:colOff>636814</xdr:colOff>
      <xdr:row>206</xdr:row>
      <xdr:rowOff>53957</xdr:rowOff>
    </xdr:to>
    <xdr:sp macro="" textlink="">
      <xdr:nvSpPr>
        <xdr:cNvPr id="17" name="Suorakulmio: Pyöristetyt kulmat 16">
          <a:hlinkClick xmlns:r="http://schemas.openxmlformats.org/officeDocument/2006/relationships" r:id="rId5"/>
          <a:extLst>
            <a:ext uri="{FF2B5EF4-FFF2-40B4-BE49-F238E27FC236}">
              <a16:creationId xmlns:a16="http://schemas.microsoft.com/office/drawing/2014/main" id="{2C043686-213A-450D-B322-4EE4EFD5E54B}"/>
            </a:ext>
          </a:extLst>
        </xdr:cNvPr>
        <xdr:cNvSpPr/>
      </xdr:nvSpPr>
      <xdr:spPr>
        <a:xfrm>
          <a:off x="7712528" y="29277128"/>
          <a:ext cx="192132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 3. RAHOITUS K3</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xdr:col>
      <xdr:colOff>121920</xdr:colOff>
      <xdr:row>99</xdr:row>
      <xdr:rowOff>76200</xdr:rowOff>
    </xdr:from>
    <xdr:to>
      <xdr:col>10</xdr:col>
      <xdr:colOff>548640</xdr:colOff>
      <xdr:row>115</xdr:row>
      <xdr:rowOff>137160</xdr:rowOff>
    </xdr:to>
    <xdr:graphicFrame macro="">
      <xdr:nvGraphicFramePr>
        <xdr:cNvPr id="21" name="Kaavio 20">
          <a:extLst>
            <a:ext uri="{FF2B5EF4-FFF2-40B4-BE49-F238E27FC236}">
              <a16:creationId xmlns:a16="http://schemas.microsoft.com/office/drawing/2014/main" id="{6AA33868-0A37-43D1-A14E-0A4414C26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123825</xdr:colOff>
      <xdr:row>116</xdr:row>
      <xdr:rowOff>11430</xdr:rowOff>
    </xdr:from>
    <xdr:to>
      <xdr:col>10</xdr:col>
      <xdr:colOff>552449</xdr:colOff>
      <xdr:row>131</xdr:row>
      <xdr:rowOff>150495</xdr:rowOff>
    </xdr:to>
    <xdr:graphicFrame macro="">
      <xdr:nvGraphicFramePr>
        <xdr:cNvPr id="20" name="Kaavio 19">
          <a:extLst>
            <a:ext uri="{FF2B5EF4-FFF2-40B4-BE49-F238E27FC236}">
              <a16:creationId xmlns:a16="http://schemas.microsoft.com/office/drawing/2014/main" id="{998CC586-1D94-4B86-8BBD-54CD605720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516255</xdr:colOff>
      <xdr:row>99</xdr:row>
      <xdr:rowOff>83820</xdr:rowOff>
    </xdr:from>
    <xdr:to>
      <xdr:col>4</xdr:col>
      <xdr:colOff>228600</xdr:colOff>
      <xdr:row>112</xdr:row>
      <xdr:rowOff>59055</xdr:rowOff>
    </xdr:to>
    <xdr:sp macro="" textlink="">
      <xdr:nvSpPr>
        <xdr:cNvPr id="42" name="Suorakulmio 41">
          <a:extLst>
            <a:ext uri="{FF2B5EF4-FFF2-40B4-BE49-F238E27FC236}">
              <a16:creationId xmlns:a16="http://schemas.microsoft.com/office/drawing/2014/main" id="{5CBBA5BB-6B1D-4A47-AA1A-FB779D05BB4B}"/>
            </a:ext>
          </a:extLst>
        </xdr:cNvPr>
        <xdr:cNvSpPr/>
      </xdr:nvSpPr>
      <xdr:spPr>
        <a:xfrm>
          <a:off x="1373505" y="16095345"/>
          <a:ext cx="2017395" cy="2204085"/>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1606827</xdr:colOff>
      <xdr:row>2</xdr:row>
      <xdr:rowOff>182218</xdr:rowOff>
    </xdr:from>
    <xdr:to>
      <xdr:col>8</xdr:col>
      <xdr:colOff>115956</xdr:colOff>
      <xdr:row>4</xdr:row>
      <xdr:rowOff>74544</xdr:rowOff>
    </xdr:to>
    <xdr:sp macro="" textlink="">
      <xdr:nvSpPr>
        <xdr:cNvPr id="2" name="Tekstiruutu 1">
          <a:extLst>
            <a:ext uri="{FF2B5EF4-FFF2-40B4-BE49-F238E27FC236}">
              <a16:creationId xmlns:a16="http://schemas.microsoft.com/office/drawing/2014/main" id="{0D5E70EC-5206-4BB9-B5EF-E5C9989366EC}"/>
            </a:ext>
          </a:extLst>
        </xdr:cNvPr>
        <xdr:cNvSpPr txBox="1"/>
      </xdr:nvSpPr>
      <xdr:spPr>
        <a:xfrm>
          <a:off x="2170044" y="538370"/>
          <a:ext cx="2948608" cy="273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400" b="1">
              <a:latin typeface="Arial" panose="020B0604020202020204" pitchFamily="34" charset="0"/>
              <a:cs typeface="Arial" panose="020B0604020202020204" pitchFamily="34" charset="0"/>
            </a:rPr>
            <a:t>RAHOITUS K3</a:t>
          </a:r>
        </a:p>
      </xdr:txBody>
    </xdr:sp>
    <xdr:clientData/>
  </xdr:twoCellAnchor>
  <xdr:twoCellAnchor>
    <xdr:from>
      <xdr:col>1</xdr:col>
      <xdr:colOff>63271</xdr:colOff>
      <xdr:row>133</xdr:row>
      <xdr:rowOff>12246</xdr:rowOff>
    </xdr:from>
    <xdr:to>
      <xdr:col>12</xdr:col>
      <xdr:colOff>16328</xdr:colOff>
      <xdr:row>159</xdr:row>
      <xdr:rowOff>114300</xdr:rowOff>
    </xdr:to>
    <xdr:sp macro="" textlink="">
      <xdr:nvSpPr>
        <xdr:cNvPr id="22" name="Suorakulmio: Taitettu kulma 21">
          <a:extLst>
            <a:ext uri="{FF2B5EF4-FFF2-40B4-BE49-F238E27FC236}">
              <a16:creationId xmlns:a16="http://schemas.microsoft.com/office/drawing/2014/main" id="{71CA518A-31F5-4D29-8C04-5D7D76BA7F88}"/>
            </a:ext>
          </a:extLst>
        </xdr:cNvPr>
        <xdr:cNvSpPr/>
      </xdr:nvSpPr>
      <xdr:spPr>
        <a:xfrm>
          <a:off x="718591" y="21881646"/>
          <a:ext cx="6734857" cy="4468314"/>
        </a:xfrm>
        <a:prstGeom prst="foldedCorner">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1100" b="1" i="0" u="none" strike="noStrike" baseline="0">
              <a:solidFill>
                <a:schemeClr val="lt1"/>
              </a:solidFill>
              <a:effectLst/>
              <a:latin typeface="+mn-lt"/>
              <a:ea typeface="+mn-ea"/>
              <a:cs typeface="+mn-cs"/>
            </a:rPr>
            <a:t> </a:t>
          </a:r>
          <a:r>
            <a:rPr lang="fi-FI" sz="1400" baseline="0"/>
            <a:t> </a:t>
          </a:r>
        </a:p>
        <a:p>
          <a:r>
            <a:rPr lang="fi-FI" sz="1100" b="1" baseline="0">
              <a:solidFill>
                <a:schemeClr val="tx1"/>
              </a:solidFill>
              <a:effectLst/>
              <a:latin typeface="+mn-lt"/>
              <a:ea typeface="+mn-ea"/>
              <a:cs typeface="+mn-cs"/>
            </a:rPr>
            <a:t>KANNATTAVUUDEN PARANTAMISTAPOJA</a:t>
          </a:r>
          <a:br>
            <a:rPr lang="fi-FI" sz="1100" b="1" baseline="0">
              <a:solidFill>
                <a:schemeClr val="tx1"/>
              </a:solidFill>
              <a:effectLst/>
              <a:latin typeface="+mn-lt"/>
              <a:ea typeface="+mn-ea"/>
              <a:cs typeface="+mn-cs"/>
            </a:rPr>
          </a:br>
          <a:endParaRPr lang="fi-FI" sz="1200">
            <a:solidFill>
              <a:schemeClr val="tx1"/>
            </a:solidFill>
            <a:effectLst/>
          </a:endParaRPr>
        </a:p>
        <a:p>
          <a:r>
            <a:rPr lang="fi-FI" sz="1100" b="1" baseline="0">
              <a:solidFill>
                <a:schemeClr val="tx1"/>
              </a:solidFill>
              <a:effectLst/>
              <a:latin typeface="+mn-lt"/>
              <a:ea typeface="+mn-ea"/>
              <a:cs typeface="+mn-cs"/>
            </a:rPr>
            <a:t>1. Lainan vapaavuosien lisääminen (rahoitus K3 ja Y3-taulukko)</a:t>
          </a:r>
          <a:endParaRPr lang="fi-FI" sz="1200">
            <a:solidFill>
              <a:schemeClr val="tx1"/>
            </a:solidFill>
            <a:effectLst/>
          </a:endParaRPr>
        </a:p>
        <a:p>
          <a:r>
            <a:rPr lang="fi-FI" sz="1100" b="0" baseline="0">
              <a:solidFill>
                <a:schemeClr val="tx1"/>
              </a:solidFill>
              <a:effectLst/>
              <a:latin typeface="+mn-lt"/>
              <a:ea typeface="+mn-ea"/>
              <a:cs typeface="+mn-cs"/>
            </a:rPr>
            <a:t>      - Yksi vapaavuosi lainan lyhennyksistä lisää käyttöpääomaa nopeasti.</a:t>
          </a:r>
          <a:endParaRPr lang="fi-FI" sz="1200">
            <a:solidFill>
              <a:schemeClr val="tx1"/>
            </a:solidFill>
            <a:effectLst/>
          </a:endParaRPr>
        </a:p>
        <a:p>
          <a:r>
            <a:rPr lang="fi-FI" sz="1100" b="0" baseline="0">
              <a:solidFill>
                <a:schemeClr val="tx1"/>
              </a:solidFill>
              <a:effectLst/>
              <a:latin typeface="+mn-lt"/>
              <a:ea typeface="+mn-ea"/>
              <a:cs typeface="+mn-cs"/>
            </a:rPr>
            <a:t>      - Kaksi vapaavuotta antaa liian positiivisen kuvan rahojen riittävyydestä.</a:t>
          </a:r>
          <a:endParaRPr lang="fi-FI" sz="1200">
            <a:solidFill>
              <a:schemeClr val="tx1"/>
            </a:solidFill>
            <a:effectLst/>
          </a:endParaRPr>
        </a:p>
        <a:p>
          <a:br>
            <a:rPr lang="fi-FI" sz="1100" b="1" baseline="0">
              <a:solidFill>
                <a:schemeClr val="tx1"/>
              </a:solidFill>
              <a:effectLst/>
              <a:latin typeface="+mn-lt"/>
              <a:ea typeface="+mn-ea"/>
              <a:cs typeface="+mn-cs"/>
            </a:rPr>
          </a:br>
          <a:r>
            <a:rPr lang="fi-FI" sz="1100" b="1" baseline="0">
              <a:solidFill>
                <a:schemeClr val="tx1"/>
              </a:solidFill>
              <a:effectLst/>
              <a:latin typeface="+mn-lt"/>
              <a:ea typeface="+mn-ea"/>
              <a:cs typeface="+mn-cs"/>
            </a:rPr>
            <a:t>2.  Osamaksu- ja leasingrahoituksen käyttö laitehankintoihin (Rahoitus K3 ja Y3-taulukko)</a:t>
          </a:r>
          <a:r>
            <a:rPr lang="fi-FI" sz="1100" b="0" baseline="0">
              <a:solidFill>
                <a:schemeClr val="tx1"/>
              </a:solidFill>
              <a:effectLst/>
              <a:latin typeface="+mn-lt"/>
              <a:ea typeface="+mn-ea"/>
              <a:cs typeface="+mn-cs"/>
            </a:rPr>
            <a:t>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Kaikkia omia rahoja ja vakuuksia ei kannata käyttää heti yrityksen alkuvaiheessa, sillä laitehankintoja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voidaan rahoittaa myös osamaksu- ja leasingrahoituksella. Osamaksukaupassa koneet tulevat yrityksen</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omaisuudeksi, kun taas leasing on vuokraamista. Osamaksurahoituksen etuna on leasingrahoitukseen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verrattuna arvonlisäveron palautus koko hankintahinnasta ja laitteet käsitellään verotuksessa yhtiön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omaisuutena. Leasingrahoituksen etuna on normaalisti pienempi ensimmäisen erän suuruus kuin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osamaksukaupassa. </a:t>
          </a:r>
          <a:endParaRPr lang="fi-FI" sz="1200">
            <a:solidFill>
              <a:schemeClr val="tx1"/>
            </a:solidFill>
            <a:effectLst/>
          </a:endParaRPr>
        </a:p>
        <a:p>
          <a:br>
            <a:rPr lang="fi-FI" sz="1100" b="1" baseline="0">
              <a:solidFill>
                <a:schemeClr val="tx1"/>
              </a:solidFill>
              <a:effectLst/>
              <a:latin typeface="+mn-lt"/>
              <a:ea typeface="+mn-ea"/>
              <a:cs typeface="+mn-cs"/>
            </a:rPr>
          </a:br>
          <a:r>
            <a:rPr lang="fi-FI" sz="1100" b="1" baseline="0">
              <a:solidFill>
                <a:schemeClr val="tx1"/>
              </a:solidFill>
              <a:effectLst/>
              <a:latin typeface="+mn-lt"/>
              <a:ea typeface="+mn-ea"/>
              <a:cs typeface="+mn-cs"/>
            </a:rPr>
            <a:t>3.  YEL Yrittäjäeläkevakuutuksen maksun pienentäminen (kustannukset K1 ja Y1-taulukko)</a:t>
          </a:r>
          <a:br>
            <a:rPr lang="fi-FI" sz="1100" b="1" baseline="0">
              <a:solidFill>
                <a:schemeClr val="tx1"/>
              </a:solidFill>
              <a:effectLst/>
              <a:latin typeface="+mn-lt"/>
              <a:ea typeface="+mn-ea"/>
              <a:cs typeface="+mn-cs"/>
            </a:rPr>
          </a:br>
          <a:r>
            <a:rPr lang="fi-FI" sz="1100" b="0" baseline="0">
              <a:solidFill>
                <a:schemeClr val="tx1"/>
              </a:solidFill>
              <a:effectLst/>
              <a:latin typeface="+mn-lt"/>
              <a:ea typeface="+mn-ea"/>
              <a:cs typeface="+mn-cs"/>
            </a:rPr>
            <a:t>     Laskelma ehdottaa yrittäjäeläkevakuutuksen perusteena olevan työtulon laskelmassa olevan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kuukausipalkan mukaan. YEL-maksua voidaan myös maksaa vähemmän. J</a:t>
          </a:r>
          <a:r>
            <a:rPr lang="fi-FI" sz="1100">
              <a:solidFill>
                <a:schemeClr val="tx1"/>
              </a:solidFill>
              <a:effectLst/>
              <a:latin typeface="+mn-lt"/>
              <a:ea typeface="+mn-ea"/>
              <a:cs typeface="+mn-cs"/>
            </a:rPr>
            <a:t>os sairastut, päivärahan määrä </a:t>
          </a:r>
          <a:br>
            <a:rPr lang="fi-FI" sz="1100">
              <a:solidFill>
                <a:schemeClr val="tx1"/>
              </a:solidFill>
              <a:effectLst/>
              <a:latin typeface="+mn-lt"/>
              <a:ea typeface="+mn-ea"/>
              <a:cs typeface="+mn-cs"/>
            </a:rPr>
          </a:br>
          <a:r>
            <a:rPr lang="fi-FI" sz="1100">
              <a:solidFill>
                <a:schemeClr val="tx1"/>
              </a:solidFill>
              <a:effectLst/>
              <a:latin typeface="+mn-lt"/>
              <a:ea typeface="+mn-ea"/>
              <a:cs typeface="+mn-cs"/>
            </a:rPr>
            <a:t>     riippuu YEL-työtulostasi. </a:t>
          </a:r>
          <a:r>
            <a:rPr lang="fi-FI" sz="1100" b="0" baseline="0">
              <a:solidFill>
                <a:schemeClr val="tx1"/>
              </a:solidFill>
              <a:effectLst/>
              <a:latin typeface="+mn-lt"/>
              <a:ea typeface="+mn-ea"/>
              <a:cs typeface="+mn-cs"/>
            </a:rPr>
            <a:t>YELiä kannattaisi maksaa alussa, koska vakuutusmaksusta saa 22 %:n alennuksen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ensimmäiset 4 vuotta. </a:t>
          </a:r>
          <a:br>
            <a:rPr lang="fi-FI" sz="1100" b="1" baseline="0">
              <a:solidFill>
                <a:schemeClr val="tx1"/>
              </a:solidFill>
              <a:effectLst/>
              <a:latin typeface="+mn-lt"/>
              <a:ea typeface="+mn-ea"/>
              <a:cs typeface="+mn-cs"/>
            </a:rPr>
          </a:br>
          <a:endParaRPr lang="fi-FI" sz="1400" b="1" baseline="0">
            <a:solidFill>
              <a:schemeClr val="tx1"/>
            </a:solidFill>
          </a:endParaRPr>
        </a:p>
      </xdr:txBody>
    </xdr:sp>
    <xdr:clientData fLocksWithSheet="0" fPrintsWithSheet="0"/>
  </xdr:twoCellAnchor>
  <xdr:twoCellAnchor editAs="oneCell">
    <xdr:from>
      <xdr:col>10</xdr:col>
      <xdr:colOff>188459</xdr:colOff>
      <xdr:row>3</xdr:row>
      <xdr:rowOff>170089</xdr:rowOff>
    </xdr:from>
    <xdr:to>
      <xdr:col>11</xdr:col>
      <xdr:colOff>346469</xdr:colOff>
      <xdr:row>6</xdr:row>
      <xdr:rowOff>57649</xdr:rowOff>
    </xdr:to>
    <xdr:pic>
      <xdr:nvPicPr>
        <xdr:cNvPr id="12" name="Kuva 11">
          <a:extLst>
            <a:ext uri="{FF2B5EF4-FFF2-40B4-BE49-F238E27FC236}">
              <a16:creationId xmlns:a16="http://schemas.microsoft.com/office/drawing/2014/main" id="{35F53C7E-EA38-4551-B53C-14F76101E7B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92673" y="708932"/>
          <a:ext cx="941782" cy="369525"/>
        </a:xfrm>
        <a:prstGeom prst="rect">
          <a:avLst/>
        </a:prstGeom>
      </xdr:spPr>
    </xdr:pic>
    <xdr:clientData/>
  </xdr:twoCellAnchor>
  <xdr:twoCellAnchor>
    <xdr:from>
      <xdr:col>13</xdr:col>
      <xdr:colOff>3379</xdr:colOff>
      <xdr:row>6</xdr:row>
      <xdr:rowOff>188248</xdr:rowOff>
    </xdr:from>
    <xdr:to>
      <xdr:col>14</xdr:col>
      <xdr:colOff>709192</xdr:colOff>
      <xdr:row>8</xdr:row>
      <xdr:rowOff>20479</xdr:rowOff>
    </xdr:to>
    <xdr:sp macro="" textlink="">
      <xdr:nvSpPr>
        <xdr:cNvPr id="3" name="Suorakulmio: Pyöristetyt kulmat 2">
          <a:extLst>
            <a:ext uri="{FF2B5EF4-FFF2-40B4-BE49-F238E27FC236}">
              <a16:creationId xmlns:a16="http://schemas.microsoft.com/office/drawing/2014/main" id="{1162B898-60C7-4FD6-9AED-39CA2989571C}"/>
            </a:ext>
          </a:extLst>
        </xdr:cNvPr>
        <xdr:cNvSpPr/>
      </xdr:nvSpPr>
      <xdr:spPr>
        <a:xfrm>
          <a:off x="8141389" y="1228021"/>
          <a:ext cx="1404000" cy="290182"/>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K3</a:t>
          </a:r>
        </a:p>
      </xdr:txBody>
    </xdr:sp>
    <xdr:clientData fPrintsWithSheet="0"/>
  </xdr:twoCellAnchor>
  <xdr:twoCellAnchor>
    <xdr:from>
      <xdr:col>12</xdr:col>
      <xdr:colOff>476720</xdr:colOff>
      <xdr:row>2</xdr:row>
      <xdr:rowOff>131379</xdr:rowOff>
    </xdr:from>
    <xdr:to>
      <xdr:col>14</xdr:col>
      <xdr:colOff>698306</xdr:colOff>
      <xdr:row>4</xdr:row>
      <xdr:rowOff>37441</xdr:rowOff>
    </xdr:to>
    <xdr:sp macro="" textlink="">
      <xdr:nvSpPr>
        <xdr:cNvPr id="4" name="Suorakulmio: Pyöristetyt kulmat 3">
          <a:hlinkClick xmlns:r="http://schemas.openxmlformats.org/officeDocument/2006/relationships" r:id="rId4"/>
          <a:extLst>
            <a:ext uri="{FF2B5EF4-FFF2-40B4-BE49-F238E27FC236}">
              <a16:creationId xmlns:a16="http://schemas.microsoft.com/office/drawing/2014/main" id="{2951DC40-5B20-4C28-9482-FABCD11C6BA1}"/>
            </a:ext>
          </a:extLst>
        </xdr:cNvPr>
        <xdr:cNvSpPr/>
      </xdr:nvSpPr>
      <xdr:spPr>
        <a:xfrm>
          <a:off x="8130503" y="480473"/>
          <a:ext cx="1404000" cy="288938"/>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13</xdr:col>
      <xdr:colOff>1314</xdr:colOff>
      <xdr:row>4</xdr:row>
      <xdr:rowOff>121291</xdr:rowOff>
    </xdr:from>
    <xdr:to>
      <xdr:col>14</xdr:col>
      <xdr:colOff>707127</xdr:colOff>
      <xdr:row>6</xdr:row>
      <xdr:rowOff>104281</xdr:rowOff>
    </xdr:to>
    <xdr:sp macro="" textlink="">
      <xdr:nvSpPr>
        <xdr:cNvPr id="5" name="Suorakulmio: Pyöristetyt kulmat 4">
          <a:hlinkClick xmlns:r="http://schemas.openxmlformats.org/officeDocument/2006/relationships" r:id="rId5"/>
          <a:extLst>
            <a:ext uri="{FF2B5EF4-FFF2-40B4-BE49-F238E27FC236}">
              <a16:creationId xmlns:a16="http://schemas.microsoft.com/office/drawing/2014/main" id="{B811EDF9-CD75-4AD8-97E6-70125361C679}"/>
            </a:ext>
          </a:extLst>
        </xdr:cNvPr>
        <xdr:cNvSpPr/>
      </xdr:nvSpPr>
      <xdr:spPr>
        <a:xfrm>
          <a:off x="8139324" y="853261"/>
          <a:ext cx="1404000" cy="29079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13</xdr:col>
      <xdr:colOff>8821</xdr:colOff>
      <xdr:row>8</xdr:row>
      <xdr:rowOff>108039</xdr:rowOff>
    </xdr:from>
    <xdr:to>
      <xdr:col>14</xdr:col>
      <xdr:colOff>714634</xdr:colOff>
      <xdr:row>11</xdr:row>
      <xdr:rowOff>74276</xdr:rowOff>
    </xdr:to>
    <xdr:sp macro="" textlink="">
      <xdr:nvSpPr>
        <xdr:cNvPr id="6" name="Suorakulmio: Pyöristetyt kulmat 5">
          <a:hlinkClick xmlns:r="http://schemas.openxmlformats.org/officeDocument/2006/relationships" r:id="rId6"/>
          <a:extLst>
            <a:ext uri="{FF2B5EF4-FFF2-40B4-BE49-F238E27FC236}">
              <a16:creationId xmlns:a16="http://schemas.microsoft.com/office/drawing/2014/main" id="{1224A70E-7DD8-4BCC-A416-CBDCDEF37AC5}"/>
            </a:ext>
          </a:extLst>
        </xdr:cNvPr>
        <xdr:cNvSpPr/>
      </xdr:nvSpPr>
      <xdr:spPr>
        <a:xfrm>
          <a:off x="8146831" y="1605763"/>
          <a:ext cx="1404000" cy="285301"/>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11</xdr:col>
      <xdr:colOff>83740</xdr:colOff>
      <xdr:row>129</xdr:row>
      <xdr:rowOff>141756</xdr:rowOff>
    </xdr:from>
    <xdr:to>
      <xdr:col>14</xdr:col>
      <xdr:colOff>633469</xdr:colOff>
      <xdr:row>131</xdr:row>
      <xdr:rowOff>111747</xdr:rowOff>
    </xdr:to>
    <xdr:sp macro="" textlink="">
      <xdr:nvSpPr>
        <xdr:cNvPr id="7" name="Suorakulmio: Pyöristetyt kulmat 6">
          <a:hlinkClick xmlns:r="http://schemas.openxmlformats.org/officeDocument/2006/relationships" r:id="rId6"/>
          <a:extLst>
            <a:ext uri="{FF2B5EF4-FFF2-40B4-BE49-F238E27FC236}">
              <a16:creationId xmlns:a16="http://schemas.microsoft.com/office/drawing/2014/main" id="{A240368D-E753-41CF-A6E1-67F8D171FA41}"/>
            </a:ext>
          </a:extLst>
        </xdr:cNvPr>
        <xdr:cNvSpPr/>
      </xdr:nvSpPr>
      <xdr:spPr>
        <a:xfrm>
          <a:off x="7371726" y="20634113"/>
          <a:ext cx="2090057" cy="28567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4. SEURAAVAKSI KASSABUDJETTI</a:t>
          </a:r>
        </a:p>
      </xdr:txBody>
    </xdr:sp>
    <xdr:clientData fPrintsWithSheet="0"/>
  </xdr:twoCellAnchor>
  <xdr:twoCellAnchor>
    <xdr:from>
      <xdr:col>9</xdr:col>
      <xdr:colOff>104551</xdr:colOff>
      <xdr:row>92</xdr:row>
      <xdr:rowOff>21770</xdr:rowOff>
    </xdr:from>
    <xdr:to>
      <xdr:col>12</xdr:col>
      <xdr:colOff>5649</xdr:colOff>
      <xdr:row>95</xdr:row>
      <xdr:rowOff>198314</xdr:rowOff>
    </xdr:to>
    <xdr:sp macro="" textlink="">
      <xdr:nvSpPr>
        <xdr:cNvPr id="9" name="Suorakulmio: Pyöristetyt kulmat 8">
          <a:hlinkClick xmlns:r="http://schemas.openxmlformats.org/officeDocument/2006/relationships" r:id="rId7"/>
          <a:extLst>
            <a:ext uri="{FF2B5EF4-FFF2-40B4-BE49-F238E27FC236}">
              <a16:creationId xmlns:a16="http://schemas.microsoft.com/office/drawing/2014/main" id="{C58E4807-3AE3-4BCC-9D8F-A9435CD179A5}"/>
            </a:ext>
          </a:extLst>
        </xdr:cNvPr>
        <xdr:cNvSpPr/>
      </xdr:nvSpPr>
      <xdr:spPr>
        <a:xfrm>
          <a:off x="6249537" y="14537870"/>
          <a:ext cx="1403326" cy="60108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wsDr>
</file>

<file path=xl/drawings/drawing5.xml><?xml version="1.0" encoding="utf-8"?>
<c:userShapes xmlns:c="http://schemas.openxmlformats.org/drawingml/2006/chart">
  <cdr:relSizeAnchor xmlns:cdr="http://schemas.openxmlformats.org/drawingml/2006/chartDrawing">
    <cdr:from>
      <cdr:x>0.09328</cdr:x>
      <cdr:y>0.00431</cdr:y>
    </cdr:from>
    <cdr:to>
      <cdr:x>0.42278</cdr:x>
      <cdr:y>0.85475</cdr:y>
    </cdr:to>
    <cdr:sp macro="" textlink="">
      <cdr:nvSpPr>
        <cdr:cNvPr id="2" name="Suorakulmio 1">
          <a:extLst xmlns:a="http://schemas.openxmlformats.org/drawingml/2006/main">
            <a:ext uri="{FF2B5EF4-FFF2-40B4-BE49-F238E27FC236}">
              <a16:creationId xmlns:a16="http://schemas.microsoft.com/office/drawing/2014/main" id="{5CBBA5BB-6B1D-4A47-AA1A-FB779D05BB4B}"/>
            </a:ext>
          </a:extLst>
        </cdr:cNvPr>
        <cdr:cNvSpPr/>
      </cdr:nvSpPr>
      <cdr:spPr>
        <a:xfrm xmlns:a="http://schemas.openxmlformats.org/drawingml/2006/main">
          <a:off x="568824" y="11667"/>
          <a:ext cx="2009260" cy="2302146"/>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57150</xdr:colOff>
      <xdr:row>60</xdr:row>
      <xdr:rowOff>114300</xdr:rowOff>
    </xdr:from>
    <xdr:to>
      <xdr:col>18</xdr:col>
      <xdr:colOff>664029</xdr:colOff>
      <xdr:row>90</xdr:row>
      <xdr:rowOff>95250</xdr:rowOff>
    </xdr:to>
    <xdr:graphicFrame macro="">
      <xdr:nvGraphicFramePr>
        <xdr:cNvPr id="13594224" name="Kaavio 4">
          <a:extLst>
            <a:ext uri="{FF2B5EF4-FFF2-40B4-BE49-F238E27FC236}">
              <a16:creationId xmlns:a16="http://schemas.microsoft.com/office/drawing/2014/main" id="{00000000-0008-0000-0700-0000706EC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495800</xdr:colOff>
      <xdr:row>2</xdr:row>
      <xdr:rowOff>87085</xdr:rowOff>
    </xdr:from>
    <xdr:to>
      <xdr:col>18</xdr:col>
      <xdr:colOff>647700</xdr:colOff>
      <xdr:row>4</xdr:row>
      <xdr:rowOff>20416</xdr:rowOff>
    </xdr:to>
    <xdr:pic>
      <xdr:nvPicPr>
        <xdr:cNvPr id="7" name="Kuva 6">
          <a:extLst>
            <a:ext uri="{FF2B5EF4-FFF2-40B4-BE49-F238E27FC236}">
              <a16:creationId xmlns:a16="http://schemas.microsoft.com/office/drawing/2014/main" id="{29604E32-59B5-4DE9-B049-1F096044BE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849600" y="517071"/>
          <a:ext cx="794157" cy="294737"/>
        </a:xfrm>
        <a:prstGeom prst="rect">
          <a:avLst/>
        </a:prstGeom>
      </xdr:spPr>
    </xdr:pic>
    <xdr:clientData/>
  </xdr:twoCellAnchor>
  <xdr:twoCellAnchor editAs="oneCell">
    <xdr:from>
      <xdr:col>17</xdr:col>
      <xdr:colOff>489857</xdr:colOff>
      <xdr:row>59</xdr:row>
      <xdr:rowOff>24107</xdr:rowOff>
    </xdr:from>
    <xdr:to>
      <xdr:col>18</xdr:col>
      <xdr:colOff>609599</xdr:colOff>
      <xdr:row>60</xdr:row>
      <xdr:rowOff>18200</xdr:rowOff>
    </xdr:to>
    <xdr:pic>
      <xdr:nvPicPr>
        <xdr:cNvPr id="10" name="Kuva 9">
          <a:extLst>
            <a:ext uri="{FF2B5EF4-FFF2-40B4-BE49-F238E27FC236}">
              <a16:creationId xmlns:a16="http://schemas.microsoft.com/office/drawing/2014/main" id="{59FFC7E3-3264-4BC2-BF1B-A641466E8FD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843657" y="9576321"/>
          <a:ext cx="761999" cy="255350"/>
        </a:xfrm>
        <a:prstGeom prst="rect">
          <a:avLst/>
        </a:prstGeom>
      </xdr:spPr>
    </xdr:pic>
    <xdr:clientData/>
  </xdr:twoCellAnchor>
  <xdr:twoCellAnchor>
    <xdr:from>
      <xdr:col>9</xdr:col>
      <xdr:colOff>174170</xdr:colOff>
      <xdr:row>103</xdr:row>
      <xdr:rowOff>32657</xdr:rowOff>
    </xdr:from>
    <xdr:to>
      <xdr:col>11</xdr:col>
      <xdr:colOff>149656</xdr:colOff>
      <xdr:row>105</xdr:row>
      <xdr:rowOff>40971</xdr:rowOff>
    </xdr:to>
    <xdr:sp macro="" textlink="">
      <xdr:nvSpPr>
        <xdr:cNvPr id="5" name="Suorakulmio: Pyöristetyt kulmat 4">
          <a:hlinkClick xmlns:r="http://schemas.openxmlformats.org/officeDocument/2006/relationships" r:id="rId4"/>
          <a:extLst>
            <a:ext uri="{FF2B5EF4-FFF2-40B4-BE49-F238E27FC236}">
              <a16:creationId xmlns:a16="http://schemas.microsoft.com/office/drawing/2014/main" id="{87ACD1FA-AED3-4A7D-9B55-3F38BB6CBBE5}"/>
            </a:ext>
          </a:extLst>
        </xdr:cNvPr>
        <xdr:cNvSpPr/>
      </xdr:nvSpPr>
      <xdr:spPr>
        <a:xfrm>
          <a:off x="6389913" y="16823871"/>
          <a:ext cx="126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K3</a:t>
          </a:r>
        </a:p>
      </xdr:txBody>
    </xdr:sp>
    <xdr:clientData fPrintsWithSheet="0"/>
  </xdr:twoCellAnchor>
  <xdr:twoCellAnchor>
    <xdr:from>
      <xdr:col>11</xdr:col>
      <xdr:colOff>348343</xdr:colOff>
      <xdr:row>103</xdr:row>
      <xdr:rowOff>32657</xdr:rowOff>
    </xdr:from>
    <xdr:to>
      <xdr:col>13</xdr:col>
      <xdr:colOff>323829</xdr:colOff>
      <xdr:row>105</xdr:row>
      <xdr:rowOff>40971</xdr:rowOff>
    </xdr:to>
    <xdr:sp macro="" textlink="">
      <xdr:nvSpPr>
        <xdr:cNvPr id="8" name="Suorakulmio: Pyöristetyt kulmat 7">
          <a:hlinkClick xmlns:r="http://schemas.openxmlformats.org/officeDocument/2006/relationships" r:id="rId5"/>
          <a:extLst>
            <a:ext uri="{FF2B5EF4-FFF2-40B4-BE49-F238E27FC236}">
              <a16:creationId xmlns:a16="http://schemas.microsoft.com/office/drawing/2014/main" id="{0985DA5F-C074-4278-9B2B-1A10EEBDD14C}"/>
            </a:ext>
          </a:extLst>
        </xdr:cNvPr>
        <xdr:cNvSpPr/>
      </xdr:nvSpPr>
      <xdr:spPr>
        <a:xfrm>
          <a:off x="7848600" y="16823871"/>
          <a:ext cx="126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Y3</a:t>
          </a:r>
        </a:p>
      </xdr:txBody>
    </xdr:sp>
    <xdr:clientData fPrintsWithSheet="0"/>
  </xdr:twoCellAnchor>
</xdr:wsDr>
</file>

<file path=xl/drawings/drawing7.xml><?xml version="1.0" encoding="utf-8"?>
<c:userShapes xmlns:c="http://schemas.openxmlformats.org/drawingml/2006/chart">
  <cdr:relSizeAnchor xmlns:cdr="http://schemas.openxmlformats.org/drawingml/2006/chartDrawing">
    <cdr:from>
      <cdr:x>0.25021</cdr:x>
      <cdr:y>0.03441</cdr:y>
    </cdr:from>
    <cdr:to>
      <cdr:x>0.72867</cdr:x>
      <cdr:y>0.08955</cdr:y>
    </cdr:to>
    <cdr:sp macro="" textlink="">
      <cdr:nvSpPr>
        <cdr:cNvPr id="2" name="Tekstikehys 1">
          <a:extLst xmlns:a="http://schemas.openxmlformats.org/drawingml/2006/main">
            <a:ext uri="{FF2B5EF4-FFF2-40B4-BE49-F238E27FC236}">
              <a16:creationId xmlns:a16="http://schemas.microsoft.com/office/drawing/2014/main" id="{0F3D9BB8-2DE4-413F-AD65-FDCE71A3B0B9}"/>
            </a:ext>
          </a:extLst>
        </cdr:cNvPr>
        <cdr:cNvSpPr txBox="1"/>
      </cdr:nvSpPr>
      <cdr:spPr>
        <a:xfrm xmlns:a="http://schemas.openxmlformats.org/drawingml/2006/main">
          <a:off x="2793169" y="172399"/>
          <a:ext cx="5341181" cy="2762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i-FI" sz="1400">
              <a:latin typeface="Arial" pitchFamily="34" charset="0"/>
              <a:cs typeface="Arial" pitchFamily="34" charset="0"/>
            </a:rPr>
            <a:t>TULOT JA MENOT KUUKAUSITTAIN</a:t>
          </a:r>
        </a:p>
      </cdr:txBody>
    </cdr:sp>
  </cdr:relSizeAnchor>
</c:userShapes>
</file>

<file path=xl/drawings/drawing8.xml><?xml version="1.0" encoding="utf-8"?>
<xdr:wsDr xmlns:xdr="http://schemas.openxmlformats.org/drawingml/2006/spreadsheetDrawing" xmlns:a="http://schemas.openxmlformats.org/drawingml/2006/main">
  <xdr:twoCellAnchor>
    <xdr:from>
      <xdr:col>9</xdr:col>
      <xdr:colOff>101661</xdr:colOff>
      <xdr:row>0</xdr:row>
      <xdr:rowOff>131889</xdr:rowOff>
    </xdr:from>
    <xdr:to>
      <xdr:col>14</xdr:col>
      <xdr:colOff>113211</xdr:colOff>
      <xdr:row>17</xdr:row>
      <xdr:rowOff>17748</xdr:rowOff>
    </xdr:to>
    <xdr:sp macro="" textlink="">
      <xdr:nvSpPr>
        <xdr:cNvPr id="5" name="AutoShape 175">
          <a:extLst>
            <a:ext uri="{FF2B5EF4-FFF2-40B4-BE49-F238E27FC236}">
              <a16:creationId xmlns:a16="http://schemas.microsoft.com/office/drawing/2014/main" id="{00000000-0008-0000-0500-000005000000}"/>
            </a:ext>
          </a:extLst>
        </xdr:cNvPr>
        <xdr:cNvSpPr>
          <a:spLocks noChangeArrowheads="1"/>
        </xdr:cNvSpPr>
      </xdr:nvSpPr>
      <xdr:spPr bwMode="auto">
        <a:xfrm>
          <a:off x="8238732" y="131889"/>
          <a:ext cx="3277265" cy="2313373"/>
        </a:xfrm>
        <a:prstGeom prst="foldedCorner">
          <a:avLst>
            <a:gd name="adj" fmla="val 12500"/>
          </a:avLst>
        </a:prstGeom>
        <a:solidFill>
          <a:srgbClr val="FFC000"/>
        </a:solidFill>
        <a:ln w="15875">
          <a:noFill/>
          <a:round/>
          <a:headEnd/>
          <a:tailEnd/>
        </a:ln>
      </xdr:spPr>
      <xdr:txBody>
        <a:bodyPr vertOverflow="clip" wrap="square" lIns="108000" tIns="144000" rIns="36000" bIns="108000" anchor="t" upright="1"/>
        <a:lstStyle/>
        <a:p>
          <a:pPr algn="l" rtl="0">
            <a:lnSpc>
              <a:spcPts val="900"/>
            </a:lnSpc>
            <a:defRPr sz="1000"/>
          </a:pPr>
          <a:r>
            <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rPr>
            <a:t>Täyttöohje</a:t>
          </a:r>
        </a:p>
        <a:p>
          <a:pPr algn="l" rtl="0">
            <a:lnSpc>
              <a:spcPts val="1000"/>
            </a:lnSpc>
            <a:spcBef>
              <a:spcPts val="0"/>
            </a:spcBef>
            <a:defRPr sz="1000"/>
          </a:pPr>
          <a:endPar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endParaRP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Täytä siniset solut</a:t>
          </a: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Oikeassa reunassa olevalla alueella voit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ennustaa tulevien vuosien muutosprosentteja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sekä tehdä muistiinpanoja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a:t>
          </a: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Taulukon alaosassa osa-aikaiset tai seuraavina</a:t>
          </a:r>
          <a:b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tilikausina tulevat työntekijät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1"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MUISTA LISÄTÄ TYÖNTEKIJÄMÄÄRÄ</a:t>
          </a:r>
        </a:p>
        <a:p>
          <a:pPr algn="l" rtl="0">
            <a:lnSpc>
              <a:spcPts val="1000"/>
            </a:lnSpc>
            <a:spcBef>
              <a:spcPts val="0"/>
            </a:spcBef>
            <a:defRPr sz="1000"/>
          </a:pPr>
          <a:endParaRPr lang="fi-FI" sz="1000" b="1" i="1" strike="noStrike" baseline="0">
            <a:solidFill>
              <a:srgbClr val="000000"/>
            </a:solidFill>
            <a:latin typeface="Arial"/>
            <a:cs typeface="Arial"/>
          </a:endParaRPr>
        </a:p>
        <a:p>
          <a:pPr algn="l" rtl="0">
            <a:lnSpc>
              <a:spcPts val="600"/>
            </a:lnSpc>
            <a:defRPr sz="1000"/>
          </a:pPr>
          <a:endParaRPr lang="fi-FI" sz="1000" b="1" i="1" strike="noStrike">
            <a:solidFill>
              <a:srgbClr val="000000"/>
            </a:solidFill>
            <a:latin typeface="Arial"/>
            <a:cs typeface="Arial"/>
          </a:endParaRPr>
        </a:p>
      </xdr:txBody>
    </xdr:sp>
    <xdr:clientData/>
  </xdr:twoCellAnchor>
  <xdr:twoCellAnchor editAs="oneCell">
    <xdr:from>
      <xdr:col>8</xdr:col>
      <xdr:colOff>66261</xdr:colOff>
      <xdr:row>7</xdr:row>
      <xdr:rowOff>113590</xdr:rowOff>
    </xdr:from>
    <xdr:to>
      <xdr:col>8</xdr:col>
      <xdr:colOff>1159600</xdr:colOff>
      <xdr:row>9</xdr:row>
      <xdr:rowOff>135045</xdr:rowOff>
    </xdr:to>
    <xdr:pic>
      <xdr:nvPicPr>
        <xdr:cNvPr id="10" name="Kuva 9">
          <a:extLst>
            <a:ext uri="{FF2B5EF4-FFF2-40B4-BE49-F238E27FC236}">
              <a16:creationId xmlns:a16="http://schemas.microsoft.com/office/drawing/2014/main" id="{52F4C2A3-B91F-4593-BB5C-2F9867722B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49751" y="1008112"/>
          <a:ext cx="1080821" cy="402336"/>
        </a:xfrm>
        <a:prstGeom prst="rect">
          <a:avLst/>
        </a:prstGeom>
      </xdr:spPr>
    </xdr:pic>
    <xdr:clientData/>
  </xdr:twoCellAnchor>
  <xdr:twoCellAnchor>
    <xdr:from>
      <xdr:col>9</xdr:col>
      <xdr:colOff>125185</xdr:colOff>
      <xdr:row>18</xdr:row>
      <xdr:rowOff>130629</xdr:rowOff>
    </xdr:from>
    <xdr:to>
      <xdr:col>11</xdr:col>
      <xdr:colOff>438899</xdr:colOff>
      <xdr:row>20</xdr:row>
      <xdr:rowOff>149829</xdr:rowOff>
    </xdr:to>
    <xdr:sp macro="" textlink="">
      <xdr:nvSpPr>
        <xdr:cNvPr id="6" name="Suorakulmio: Pyöristetyt kulmat 5">
          <a:hlinkClick xmlns:r="http://schemas.openxmlformats.org/officeDocument/2006/relationships" r:id="rId2"/>
          <a:extLst>
            <a:ext uri="{FF2B5EF4-FFF2-40B4-BE49-F238E27FC236}">
              <a16:creationId xmlns:a16="http://schemas.microsoft.com/office/drawing/2014/main" id="{2CA3CAEE-BCC5-423B-ABCF-761E171BC144}"/>
            </a:ext>
          </a:extLst>
        </xdr:cNvPr>
        <xdr:cNvSpPr/>
      </xdr:nvSpPr>
      <xdr:spPr>
        <a:xfrm>
          <a:off x="8262256" y="2710543"/>
          <a:ext cx="162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K1</a:t>
          </a:r>
        </a:p>
      </xdr:txBody>
    </xdr:sp>
    <xdr:clientData fPrintsWithSheet="0"/>
  </xdr:twoCellAnchor>
  <xdr:twoCellAnchor>
    <xdr:from>
      <xdr:col>9</xdr:col>
      <xdr:colOff>125186</xdr:colOff>
      <xdr:row>22</xdr:row>
      <xdr:rowOff>76201</xdr:rowOff>
    </xdr:from>
    <xdr:to>
      <xdr:col>11</xdr:col>
      <xdr:colOff>438900</xdr:colOff>
      <xdr:row>24</xdr:row>
      <xdr:rowOff>95401</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7AF41810-971B-48A8-AFFC-111B82CF2B3F}"/>
            </a:ext>
          </a:extLst>
        </xdr:cNvPr>
        <xdr:cNvSpPr/>
      </xdr:nvSpPr>
      <xdr:spPr>
        <a:xfrm>
          <a:off x="8262257" y="3162301"/>
          <a:ext cx="162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Y1</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17318</xdr:colOff>
      <xdr:row>2</xdr:row>
      <xdr:rowOff>188618</xdr:rowOff>
    </xdr:from>
    <xdr:to>
      <xdr:col>7</xdr:col>
      <xdr:colOff>771525</xdr:colOff>
      <xdr:row>4</xdr:row>
      <xdr:rowOff>47813</xdr:rowOff>
    </xdr:to>
    <xdr:sp macro="" textlink="">
      <xdr:nvSpPr>
        <xdr:cNvPr id="6" name="Tekstiruutu 5">
          <a:extLst>
            <a:ext uri="{FF2B5EF4-FFF2-40B4-BE49-F238E27FC236}">
              <a16:creationId xmlns:a16="http://schemas.microsoft.com/office/drawing/2014/main" id="{0C99DC70-3F01-4C4E-A9CA-527B5E1FB47D}"/>
            </a:ext>
          </a:extLst>
        </xdr:cNvPr>
        <xdr:cNvSpPr txBox="1"/>
      </xdr:nvSpPr>
      <xdr:spPr>
        <a:xfrm>
          <a:off x="926956" y="541043"/>
          <a:ext cx="6593032" cy="240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Y1</a:t>
          </a:r>
        </a:p>
      </xdr:txBody>
    </xdr:sp>
    <xdr:clientData/>
  </xdr:twoCellAnchor>
  <xdr:twoCellAnchor>
    <xdr:from>
      <xdr:col>7</xdr:col>
      <xdr:colOff>721568</xdr:colOff>
      <xdr:row>23</xdr:row>
      <xdr:rowOff>46653</xdr:rowOff>
    </xdr:from>
    <xdr:to>
      <xdr:col>8</xdr:col>
      <xdr:colOff>10312</xdr:colOff>
      <xdr:row>23</xdr:row>
      <xdr:rowOff>47563</xdr:rowOff>
    </xdr:to>
    <xdr:cxnSp macro="">
      <xdr:nvCxnSpPr>
        <xdr:cNvPr id="15" name="Suora nuoliyhdysviiva 14">
          <a:extLst>
            <a:ext uri="{FF2B5EF4-FFF2-40B4-BE49-F238E27FC236}">
              <a16:creationId xmlns:a16="http://schemas.microsoft.com/office/drawing/2014/main" id="{8BAD4239-71A4-42BF-B29C-0D8780AF4760}"/>
            </a:ext>
          </a:extLst>
        </xdr:cNvPr>
        <xdr:cNvCxnSpPr/>
      </xdr:nvCxnSpPr>
      <xdr:spPr>
        <a:xfrm>
          <a:off x="7402286" y="3837992"/>
          <a:ext cx="56965" cy="9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19047</xdr:colOff>
      <xdr:row>23</xdr:row>
      <xdr:rowOff>46653</xdr:rowOff>
    </xdr:from>
    <xdr:to>
      <xdr:col>8</xdr:col>
      <xdr:colOff>83975</xdr:colOff>
      <xdr:row>23</xdr:row>
      <xdr:rowOff>48063</xdr:rowOff>
    </xdr:to>
    <xdr:cxnSp macro="">
      <xdr:nvCxnSpPr>
        <xdr:cNvPr id="18" name="Suora nuoliyhdysviiva 17">
          <a:extLst>
            <a:ext uri="{FF2B5EF4-FFF2-40B4-BE49-F238E27FC236}">
              <a16:creationId xmlns:a16="http://schemas.microsoft.com/office/drawing/2014/main" id="{5F393E4F-28AF-4607-A41F-EDFD349B454F}"/>
            </a:ext>
          </a:extLst>
        </xdr:cNvPr>
        <xdr:cNvCxnSpPr/>
      </xdr:nvCxnSpPr>
      <xdr:spPr>
        <a:xfrm flipH="1">
          <a:off x="7467986" y="3837992"/>
          <a:ext cx="64928" cy="14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692517</xdr:colOff>
      <xdr:row>122</xdr:row>
      <xdr:rowOff>36393</xdr:rowOff>
    </xdr:from>
    <xdr:to>
      <xdr:col>8</xdr:col>
      <xdr:colOff>1444</xdr:colOff>
      <xdr:row>122</xdr:row>
      <xdr:rowOff>37057</xdr:rowOff>
    </xdr:to>
    <xdr:cxnSp macro="">
      <xdr:nvCxnSpPr>
        <xdr:cNvPr id="19" name="Suora nuoliyhdysviiva 18">
          <a:extLst>
            <a:ext uri="{FF2B5EF4-FFF2-40B4-BE49-F238E27FC236}">
              <a16:creationId xmlns:a16="http://schemas.microsoft.com/office/drawing/2014/main" id="{23470905-10AA-4216-A716-B52FBE5F8C8C}"/>
            </a:ext>
          </a:extLst>
        </xdr:cNvPr>
        <xdr:cNvCxnSpPr/>
      </xdr:nvCxnSpPr>
      <xdr:spPr>
        <a:xfrm flipV="1">
          <a:off x="7369860" y="19498661"/>
          <a:ext cx="75560" cy="664"/>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14752</xdr:colOff>
      <xdr:row>122</xdr:row>
      <xdr:rowOff>38715</xdr:rowOff>
    </xdr:from>
    <xdr:to>
      <xdr:col>8</xdr:col>
      <xdr:colOff>80092</xdr:colOff>
      <xdr:row>122</xdr:row>
      <xdr:rowOff>38813</xdr:rowOff>
    </xdr:to>
    <xdr:cxnSp macro="">
      <xdr:nvCxnSpPr>
        <xdr:cNvPr id="21" name="Suora nuoliyhdysviiva 20">
          <a:extLst>
            <a:ext uri="{FF2B5EF4-FFF2-40B4-BE49-F238E27FC236}">
              <a16:creationId xmlns:a16="http://schemas.microsoft.com/office/drawing/2014/main" id="{2AA873E5-CD6E-4669-B413-EC9CDB502B21}"/>
            </a:ext>
          </a:extLst>
        </xdr:cNvPr>
        <xdr:cNvCxnSpPr/>
      </xdr:nvCxnSpPr>
      <xdr:spPr>
        <a:xfrm flipH="1" flipV="1">
          <a:off x="7497803" y="19452157"/>
          <a:ext cx="65340" cy="98"/>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561024</xdr:colOff>
      <xdr:row>3</xdr:row>
      <xdr:rowOff>171312</xdr:rowOff>
    </xdr:from>
    <xdr:to>
      <xdr:col>8</xdr:col>
      <xdr:colOff>849</xdr:colOff>
      <xdr:row>6</xdr:row>
      <xdr:rowOff>39822</xdr:rowOff>
    </xdr:to>
    <xdr:pic>
      <xdr:nvPicPr>
        <xdr:cNvPr id="5" name="Kuva 4">
          <a:extLst>
            <a:ext uri="{FF2B5EF4-FFF2-40B4-BE49-F238E27FC236}">
              <a16:creationId xmlns:a16="http://schemas.microsoft.com/office/drawing/2014/main" id="{3F9853BA-3AA4-4AC4-BFF2-CD75D347B7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33174" y="723762"/>
          <a:ext cx="911846" cy="363810"/>
        </a:xfrm>
        <a:prstGeom prst="rect">
          <a:avLst/>
        </a:prstGeom>
      </xdr:spPr>
    </xdr:pic>
    <xdr:clientData/>
  </xdr:twoCellAnchor>
  <xdr:twoCellAnchor>
    <xdr:from>
      <xdr:col>9</xdr:col>
      <xdr:colOff>15015</xdr:colOff>
      <xdr:row>2</xdr:row>
      <xdr:rowOff>135696</xdr:rowOff>
    </xdr:from>
    <xdr:to>
      <xdr:col>11</xdr:col>
      <xdr:colOff>171252</xdr:colOff>
      <xdr:row>4</xdr:row>
      <xdr:rowOff>40820</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2BC26CDB-4F2C-42BF-8D3D-F51BFCFF8511}"/>
            </a:ext>
          </a:extLst>
        </xdr:cNvPr>
        <xdr:cNvSpPr/>
      </xdr:nvSpPr>
      <xdr:spPr>
        <a:xfrm>
          <a:off x="7710089" y="484790"/>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9</xdr:col>
      <xdr:colOff>20457</xdr:colOff>
      <xdr:row>4</xdr:row>
      <xdr:rowOff>117491</xdr:rowOff>
    </xdr:from>
    <xdr:to>
      <xdr:col>11</xdr:col>
      <xdr:colOff>176694</xdr:colOff>
      <xdr:row>6</xdr:row>
      <xdr:rowOff>97688</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5606203D-5813-4FB6-BD0F-377B3757A639}"/>
            </a:ext>
          </a:extLst>
        </xdr:cNvPr>
        <xdr:cNvSpPr/>
      </xdr:nvSpPr>
      <xdr:spPr>
        <a:xfrm>
          <a:off x="7715531" y="849461"/>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15016</xdr:colOff>
      <xdr:row>7</xdr:row>
      <xdr:rowOff>25901</xdr:rowOff>
    </xdr:from>
    <xdr:to>
      <xdr:col>11</xdr:col>
      <xdr:colOff>171253</xdr:colOff>
      <xdr:row>8</xdr:row>
      <xdr:rowOff>144985</xdr:rowOff>
    </xdr:to>
    <xdr:sp macro="" textlink="">
      <xdr:nvSpPr>
        <xdr:cNvPr id="9" name="Suorakulmio: Pyöristetyt kulmat 8">
          <a:hlinkClick xmlns:r="http://schemas.openxmlformats.org/officeDocument/2006/relationships" r:id="rId4"/>
          <a:extLst>
            <a:ext uri="{FF2B5EF4-FFF2-40B4-BE49-F238E27FC236}">
              <a16:creationId xmlns:a16="http://schemas.microsoft.com/office/drawing/2014/main" id="{A324C437-4698-4304-8AB7-AE8BABD7E648}"/>
            </a:ext>
          </a:extLst>
        </xdr:cNvPr>
        <xdr:cNvSpPr/>
      </xdr:nvSpPr>
      <xdr:spPr>
        <a:xfrm>
          <a:off x="7710090" y="1219576"/>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15015</xdr:colOff>
      <xdr:row>0</xdr:row>
      <xdr:rowOff>120118</xdr:rowOff>
    </xdr:from>
    <xdr:to>
      <xdr:col>11</xdr:col>
      <xdr:colOff>171252</xdr:colOff>
      <xdr:row>2</xdr:row>
      <xdr:rowOff>59024</xdr:rowOff>
    </xdr:to>
    <xdr:sp macro="" textlink="">
      <xdr:nvSpPr>
        <xdr:cNvPr id="11" name="Suorakulmio: Pyöristetyt kulmat 10">
          <a:extLst>
            <a:ext uri="{FF2B5EF4-FFF2-40B4-BE49-F238E27FC236}">
              <a16:creationId xmlns:a16="http://schemas.microsoft.com/office/drawing/2014/main" id="{8522BA74-F46F-42DD-A320-095B2F2B3920}"/>
            </a:ext>
          </a:extLst>
        </xdr:cNvPr>
        <xdr:cNvSpPr/>
      </xdr:nvSpPr>
      <xdr:spPr>
        <a:xfrm>
          <a:off x="7710089" y="120118"/>
          <a:ext cx="1440000" cy="288000"/>
        </a:xfrm>
        <a:prstGeom prst="roundRect">
          <a:avLst/>
        </a:prstGeom>
        <a:solidFill>
          <a:schemeClr val="accent1">
            <a:lumMod val="60000"/>
            <a:lumOff val="4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Y1</a:t>
          </a:r>
        </a:p>
      </xdr:txBody>
    </xdr:sp>
    <xdr:clientData fPrintsWithSheet="0"/>
  </xdr:twoCellAnchor>
  <xdr:twoCellAnchor>
    <xdr:from>
      <xdr:col>8</xdr:col>
      <xdr:colOff>210208</xdr:colOff>
      <xdr:row>127</xdr:row>
      <xdr:rowOff>153902</xdr:rowOff>
    </xdr:from>
    <xdr:to>
      <xdr:col>11</xdr:col>
      <xdr:colOff>538843</xdr:colOff>
      <xdr:row>129</xdr:row>
      <xdr:rowOff>126592</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F537681E-26D6-4840-B3F5-72303D31DA18}"/>
            </a:ext>
          </a:extLst>
        </xdr:cNvPr>
        <xdr:cNvSpPr/>
      </xdr:nvSpPr>
      <xdr:spPr>
        <a:xfrm>
          <a:off x="7694137" y="20210831"/>
          <a:ext cx="1830863" cy="288375"/>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Y2</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ul1">
    <tabColor indexed="47"/>
  </sheetPr>
  <dimension ref="A1:AG117"/>
  <sheetViews>
    <sheetView showGridLines="0" tabSelected="1" workbookViewId="0">
      <selection activeCell="O37" sqref="O37"/>
    </sheetView>
  </sheetViews>
  <sheetFormatPr defaultRowHeight="12.45"/>
  <cols>
    <col min="1" max="1" width="4.53515625" customWidth="1"/>
    <col min="4" max="4" width="10.07421875" bestFit="1" customWidth="1"/>
    <col min="5" max="5" width="14.53515625" customWidth="1"/>
    <col min="6" max="6" width="16.07421875" customWidth="1"/>
    <col min="7" max="7" width="14.07421875" customWidth="1"/>
    <col min="8" max="8" width="9.07421875" customWidth="1"/>
    <col min="11" max="11" width="4.07421875" customWidth="1"/>
    <col min="12" max="12" width="3.07421875" customWidth="1"/>
  </cols>
  <sheetData>
    <row r="1" spans="1:32" ht="11.9" customHeight="1">
      <c r="A1" s="1586"/>
      <c r="B1" s="1650"/>
      <c r="C1" s="1649"/>
      <c r="D1" s="1649"/>
      <c r="E1" s="1649"/>
      <c r="F1" s="1649"/>
      <c r="G1" s="1649"/>
      <c r="H1" s="1649"/>
      <c r="I1" s="1649"/>
      <c r="J1" s="341"/>
      <c r="K1" s="341"/>
      <c r="L1" s="341"/>
      <c r="M1" s="341"/>
      <c r="N1" s="341"/>
      <c r="O1" s="341"/>
      <c r="P1" s="341"/>
      <c r="Q1" s="341"/>
      <c r="R1" s="341"/>
      <c r="S1" s="341"/>
      <c r="T1" s="341"/>
      <c r="U1" s="341"/>
      <c r="V1" s="341"/>
      <c r="W1" s="341"/>
      <c r="X1" s="341"/>
      <c r="Y1" s="341"/>
      <c r="Z1" s="341"/>
      <c r="AA1" s="341"/>
      <c r="AB1" s="341"/>
      <c r="AC1" s="341"/>
      <c r="AD1" s="341"/>
      <c r="AE1" s="341"/>
      <c r="AF1" s="341"/>
    </row>
    <row r="2" spans="1:32" ht="6" customHeight="1">
      <c r="A2" s="1587"/>
      <c r="B2" s="1649"/>
      <c r="C2" s="1649"/>
      <c r="D2" s="1649"/>
      <c r="E2" s="1649"/>
      <c r="F2" s="1649"/>
      <c r="G2" s="1649"/>
      <c r="H2" s="1649"/>
      <c r="I2" s="1649"/>
      <c r="J2" s="341"/>
      <c r="K2" s="341"/>
      <c r="L2" s="341"/>
      <c r="M2" s="341"/>
      <c r="N2" s="341"/>
      <c r="O2" s="341"/>
      <c r="P2" s="341"/>
      <c r="Q2" s="341"/>
      <c r="R2" s="341"/>
      <c r="S2" s="341"/>
      <c r="T2" s="341"/>
      <c r="U2" s="341"/>
      <c r="V2" s="341"/>
      <c r="W2" s="341"/>
      <c r="X2" s="341"/>
      <c r="Y2" s="341"/>
      <c r="Z2" s="341"/>
      <c r="AA2" s="341"/>
      <c r="AB2" s="341"/>
      <c r="AC2" s="341"/>
      <c r="AD2" s="341"/>
      <c r="AE2" s="341"/>
      <c r="AF2" s="341"/>
    </row>
    <row r="3" spans="1:32" ht="10.5" customHeight="1">
      <c r="A3" s="1588"/>
      <c r="B3" s="1649"/>
      <c r="C3" s="1649"/>
      <c r="D3" s="1649"/>
      <c r="E3" s="1649"/>
      <c r="F3" s="1649"/>
      <c r="G3" s="1649"/>
      <c r="H3" s="1649"/>
      <c r="I3" s="1649"/>
      <c r="J3" s="341"/>
      <c r="K3" s="341"/>
      <c r="L3" s="341"/>
      <c r="M3" s="341"/>
      <c r="N3" s="341"/>
      <c r="O3" s="341"/>
      <c r="P3" s="341"/>
      <c r="Q3" s="341"/>
      <c r="R3" s="341"/>
      <c r="S3" s="341"/>
      <c r="T3" s="341"/>
      <c r="U3" s="341"/>
      <c r="V3" s="341"/>
      <c r="W3" s="341"/>
      <c r="X3" s="341"/>
      <c r="Y3" s="341"/>
      <c r="Z3" s="341"/>
      <c r="AA3" s="341"/>
      <c r="AB3" s="341"/>
      <c r="AC3" s="341"/>
      <c r="AD3" s="341"/>
      <c r="AE3" s="341"/>
      <c r="AF3" s="341"/>
    </row>
    <row r="4" spans="1:32" ht="10.5" customHeight="1">
      <c r="A4" s="1589"/>
      <c r="B4" s="1590"/>
      <c r="C4" s="1590"/>
      <c r="D4" s="1590"/>
      <c r="E4" s="1590"/>
      <c r="F4" s="1590"/>
      <c r="G4" s="1590"/>
      <c r="H4" s="1591"/>
      <c r="L4" s="1592"/>
      <c r="N4" s="341"/>
      <c r="O4" s="341"/>
      <c r="P4" s="341"/>
      <c r="Q4" s="341"/>
      <c r="R4" s="341"/>
      <c r="S4" s="341"/>
      <c r="T4" s="341"/>
      <c r="U4" s="341"/>
      <c r="V4" s="341"/>
      <c r="W4" s="341"/>
      <c r="X4" s="341"/>
      <c r="Y4" s="341"/>
      <c r="Z4" s="341"/>
      <c r="AA4" s="341"/>
      <c r="AB4" s="341"/>
      <c r="AC4" s="341"/>
      <c r="AD4" s="341"/>
      <c r="AE4" s="341"/>
      <c r="AF4" s="341"/>
    </row>
    <row r="5" spans="1:32" ht="13.2" customHeight="1">
      <c r="A5" s="1589"/>
      <c r="B5" s="1593"/>
      <c r="C5" s="1590"/>
      <c r="D5" s="1590"/>
      <c r="E5" s="1590"/>
      <c r="F5" s="1590"/>
      <c r="G5" s="1590"/>
      <c r="H5" s="1591"/>
      <c r="N5" s="250"/>
      <c r="O5" s="341"/>
      <c r="P5" s="341"/>
      <c r="Q5" s="341"/>
      <c r="R5" s="341"/>
      <c r="S5" s="341"/>
      <c r="T5" s="341"/>
      <c r="U5" s="341"/>
      <c r="V5" s="341"/>
      <c r="W5" s="341"/>
      <c r="X5" s="341"/>
      <c r="Y5" s="341"/>
      <c r="Z5" s="341"/>
      <c r="AA5" s="341"/>
      <c r="AB5" s="341"/>
      <c r="AC5" s="341"/>
      <c r="AD5" s="341"/>
      <c r="AE5" s="341"/>
      <c r="AF5" s="341"/>
    </row>
    <row r="6" spans="1:32" ht="10.5" customHeight="1">
      <c r="A6" s="341"/>
      <c r="B6" s="341"/>
      <c r="C6" s="1594"/>
      <c r="D6" s="1594"/>
      <c r="E6" s="1594"/>
      <c r="F6" s="1594"/>
      <c r="G6" s="1594"/>
      <c r="H6" s="1594"/>
      <c r="N6" s="341"/>
      <c r="O6" s="341"/>
      <c r="P6" s="341"/>
      <c r="Q6" s="341"/>
      <c r="R6" s="341"/>
      <c r="S6" s="341"/>
      <c r="T6" s="341"/>
      <c r="U6" s="341"/>
      <c r="V6" s="341"/>
      <c r="W6" s="341"/>
      <c r="X6" s="341"/>
      <c r="Y6" s="341"/>
      <c r="Z6" s="341"/>
      <c r="AA6" s="341"/>
      <c r="AB6" s="341"/>
      <c r="AC6" s="341"/>
      <c r="AD6" s="341"/>
      <c r="AE6" s="341"/>
      <c r="AF6" s="341"/>
    </row>
    <row r="7" spans="1:32" ht="22.2" customHeight="1">
      <c r="A7" s="341"/>
      <c r="B7" s="341"/>
      <c r="C7" s="341"/>
      <c r="D7" s="341"/>
      <c r="E7" s="341"/>
      <c r="F7" s="341"/>
      <c r="G7" s="341"/>
      <c r="H7" s="341"/>
      <c r="I7" s="341"/>
      <c r="J7" s="341"/>
      <c r="K7" s="341"/>
      <c r="L7" s="341"/>
      <c r="M7" s="341"/>
      <c r="N7" s="341"/>
      <c r="O7" s="341"/>
      <c r="P7" s="341"/>
      <c r="Q7" s="341"/>
      <c r="R7" s="341"/>
      <c r="S7" s="341"/>
      <c r="T7" s="341"/>
      <c r="U7" s="341"/>
      <c r="V7" s="341"/>
      <c r="W7" s="341"/>
      <c r="X7" s="341"/>
      <c r="Y7" s="341"/>
      <c r="Z7" s="341"/>
      <c r="AA7" s="341"/>
      <c r="AB7" s="341"/>
      <c r="AC7" s="341"/>
      <c r="AD7" s="341"/>
      <c r="AE7" s="341"/>
      <c r="AF7" s="341"/>
    </row>
    <row r="8" spans="1:32">
      <c r="A8" s="341"/>
      <c r="B8" s="341"/>
      <c r="C8" s="341"/>
      <c r="D8" s="1595"/>
      <c r="E8" s="341"/>
      <c r="F8" s="341"/>
      <c r="G8" s="341"/>
      <c r="H8" s="341"/>
      <c r="I8" s="341"/>
      <c r="J8" s="341"/>
      <c r="K8" s="341"/>
      <c r="L8" s="341"/>
      <c r="M8" s="341"/>
      <c r="N8" s="341"/>
      <c r="O8" s="341"/>
      <c r="P8" s="341"/>
      <c r="Q8" s="341"/>
      <c r="R8" s="341"/>
      <c r="S8" s="341"/>
      <c r="T8" s="341"/>
      <c r="U8" s="341"/>
      <c r="V8" s="341"/>
      <c r="W8" s="341"/>
      <c r="X8" s="341"/>
      <c r="Y8" s="341"/>
      <c r="Z8" s="341"/>
      <c r="AA8" s="341"/>
      <c r="AB8" s="341"/>
      <c r="AC8" s="341"/>
      <c r="AD8" s="341"/>
      <c r="AE8" s="341"/>
      <c r="AF8" s="341"/>
    </row>
    <row r="9" spans="1:32">
      <c r="A9" s="341"/>
      <c r="B9" s="341"/>
      <c r="C9" s="341"/>
      <c r="D9" s="1653"/>
      <c r="E9" s="1654"/>
      <c r="F9" s="1654"/>
      <c r="G9" s="1654"/>
      <c r="H9" s="1654"/>
      <c r="I9" s="1654"/>
      <c r="J9" s="341"/>
      <c r="K9" s="341"/>
      <c r="L9" s="341"/>
      <c r="M9" s="341"/>
      <c r="N9" s="341"/>
      <c r="O9" s="341"/>
      <c r="P9" s="341"/>
      <c r="Q9" s="341"/>
      <c r="R9" s="341"/>
      <c r="S9" s="341"/>
      <c r="T9" s="341"/>
      <c r="U9" s="341"/>
      <c r="V9" s="341"/>
      <c r="W9" s="341"/>
      <c r="X9" s="341"/>
      <c r="Y9" s="341"/>
      <c r="Z9" s="341"/>
      <c r="AA9" s="341"/>
      <c r="AB9" s="341"/>
      <c r="AC9" s="341"/>
      <c r="AD9" s="341"/>
      <c r="AE9" s="341"/>
      <c r="AF9" s="341"/>
    </row>
    <row r="10" spans="1:32" ht="15.45">
      <c r="A10" s="341"/>
      <c r="B10" s="1647"/>
      <c r="C10" s="1647"/>
      <c r="D10" s="1647"/>
      <c r="E10" s="341"/>
      <c r="F10" s="341"/>
      <c r="G10" s="1647"/>
      <c r="H10" s="1647"/>
      <c r="I10" s="1647"/>
      <c r="J10" s="341"/>
      <c r="K10" s="341"/>
      <c r="L10" s="341"/>
      <c r="M10" s="341"/>
      <c r="N10" s="341"/>
      <c r="P10" s="341"/>
      <c r="Q10" s="341"/>
      <c r="R10" s="341"/>
      <c r="S10" s="341"/>
      <c r="T10" s="341"/>
      <c r="U10" s="341"/>
      <c r="V10" s="341"/>
      <c r="W10" s="341"/>
      <c r="X10" s="341"/>
      <c r="Y10" s="341"/>
      <c r="Z10" s="341"/>
      <c r="AA10" s="341"/>
      <c r="AB10" s="341"/>
      <c r="AC10" s="341"/>
      <c r="AD10" s="341"/>
      <c r="AE10" s="341"/>
      <c r="AF10" s="341"/>
    </row>
    <row r="11" spans="1:32" ht="15.45">
      <c r="A11" s="341"/>
      <c r="B11" s="1651"/>
      <c r="C11" s="1651"/>
      <c r="D11" s="1651"/>
      <c r="E11" s="341"/>
      <c r="F11" s="341"/>
      <c r="G11" s="1652"/>
      <c r="H11" s="1652"/>
      <c r="I11" s="1652"/>
      <c r="J11" s="341"/>
      <c r="K11" s="341"/>
      <c r="L11" s="341"/>
      <c r="M11" s="341"/>
      <c r="N11" s="341"/>
      <c r="O11" s="341"/>
      <c r="P11" s="341"/>
      <c r="Q11" s="341"/>
      <c r="R11" s="341"/>
      <c r="S11" s="341"/>
      <c r="T11" s="341"/>
      <c r="U11" s="341"/>
      <c r="V11" s="341"/>
      <c r="W11" s="341"/>
      <c r="X11" s="341"/>
      <c r="Y11" s="341"/>
      <c r="Z11" s="341"/>
      <c r="AA11" s="341"/>
      <c r="AB11" s="341"/>
      <c r="AC11" s="341"/>
      <c r="AD11" s="341"/>
      <c r="AE11" s="341"/>
      <c r="AF11" s="341"/>
    </row>
    <row r="12" spans="1:32" ht="15.45">
      <c r="A12" s="341"/>
      <c r="B12" s="1651"/>
      <c r="C12" s="1651"/>
      <c r="D12" s="1651"/>
      <c r="E12" s="341"/>
      <c r="F12" s="341"/>
      <c r="G12" s="1652"/>
      <c r="H12" s="1652"/>
      <c r="I12" s="1652"/>
      <c r="J12" s="341"/>
      <c r="K12" s="341"/>
      <c r="L12" s="341"/>
      <c r="M12" s="341"/>
      <c r="N12" s="341"/>
      <c r="O12" s="341"/>
      <c r="P12" s="341"/>
      <c r="Q12" s="341"/>
      <c r="R12" s="341"/>
      <c r="S12" s="341"/>
      <c r="T12" s="341"/>
      <c r="U12" s="341"/>
      <c r="V12" s="341"/>
      <c r="W12" s="341"/>
      <c r="X12" s="341"/>
      <c r="Y12" s="341"/>
      <c r="Z12" s="341"/>
      <c r="AA12" s="341"/>
      <c r="AB12" s="341"/>
      <c r="AC12" s="341"/>
      <c r="AD12" s="341"/>
      <c r="AE12" s="341"/>
      <c r="AF12" s="341"/>
    </row>
    <row r="13" spans="1:32" ht="15.45">
      <c r="A13" s="341"/>
      <c r="B13" s="1651" t="s">
        <v>0</v>
      </c>
      <c r="C13" s="1651"/>
      <c r="D13" s="1651"/>
      <c r="E13" s="341"/>
      <c r="F13" s="341"/>
      <c r="G13" s="1652"/>
      <c r="H13" s="1652"/>
      <c r="I13" s="1652"/>
      <c r="J13" s="341"/>
      <c r="K13" s="341"/>
      <c r="L13" s="341"/>
      <c r="M13" s="341"/>
      <c r="N13" s="341"/>
      <c r="O13" s="341"/>
      <c r="P13" s="341"/>
      <c r="Q13" s="341"/>
      <c r="R13" s="341"/>
      <c r="S13" s="341"/>
      <c r="T13" s="341"/>
      <c r="U13" s="341"/>
      <c r="V13" s="341"/>
      <c r="W13" s="341"/>
      <c r="X13" s="341"/>
      <c r="Y13" s="341"/>
      <c r="Z13" s="341"/>
      <c r="AA13" s="341"/>
      <c r="AB13" s="341"/>
      <c r="AC13" s="341"/>
      <c r="AD13" s="341"/>
      <c r="AE13" s="341"/>
      <c r="AF13" s="341"/>
    </row>
    <row r="14" spans="1:32" ht="16.5" customHeight="1">
      <c r="A14" s="341"/>
      <c r="B14" s="341"/>
      <c r="C14" s="341"/>
      <c r="D14" s="341"/>
      <c r="E14" s="341"/>
      <c r="F14" s="341"/>
      <c r="G14" s="341"/>
      <c r="H14" s="341"/>
      <c r="I14" s="341"/>
      <c r="J14" s="341"/>
      <c r="K14" s="341"/>
      <c r="L14" s="341"/>
      <c r="M14" s="341"/>
      <c r="N14" s="341"/>
      <c r="O14" s="341"/>
      <c r="P14" s="341"/>
      <c r="Q14" s="341"/>
      <c r="R14" s="341"/>
      <c r="S14" s="341"/>
      <c r="T14" s="341"/>
      <c r="U14" s="341"/>
      <c r="V14" s="341"/>
      <c r="W14" s="341"/>
      <c r="X14" s="341"/>
      <c r="Y14" s="341"/>
      <c r="Z14" s="341"/>
      <c r="AA14" s="341"/>
      <c r="AB14" s="341"/>
      <c r="AC14" s="341"/>
      <c r="AD14" s="341"/>
      <c r="AE14" s="341"/>
      <c r="AF14" s="341"/>
    </row>
    <row r="15" spans="1:32" ht="15" customHeight="1">
      <c r="A15" s="341"/>
      <c r="B15" s="341"/>
      <c r="C15" s="341"/>
      <c r="D15" s="341"/>
      <c r="E15" s="341"/>
      <c r="F15" s="341"/>
      <c r="G15" s="341"/>
      <c r="H15" s="341"/>
      <c r="I15" s="341"/>
      <c r="J15" s="341"/>
      <c r="K15" s="341"/>
      <c r="L15" s="341"/>
      <c r="M15" s="341"/>
      <c r="N15" s="341"/>
      <c r="O15" s="341"/>
      <c r="P15" s="341"/>
      <c r="Q15" s="341"/>
      <c r="R15" s="341"/>
      <c r="S15" s="341"/>
      <c r="T15" s="341"/>
      <c r="U15" s="341"/>
      <c r="V15" s="341"/>
      <c r="W15" s="341"/>
      <c r="X15" s="341"/>
      <c r="Y15" s="341"/>
      <c r="Z15" s="341"/>
      <c r="AA15" s="341"/>
      <c r="AB15" s="341"/>
      <c r="AC15" s="341"/>
      <c r="AD15" s="341"/>
      <c r="AE15" s="341"/>
      <c r="AF15" s="341"/>
    </row>
    <row r="16" spans="1:32" ht="34.5" customHeight="1">
      <c r="A16" s="341"/>
      <c r="B16" s="341"/>
      <c r="C16" s="341"/>
      <c r="D16" s="341"/>
      <c r="E16" s="341"/>
      <c r="F16" s="341"/>
      <c r="G16" s="341"/>
      <c r="H16" s="341"/>
      <c r="I16" s="341"/>
      <c r="J16" s="341"/>
      <c r="K16" s="341"/>
      <c r="L16" s="341"/>
      <c r="M16" s="341"/>
      <c r="N16" s="341"/>
      <c r="O16" s="341"/>
      <c r="Q16" s="341"/>
      <c r="R16" s="341"/>
      <c r="S16" s="341"/>
      <c r="T16" s="341"/>
      <c r="U16" s="341"/>
      <c r="V16" s="341"/>
      <c r="W16" s="341"/>
      <c r="X16" s="341"/>
      <c r="Y16" s="341"/>
      <c r="Z16" s="341"/>
      <c r="AA16" s="341"/>
      <c r="AB16" s="341"/>
      <c r="AC16" s="341"/>
      <c r="AD16" s="341"/>
      <c r="AE16" s="341"/>
      <c r="AF16" s="341"/>
    </row>
    <row r="17" spans="1:32">
      <c r="A17" s="341"/>
      <c r="B17" s="341"/>
      <c r="C17" s="341"/>
      <c r="D17" s="341"/>
      <c r="E17" s="341"/>
      <c r="F17" s="341"/>
      <c r="G17" s="341"/>
      <c r="H17" s="341"/>
      <c r="I17" s="341"/>
      <c r="J17" s="341"/>
      <c r="K17" s="341"/>
      <c r="L17" s="341"/>
      <c r="M17" s="341"/>
      <c r="N17" s="341"/>
      <c r="O17" s="341"/>
      <c r="P17" s="341"/>
      <c r="Q17" s="341"/>
      <c r="R17" s="341"/>
      <c r="S17" s="341"/>
      <c r="T17" s="341"/>
      <c r="U17" s="341"/>
      <c r="V17" s="341"/>
      <c r="W17" s="341"/>
      <c r="X17" s="341"/>
      <c r="Y17" s="341"/>
      <c r="Z17" s="341"/>
      <c r="AA17" s="341"/>
      <c r="AB17" s="341"/>
      <c r="AC17" s="341"/>
      <c r="AD17" s="341"/>
      <c r="AE17" s="341"/>
      <c r="AF17" s="341"/>
    </row>
    <row r="18" spans="1:32">
      <c r="A18" s="341"/>
      <c r="B18" s="341"/>
      <c r="C18" s="341"/>
      <c r="D18" s="341"/>
      <c r="E18" s="341"/>
      <c r="F18" s="341"/>
      <c r="G18" s="341"/>
      <c r="H18" s="341"/>
      <c r="I18" s="341"/>
      <c r="J18" s="341"/>
      <c r="K18" s="341"/>
      <c r="L18" s="341"/>
      <c r="M18" s="341"/>
      <c r="N18" s="341"/>
      <c r="O18" s="341"/>
      <c r="P18" s="341"/>
      <c r="Q18" s="341"/>
      <c r="R18" s="341"/>
      <c r="S18" s="341"/>
      <c r="T18" s="341"/>
      <c r="U18" s="341"/>
      <c r="V18" s="341"/>
      <c r="W18" s="341"/>
      <c r="X18" s="341"/>
      <c r="Y18" s="341"/>
      <c r="Z18" s="341"/>
      <c r="AA18" s="341"/>
      <c r="AB18" s="341"/>
      <c r="AC18" s="341"/>
      <c r="AD18" s="341"/>
      <c r="AE18" s="341"/>
      <c r="AF18" s="341"/>
    </row>
    <row r="19" spans="1:32">
      <c r="A19" s="341"/>
      <c r="B19" s="341"/>
      <c r="C19" s="341"/>
      <c r="D19" s="341"/>
      <c r="E19" s="341"/>
      <c r="F19" s="341"/>
      <c r="G19" s="341"/>
      <c r="H19" s="341"/>
      <c r="I19" s="341"/>
      <c r="J19" s="341"/>
      <c r="K19" s="341"/>
      <c r="L19" s="341"/>
      <c r="M19" s="341"/>
      <c r="N19" s="341"/>
      <c r="O19" s="341"/>
      <c r="P19" s="341"/>
      <c r="Q19" s="341"/>
      <c r="R19" s="341"/>
      <c r="S19" s="341"/>
      <c r="T19" s="341"/>
      <c r="U19" s="341"/>
      <c r="V19" s="341"/>
      <c r="W19" s="341"/>
      <c r="X19" s="341"/>
      <c r="Y19" s="341"/>
      <c r="Z19" s="341"/>
      <c r="AA19" s="341"/>
      <c r="AB19" s="341"/>
      <c r="AC19" s="341"/>
      <c r="AD19" s="341"/>
      <c r="AE19" s="341"/>
      <c r="AF19" s="341"/>
    </row>
    <row r="20" spans="1:32">
      <c r="A20" s="341"/>
      <c r="B20" s="341"/>
      <c r="C20" s="341"/>
      <c r="D20" s="341"/>
      <c r="E20" s="341"/>
      <c r="F20" s="341"/>
      <c r="G20" s="341"/>
      <c r="H20" s="341"/>
      <c r="I20" s="341"/>
      <c r="J20" s="341"/>
      <c r="K20" s="341"/>
      <c r="L20" s="341"/>
      <c r="M20" s="341"/>
      <c r="N20" s="341"/>
      <c r="O20" s="341"/>
      <c r="Q20" s="341"/>
      <c r="R20" s="341"/>
      <c r="S20" s="341"/>
      <c r="T20" s="341"/>
      <c r="U20" s="341"/>
      <c r="V20" s="341"/>
      <c r="W20" s="341"/>
      <c r="X20" s="341"/>
      <c r="Y20" s="341"/>
      <c r="Z20" s="341"/>
      <c r="AA20" s="341"/>
      <c r="AB20" s="341"/>
      <c r="AC20" s="341"/>
      <c r="AD20" s="341"/>
      <c r="AE20" s="341"/>
      <c r="AF20" s="341"/>
    </row>
    <row r="21" spans="1:32" ht="12" customHeight="1">
      <c r="A21" s="341"/>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c r="AE21" s="341"/>
      <c r="AF21" s="341"/>
    </row>
    <row r="22" spans="1:32" ht="12.75" customHeight="1">
      <c r="A22" s="341"/>
      <c r="B22" s="1596"/>
      <c r="C22" s="1596"/>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c r="AE22" s="341"/>
      <c r="AF22" s="341"/>
    </row>
    <row r="23" spans="1:32" ht="15.45">
      <c r="A23" s="341"/>
      <c r="B23" s="1648" t="s">
        <v>0</v>
      </c>
      <c r="C23" s="1648"/>
      <c r="D23" s="1648"/>
      <c r="E23" s="341"/>
      <c r="F23" s="341"/>
      <c r="G23" s="1648"/>
      <c r="H23" s="1648"/>
      <c r="I23" s="1648"/>
      <c r="J23" s="341"/>
      <c r="K23" s="341"/>
      <c r="L23" s="341"/>
      <c r="M23" s="341"/>
      <c r="N23" s="341"/>
      <c r="O23" s="341"/>
      <c r="P23" s="341"/>
      <c r="Q23" s="341"/>
      <c r="R23" s="341"/>
      <c r="S23" s="341"/>
      <c r="T23" s="341"/>
      <c r="U23" s="341"/>
      <c r="V23" s="341"/>
      <c r="W23" s="341"/>
      <c r="X23" s="341"/>
      <c r="Y23" s="341"/>
      <c r="Z23" s="341"/>
      <c r="AA23" s="341"/>
      <c r="AB23" s="341"/>
      <c r="AC23" s="341"/>
      <c r="AD23" s="341"/>
      <c r="AE23" s="341"/>
      <c r="AF23" s="341"/>
    </row>
    <row r="24" spans="1:32">
      <c r="A24" s="341"/>
      <c r="B24" s="1649"/>
      <c r="C24" s="1649"/>
      <c r="D24" s="1649"/>
      <c r="E24" s="341"/>
      <c r="F24" s="341"/>
      <c r="G24" s="1649"/>
      <c r="H24" s="1649"/>
      <c r="I24" s="1649"/>
      <c r="J24" s="341"/>
      <c r="K24" s="341"/>
      <c r="L24" s="341"/>
      <c r="M24" s="341"/>
      <c r="N24" s="341"/>
      <c r="O24" s="341"/>
      <c r="P24" s="341"/>
      <c r="Q24" s="341"/>
      <c r="R24" s="341"/>
      <c r="S24" s="341"/>
      <c r="T24" s="341"/>
      <c r="U24" s="341"/>
      <c r="V24" s="341"/>
      <c r="W24" s="341"/>
      <c r="X24" s="341"/>
      <c r="Y24" s="341"/>
      <c r="Z24" s="341"/>
      <c r="AA24" s="341"/>
      <c r="AB24" s="341"/>
      <c r="AC24" s="341"/>
      <c r="AD24" s="341"/>
      <c r="AE24" s="341"/>
      <c r="AF24" s="341"/>
    </row>
    <row r="25" spans="1:32" ht="15.45">
      <c r="A25" s="341"/>
      <c r="B25" s="1648"/>
      <c r="C25" s="1648"/>
      <c r="D25" s="1648"/>
      <c r="E25" s="341"/>
      <c r="F25" s="341"/>
      <c r="G25" s="1648"/>
      <c r="H25" s="1648"/>
      <c r="I25" s="1648"/>
      <c r="J25" s="341"/>
      <c r="K25" s="341"/>
      <c r="L25" s="341"/>
      <c r="M25" s="341"/>
      <c r="N25" s="341"/>
      <c r="O25" s="341"/>
      <c r="P25" s="341"/>
      <c r="Q25" s="341"/>
      <c r="R25" s="341"/>
      <c r="S25" s="341"/>
      <c r="T25" s="341"/>
      <c r="U25" s="341"/>
      <c r="V25" s="341"/>
      <c r="W25" s="341"/>
      <c r="X25" s="341"/>
      <c r="Y25" s="341"/>
      <c r="Z25" s="341"/>
      <c r="AA25" s="341"/>
      <c r="AB25" s="341"/>
      <c r="AC25" s="341"/>
      <c r="AD25" s="341"/>
      <c r="AE25" s="341"/>
      <c r="AF25" s="341"/>
    </row>
    <row r="26" spans="1:32">
      <c r="A26" s="341"/>
      <c r="B26" s="341"/>
      <c r="C26" s="341"/>
      <c r="D26" s="341"/>
      <c r="E26" s="341"/>
      <c r="F26" s="341"/>
      <c r="G26" s="341"/>
      <c r="H26" s="341"/>
      <c r="I26" s="341"/>
      <c r="J26" s="341"/>
      <c r="K26" s="341"/>
      <c r="L26" s="341"/>
      <c r="M26" s="341"/>
      <c r="N26" s="341"/>
      <c r="O26" s="341"/>
      <c r="P26" s="341"/>
      <c r="Q26" s="341"/>
      <c r="R26" s="341"/>
      <c r="S26" s="341"/>
      <c r="T26" s="341"/>
      <c r="U26" s="341"/>
      <c r="V26" s="341"/>
      <c r="W26" s="341"/>
      <c r="X26" s="341"/>
      <c r="Y26" s="341"/>
      <c r="Z26" s="341"/>
      <c r="AA26" s="341"/>
      <c r="AB26" s="341"/>
      <c r="AC26" s="341"/>
      <c r="AD26" s="341"/>
      <c r="AE26" s="341"/>
      <c r="AF26" s="341"/>
    </row>
    <row r="27" spans="1:32">
      <c r="A27" s="341"/>
      <c r="B27" s="341"/>
      <c r="C27" s="341"/>
      <c r="D27" s="341"/>
      <c r="E27" s="341"/>
      <c r="F27" s="341"/>
      <c r="G27" s="1596"/>
      <c r="H27" s="1596"/>
      <c r="I27" s="341"/>
      <c r="J27" s="341"/>
      <c r="K27" s="341"/>
      <c r="L27" s="341"/>
      <c r="M27" s="341"/>
      <c r="N27" s="341"/>
      <c r="O27" s="341"/>
      <c r="P27" s="341" t="s">
        <v>0</v>
      </c>
      <c r="Q27" s="341"/>
      <c r="R27" s="341"/>
      <c r="S27" s="341"/>
      <c r="T27" s="341"/>
      <c r="U27" s="341"/>
      <c r="V27" s="341"/>
      <c r="W27" s="341"/>
      <c r="X27" s="341"/>
      <c r="Y27" s="341"/>
      <c r="Z27" s="341"/>
      <c r="AA27" s="341"/>
      <c r="AB27" s="341"/>
      <c r="AC27" s="341"/>
      <c r="AD27" s="341"/>
      <c r="AE27" s="341"/>
      <c r="AF27" s="341"/>
    </row>
    <row r="28" spans="1:32" ht="9.75" customHeight="1">
      <c r="A28" s="341"/>
      <c r="B28" s="341"/>
      <c r="C28" s="341"/>
      <c r="D28" s="341"/>
      <c r="E28" s="341"/>
      <c r="F28" s="341"/>
      <c r="G28" s="341"/>
      <c r="H28" s="341"/>
      <c r="I28" s="341"/>
      <c r="J28" s="341"/>
      <c r="K28" s="341"/>
      <c r="L28" s="341"/>
      <c r="M28" s="341"/>
      <c r="N28" s="341"/>
      <c r="O28" s="341"/>
      <c r="P28" s="341"/>
      <c r="Q28" s="341"/>
      <c r="R28" s="341"/>
      <c r="S28" s="341"/>
      <c r="T28" s="341"/>
      <c r="U28" s="341"/>
      <c r="V28" s="341"/>
      <c r="W28" s="341"/>
      <c r="X28" s="341"/>
      <c r="Y28" s="341"/>
      <c r="Z28" s="341"/>
      <c r="AA28" s="341"/>
      <c r="AB28" s="341"/>
      <c r="AC28" s="341"/>
      <c r="AD28" s="341"/>
      <c r="AE28" s="341"/>
      <c r="AF28" s="341"/>
    </row>
    <row r="29" spans="1:32" ht="9.75" customHeight="1">
      <c r="A29" s="341"/>
      <c r="B29" s="341"/>
      <c r="C29" s="341"/>
      <c r="D29" s="341"/>
      <c r="E29" s="341"/>
      <c r="F29" s="341"/>
      <c r="G29" s="341"/>
      <c r="H29" s="341"/>
      <c r="I29" s="341"/>
      <c r="J29" s="341"/>
      <c r="K29" s="341"/>
      <c r="L29" s="341"/>
      <c r="M29" s="341"/>
      <c r="N29" s="341"/>
      <c r="O29" s="341"/>
      <c r="P29" s="341"/>
      <c r="Q29" s="341"/>
      <c r="R29" s="341"/>
      <c r="S29" s="341"/>
      <c r="T29" s="341"/>
      <c r="U29" s="341"/>
      <c r="V29" s="341"/>
      <c r="W29" s="341"/>
      <c r="X29" s="341"/>
      <c r="Y29" s="341"/>
      <c r="Z29" s="341"/>
      <c r="AA29" s="341"/>
      <c r="AB29" s="341"/>
      <c r="AC29" s="341"/>
      <c r="AD29" s="341"/>
      <c r="AE29" s="341"/>
      <c r="AF29" s="341"/>
    </row>
    <row r="30" spans="1:32" ht="9" customHeight="1">
      <c r="A30" s="341"/>
      <c r="B30" s="1648" t="s">
        <v>0</v>
      </c>
      <c r="C30" s="1648"/>
      <c r="D30" s="1648"/>
      <c r="E30" s="341"/>
      <c r="F30" s="341"/>
      <c r="G30" s="1648"/>
      <c r="H30" s="1648"/>
      <c r="I30" s="1648"/>
      <c r="J30" s="341"/>
      <c r="K30" s="341"/>
      <c r="L30" s="341"/>
      <c r="M30" s="341"/>
      <c r="N30" s="341"/>
      <c r="O30" s="341"/>
      <c r="P30" s="341"/>
      <c r="Q30" s="341"/>
      <c r="R30" s="341"/>
      <c r="S30" s="341"/>
      <c r="T30" s="341"/>
      <c r="U30" s="341"/>
      <c r="V30" s="341"/>
      <c r="W30" s="341"/>
      <c r="X30" s="341"/>
      <c r="Y30" s="341"/>
      <c r="Z30" s="341"/>
      <c r="AA30" s="341"/>
      <c r="AB30" s="341"/>
      <c r="AC30" s="341"/>
      <c r="AD30" s="341"/>
      <c r="AE30" s="341"/>
      <c r="AF30" s="341"/>
    </row>
    <row r="31" spans="1:32" ht="6" customHeight="1">
      <c r="A31" s="341"/>
      <c r="B31" s="1649"/>
      <c r="C31" s="1649"/>
      <c r="D31" s="1649"/>
      <c r="E31" s="341"/>
      <c r="F31" s="341"/>
      <c r="G31" s="1655"/>
      <c r="H31" s="1655"/>
      <c r="I31" s="1655"/>
      <c r="J31" s="341"/>
      <c r="K31" s="341"/>
      <c r="L31" s="341"/>
      <c r="M31" s="341"/>
      <c r="N31" s="341"/>
      <c r="O31" s="341"/>
      <c r="P31" s="341"/>
      <c r="Q31" s="362" t="s">
        <v>0</v>
      </c>
      <c r="R31" s="341"/>
      <c r="S31" s="341"/>
      <c r="T31" s="341"/>
      <c r="U31" s="341"/>
      <c r="V31" s="341"/>
      <c r="W31" s="341"/>
      <c r="X31" s="341"/>
      <c r="Y31" s="341"/>
      <c r="Z31" s="341"/>
      <c r="AA31" s="341"/>
      <c r="AB31" s="341"/>
      <c r="AC31" s="341"/>
      <c r="AD31" s="341"/>
      <c r="AE31" s="341"/>
      <c r="AF31" s="341"/>
    </row>
    <row r="32" spans="1:32" ht="7.5" customHeight="1">
      <c r="A32" s="341"/>
      <c r="B32" s="1596"/>
      <c r="C32" s="341"/>
      <c r="D32" s="341"/>
      <c r="E32" s="341"/>
      <c r="F32" s="341"/>
      <c r="G32" s="1596"/>
      <c r="H32" s="1596"/>
      <c r="I32" s="341"/>
      <c r="J32" s="341"/>
      <c r="K32" s="341"/>
      <c r="L32" s="341"/>
      <c r="M32" s="341"/>
      <c r="N32" s="341"/>
      <c r="O32" s="341"/>
      <c r="P32" s="341"/>
      <c r="Q32" s="341"/>
      <c r="R32" s="341"/>
      <c r="S32" s="341"/>
      <c r="T32" s="341"/>
      <c r="U32" s="341"/>
      <c r="V32" s="341"/>
      <c r="W32" s="341"/>
      <c r="X32" s="341"/>
      <c r="Y32" s="341"/>
      <c r="Z32" s="341"/>
      <c r="AA32" s="341"/>
      <c r="AB32" s="341"/>
      <c r="AC32" s="341"/>
      <c r="AD32" s="341"/>
      <c r="AE32" s="341"/>
      <c r="AF32" s="341"/>
    </row>
    <row r="33" spans="1:33">
      <c r="A33" s="341"/>
      <c r="B33" s="1597" t="s">
        <v>0</v>
      </c>
      <c r="C33" s="1597"/>
      <c r="F33" s="1641" t="s">
        <v>875</v>
      </c>
      <c r="G33" s="1642"/>
      <c r="H33" s="1642"/>
      <c r="I33" s="1642"/>
      <c r="J33" s="1642"/>
      <c r="K33" s="1598"/>
      <c r="L33" s="1599"/>
      <c r="M33" s="1598"/>
      <c r="N33" s="1600"/>
      <c r="O33" s="341"/>
      <c r="P33" s="341"/>
      <c r="Q33" s="341"/>
      <c r="R33" s="341"/>
      <c r="S33" s="341"/>
      <c r="T33" s="341"/>
      <c r="U33" s="341"/>
      <c r="V33" s="341"/>
      <c r="W33" s="341"/>
      <c r="X33" s="341"/>
      <c r="Y33" s="341"/>
      <c r="Z33" s="341"/>
      <c r="AA33" s="341"/>
      <c r="AB33" s="341"/>
      <c r="AC33" s="341"/>
      <c r="AD33" s="341"/>
      <c r="AE33" s="341"/>
      <c r="AF33" s="341"/>
    </row>
    <row r="34" spans="1:33" ht="15" customHeight="1">
      <c r="A34" s="362"/>
      <c r="B34" s="1601"/>
      <c r="C34" s="1646" t="s">
        <v>239</v>
      </c>
      <c r="D34" s="149"/>
      <c r="E34" s="1602"/>
      <c r="G34" s="2"/>
      <c r="H34" s="1603"/>
      <c r="J34" s="1645" t="s">
        <v>876</v>
      </c>
      <c r="K34" s="1645"/>
      <c r="L34" s="1645"/>
      <c r="M34" s="250"/>
      <c r="N34" s="250"/>
      <c r="O34" s="341"/>
      <c r="P34" s="341"/>
      <c r="Q34" s="341"/>
      <c r="R34" s="341"/>
      <c r="S34" s="341"/>
      <c r="T34" s="341"/>
      <c r="U34" s="341"/>
      <c r="V34" s="341"/>
      <c r="W34" s="341"/>
      <c r="X34" s="341"/>
      <c r="Y34" s="341"/>
      <c r="Z34" s="341"/>
      <c r="AA34" s="341"/>
      <c r="AB34" s="341"/>
      <c r="AC34" s="341"/>
      <c r="AD34" s="341"/>
      <c r="AE34" s="341"/>
      <c r="AF34" s="341"/>
    </row>
    <row r="35" spans="1:33">
      <c r="A35" s="341"/>
      <c r="B35" s="1604"/>
      <c r="C35" s="1646"/>
      <c r="D35" s="1604"/>
      <c r="E35" s="341"/>
      <c r="F35" s="341"/>
      <c r="G35" s="1605"/>
      <c r="H35" s="1605"/>
      <c r="I35" s="1605"/>
      <c r="J35" s="1645"/>
      <c r="K35" s="1645"/>
      <c r="L35" s="1645"/>
      <c r="M35" s="341"/>
      <c r="N35" s="341"/>
      <c r="O35" s="341"/>
      <c r="P35" s="341"/>
      <c r="Q35" s="341"/>
      <c r="R35" s="362"/>
      <c r="S35" s="341"/>
      <c r="T35" s="341"/>
      <c r="U35" s="341"/>
      <c r="V35" s="341"/>
      <c r="W35" s="341"/>
      <c r="X35" s="341"/>
      <c r="Y35" s="341"/>
      <c r="Z35" s="341"/>
      <c r="AA35" s="341"/>
      <c r="AB35" s="341"/>
      <c r="AC35" s="341"/>
      <c r="AD35" s="341"/>
      <c r="AE35" s="341"/>
      <c r="AF35" s="341"/>
    </row>
    <row r="36" spans="1:33">
      <c r="A36" s="341"/>
      <c r="B36" s="1643"/>
      <c r="C36" s="1643"/>
      <c r="D36" s="1643"/>
      <c r="E36" s="341"/>
      <c r="F36" s="341"/>
      <c r="G36" s="1644"/>
      <c r="H36" s="1644"/>
      <c r="I36" s="1644"/>
      <c r="J36" s="341"/>
      <c r="K36" s="341"/>
      <c r="L36" s="341"/>
      <c r="M36" s="341"/>
      <c r="N36" s="341"/>
      <c r="O36" s="341"/>
      <c r="P36" s="341"/>
      <c r="Q36" s="341"/>
      <c r="R36" s="341"/>
      <c r="S36" s="341"/>
      <c r="T36" s="341"/>
      <c r="U36" s="341"/>
      <c r="V36" s="341"/>
      <c r="W36" s="341"/>
      <c r="X36" s="341"/>
      <c r="Y36" s="341"/>
      <c r="Z36" s="341"/>
      <c r="AA36" s="341"/>
      <c r="AB36" s="341"/>
      <c r="AC36" s="341"/>
      <c r="AD36" s="341"/>
      <c r="AE36" s="341"/>
      <c r="AF36" s="341"/>
    </row>
    <row r="37" spans="1:33" ht="18" customHeight="1">
      <c r="A37" s="341"/>
      <c r="B37" s="341"/>
      <c r="C37" s="1606" t="s">
        <v>874</v>
      </c>
      <c r="D37" s="1606"/>
      <c r="E37" s="341"/>
      <c r="F37" s="341"/>
      <c r="G37" s="341"/>
      <c r="H37" s="341"/>
      <c r="I37" s="341"/>
      <c r="J37" s="341"/>
      <c r="K37" s="341"/>
      <c r="L37" s="341"/>
      <c r="M37" s="341"/>
      <c r="N37" s="341"/>
      <c r="O37" s="341"/>
      <c r="P37" s="341"/>
      <c r="Q37" s="341"/>
      <c r="R37" s="341"/>
      <c r="S37" s="341"/>
      <c r="T37" s="341"/>
      <c r="U37" s="341"/>
      <c r="V37" s="341"/>
      <c r="W37" s="341"/>
      <c r="X37" s="341"/>
      <c r="Y37" s="341"/>
      <c r="Z37" s="341"/>
      <c r="AA37" s="341"/>
      <c r="AB37" s="341"/>
      <c r="AC37" s="341"/>
      <c r="AD37" s="341"/>
      <c r="AE37" s="341"/>
      <c r="AF37" s="341"/>
    </row>
    <row r="38" spans="1:33">
      <c r="A38" s="341"/>
      <c r="B38" s="1607"/>
      <c r="C38" s="341"/>
      <c r="D38" s="341"/>
      <c r="E38" s="341"/>
      <c r="F38" s="341"/>
      <c r="G38" s="341"/>
      <c r="H38" s="341"/>
      <c r="I38" s="341"/>
      <c r="M38" s="341"/>
      <c r="O38" s="341"/>
      <c r="P38" s="341"/>
      <c r="Q38" s="341"/>
      <c r="R38" s="341"/>
      <c r="S38" s="341"/>
      <c r="T38" s="341"/>
      <c r="U38" s="341"/>
      <c r="V38" s="341"/>
      <c r="W38" s="341"/>
      <c r="X38" s="341"/>
      <c r="Y38" s="341"/>
      <c r="Z38" s="341"/>
      <c r="AA38" s="341"/>
      <c r="AB38" s="341"/>
      <c r="AC38" s="341"/>
      <c r="AD38" s="341"/>
      <c r="AE38" s="341"/>
      <c r="AF38" s="341"/>
      <c r="AG38" s="341"/>
    </row>
    <row r="39" spans="1:33">
      <c r="A39" s="341"/>
      <c r="B39" s="341"/>
      <c r="C39" s="341"/>
      <c r="D39" s="341"/>
      <c r="E39" s="341"/>
      <c r="F39" s="341"/>
      <c r="G39" s="341"/>
      <c r="H39" s="341"/>
      <c r="I39" s="362"/>
      <c r="O39" s="341"/>
      <c r="P39" s="341"/>
      <c r="Q39" s="341"/>
      <c r="R39" s="341"/>
      <c r="S39" s="341"/>
      <c r="T39" s="341"/>
      <c r="U39" s="341"/>
      <c r="V39" s="341"/>
      <c r="W39" s="341"/>
      <c r="X39" s="341"/>
      <c r="Y39" s="341"/>
      <c r="Z39" s="341"/>
      <c r="AA39" s="341"/>
      <c r="AB39" s="341"/>
      <c r="AC39" s="341"/>
      <c r="AD39" s="341"/>
      <c r="AE39" s="341"/>
      <c r="AF39" s="341"/>
      <c r="AG39" s="341"/>
    </row>
    <row r="40" spans="1:33">
      <c r="A40" s="341"/>
      <c r="B40" s="341"/>
      <c r="C40" s="341"/>
      <c r="D40" s="341"/>
      <c r="E40" s="341"/>
      <c r="F40" s="341"/>
      <c r="H40" s="341"/>
      <c r="I40" s="341"/>
      <c r="O40" s="341"/>
      <c r="P40" s="341"/>
      <c r="Q40" s="341"/>
      <c r="R40" s="341"/>
      <c r="S40" s="341"/>
      <c r="T40" s="341"/>
      <c r="U40" s="341"/>
      <c r="V40" s="341"/>
      <c r="W40" s="341"/>
      <c r="X40" s="341"/>
      <c r="Y40" s="341"/>
      <c r="Z40" s="341"/>
      <c r="AA40" s="341"/>
      <c r="AB40" s="341"/>
      <c r="AC40" s="341"/>
      <c r="AD40" s="341"/>
      <c r="AE40" s="341"/>
      <c r="AF40" s="341"/>
      <c r="AG40" s="341"/>
    </row>
    <row r="41" spans="1:33">
      <c r="A41" s="341"/>
      <c r="B41" s="341"/>
      <c r="C41" s="341"/>
      <c r="D41" s="341"/>
      <c r="E41" s="341"/>
      <c r="F41" s="341"/>
      <c r="G41" s="341"/>
      <c r="H41" s="341"/>
      <c r="I41" s="341"/>
      <c r="K41" s="341"/>
      <c r="L41" s="341"/>
      <c r="M41" s="341"/>
      <c r="N41" s="341"/>
      <c r="O41" s="341"/>
      <c r="P41" s="341"/>
      <c r="Q41" s="341"/>
      <c r="R41" s="341"/>
      <c r="S41" s="341"/>
      <c r="T41" s="341"/>
      <c r="U41" s="341"/>
      <c r="V41" s="341"/>
      <c r="W41" s="341"/>
      <c r="X41" s="341"/>
      <c r="Y41" s="341"/>
      <c r="Z41" s="341"/>
      <c r="AA41" s="341"/>
      <c r="AB41" s="341"/>
      <c r="AC41" s="341"/>
      <c r="AD41" s="341"/>
      <c r="AE41" s="341"/>
      <c r="AF41" s="341"/>
      <c r="AG41" s="341"/>
    </row>
    <row r="42" spans="1:33">
      <c r="A42" s="341"/>
      <c r="B42" s="341"/>
      <c r="C42" s="341"/>
      <c r="D42" s="341"/>
      <c r="E42" s="341"/>
      <c r="F42" s="341"/>
      <c r="G42" s="341"/>
      <c r="H42" s="341"/>
      <c r="I42" s="341"/>
      <c r="J42" s="341"/>
      <c r="K42" s="341"/>
      <c r="L42" s="341"/>
      <c r="M42" s="341"/>
      <c r="N42" s="341"/>
      <c r="O42" s="341"/>
      <c r="P42" s="341"/>
      <c r="Q42" s="341"/>
      <c r="R42" s="341"/>
      <c r="S42" s="341"/>
      <c r="T42" s="341"/>
      <c r="U42" s="341"/>
      <c r="V42" s="341"/>
      <c r="W42" s="341"/>
      <c r="X42" s="341"/>
      <c r="Y42" s="341"/>
      <c r="Z42" s="341"/>
      <c r="AA42" s="341"/>
      <c r="AB42" s="341"/>
      <c r="AC42" s="341"/>
      <c r="AD42" s="341"/>
      <c r="AE42" s="341"/>
      <c r="AF42" s="341"/>
      <c r="AG42" s="341"/>
    </row>
    <row r="43" spans="1:33">
      <c r="A43" s="341"/>
      <c r="B43" s="341"/>
      <c r="C43" s="341"/>
      <c r="D43" s="341"/>
      <c r="E43" s="341"/>
      <c r="F43" s="341"/>
      <c r="G43" s="341"/>
      <c r="H43" s="341"/>
      <c r="I43" s="341"/>
      <c r="J43" s="341"/>
      <c r="K43" s="341"/>
      <c r="L43" s="341"/>
      <c r="M43" s="341"/>
      <c r="N43" s="341"/>
      <c r="O43" s="341"/>
      <c r="P43" s="341"/>
      <c r="Q43" s="341"/>
      <c r="R43" s="341"/>
      <c r="S43" s="341"/>
      <c r="T43" s="341"/>
      <c r="U43" s="341"/>
      <c r="V43" s="341"/>
      <c r="W43" s="341"/>
      <c r="X43" s="341"/>
      <c r="Y43" s="341"/>
      <c r="Z43" s="341"/>
      <c r="AA43" s="341"/>
      <c r="AB43" s="341"/>
      <c r="AC43" s="341"/>
      <c r="AD43" s="341"/>
      <c r="AE43" s="341"/>
      <c r="AF43" s="341"/>
      <c r="AG43" s="341"/>
    </row>
    <row r="44" spans="1:33">
      <c r="A44" s="341"/>
      <c r="B44" s="341"/>
      <c r="C44" s="341"/>
      <c r="D44" s="341"/>
      <c r="E44" s="341"/>
      <c r="F44" s="341"/>
      <c r="G44" s="341"/>
      <c r="H44" s="341"/>
      <c r="I44" s="341"/>
      <c r="J44" s="341"/>
      <c r="K44" s="341"/>
      <c r="L44" s="341"/>
      <c r="M44" s="341"/>
      <c r="N44" s="341"/>
      <c r="O44" s="341"/>
      <c r="P44" s="341"/>
      <c r="Q44" s="341"/>
      <c r="R44" s="341"/>
      <c r="S44" s="341"/>
      <c r="T44" s="341"/>
      <c r="U44" s="341"/>
      <c r="V44" s="341"/>
      <c r="W44" s="341"/>
      <c r="X44" s="341"/>
      <c r="Y44" s="341"/>
      <c r="Z44" s="341"/>
      <c r="AA44" s="341"/>
      <c r="AB44" s="341"/>
      <c r="AC44" s="341"/>
      <c r="AD44" s="341"/>
      <c r="AE44" s="341"/>
      <c r="AF44" s="341"/>
      <c r="AG44" s="341"/>
    </row>
    <row r="45" spans="1:33">
      <c r="A45" s="341"/>
      <c r="B45" s="341"/>
      <c r="C45" s="341"/>
      <c r="D45" s="341"/>
      <c r="E45" s="341"/>
      <c r="F45" s="341"/>
      <c r="G45" s="341"/>
      <c r="H45" s="341"/>
      <c r="I45" s="341"/>
      <c r="J45" s="341"/>
      <c r="K45" s="341"/>
      <c r="L45" s="341"/>
      <c r="M45" s="341"/>
      <c r="N45" s="341"/>
      <c r="O45" s="341"/>
      <c r="P45" s="341"/>
      <c r="Q45" s="341"/>
      <c r="R45" s="341"/>
      <c r="S45" s="341"/>
      <c r="T45" s="341"/>
      <c r="U45" s="341"/>
      <c r="V45" s="341"/>
      <c r="W45" s="341"/>
      <c r="X45" s="341"/>
      <c r="Y45" s="341"/>
      <c r="Z45" s="341"/>
      <c r="AA45" s="341"/>
      <c r="AB45" s="341"/>
      <c r="AC45" s="341"/>
      <c r="AD45" s="341"/>
      <c r="AE45" s="341"/>
      <c r="AF45" s="341"/>
      <c r="AG45" s="341"/>
    </row>
    <row r="46" spans="1:33">
      <c r="A46" s="341"/>
      <c r="B46" s="341"/>
      <c r="C46" s="341"/>
      <c r="D46" s="341"/>
      <c r="E46" s="341"/>
      <c r="F46" s="341"/>
      <c r="G46" s="341"/>
      <c r="H46" s="341"/>
      <c r="I46" s="341"/>
      <c r="J46" s="341"/>
      <c r="K46" s="341"/>
      <c r="L46" s="341"/>
      <c r="M46" s="341"/>
      <c r="N46" s="341"/>
      <c r="O46" s="341"/>
      <c r="P46" s="341"/>
      <c r="Q46" s="341"/>
      <c r="R46" s="341"/>
      <c r="S46" s="341"/>
      <c r="T46" s="341"/>
      <c r="U46" s="341"/>
      <c r="V46" s="341"/>
      <c r="W46" s="341"/>
      <c r="X46" s="341"/>
      <c r="Y46" s="341"/>
      <c r="Z46" s="341"/>
      <c r="AA46" s="341"/>
      <c r="AB46" s="341"/>
      <c r="AC46" s="341"/>
      <c r="AD46" s="341"/>
      <c r="AE46" s="341"/>
      <c r="AF46" s="341"/>
      <c r="AG46" s="341"/>
    </row>
    <row r="47" spans="1:33">
      <c r="A47" s="341"/>
      <c r="B47" s="341"/>
      <c r="C47" s="341"/>
      <c r="D47" s="341"/>
      <c r="E47" s="341"/>
      <c r="F47" s="341"/>
      <c r="G47" s="341"/>
      <c r="H47" s="341"/>
      <c r="I47" s="341"/>
      <c r="J47" s="341"/>
      <c r="K47" s="341"/>
      <c r="L47" s="341"/>
      <c r="M47" s="341"/>
      <c r="N47" s="341"/>
      <c r="O47" s="341"/>
      <c r="P47" s="341"/>
      <c r="Q47" s="341"/>
      <c r="R47" s="341"/>
      <c r="S47" s="341"/>
      <c r="T47" s="341"/>
      <c r="U47" s="341"/>
      <c r="V47" s="341"/>
      <c r="W47" s="341"/>
      <c r="X47" s="341"/>
      <c r="Y47" s="341"/>
      <c r="Z47" s="341"/>
      <c r="AA47" s="341"/>
      <c r="AB47" s="341"/>
      <c r="AC47" s="341"/>
      <c r="AD47" s="341"/>
      <c r="AE47" s="341"/>
      <c r="AF47" s="341"/>
      <c r="AG47" s="341"/>
    </row>
    <row r="48" spans="1:33">
      <c r="A48" s="341"/>
      <c r="B48" s="341"/>
      <c r="C48" s="341"/>
      <c r="D48" s="341"/>
      <c r="E48" s="341"/>
      <c r="F48" s="341"/>
      <c r="G48" s="341"/>
      <c r="H48" s="341"/>
      <c r="I48" s="341"/>
      <c r="J48" s="341"/>
      <c r="K48" s="341"/>
      <c r="L48" s="341"/>
      <c r="M48" s="341"/>
      <c r="N48" s="341"/>
      <c r="O48" s="341"/>
      <c r="P48" s="341"/>
      <c r="Q48" s="341"/>
      <c r="R48" s="341"/>
      <c r="S48" s="341"/>
      <c r="T48" s="341"/>
      <c r="U48" s="341"/>
      <c r="V48" s="341"/>
      <c r="W48" s="341"/>
      <c r="X48" s="341"/>
      <c r="Y48" s="341"/>
      <c r="Z48" s="341"/>
      <c r="AA48" s="341"/>
      <c r="AB48" s="341"/>
      <c r="AC48" s="341"/>
      <c r="AD48" s="341"/>
      <c r="AE48" s="341"/>
      <c r="AF48" s="341"/>
      <c r="AG48" s="341"/>
    </row>
    <row r="49" spans="1:33">
      <c r="A49" s="341"/>
      <c r="B49" s="341"/>
      <c r="C49" s="341"/>
      <c r="D49" s="341"/>
      <c r="E49" s="341"/>
      <c r="F49" s="341"/>
      <c r="G49" s="341"/>
      <c r="H49" s="341"/>
      <c r="I49" s="341"/>
      <c r="J49" s="341"/>
      <c r="K49" s="341"/>
      <c r="L49" s="341"/>
      <c r="M49" s="341"/>
      <c r="N49" s="341"/>
      <c r="O49" s="341"/>
      <c r="P49" s="341"/>
      <c r="Q49" s="341"/>
      <c r="R49" s="341"/>
      <c r="S49" s="341"/>
      <c r="T49" s="341"/>
      <c r="U49" s="341"/>
      <c r="V49" s="341"/>
      <c r="W49" s="341"/>
      <c r="X49" s="341"/>
      <c r="Y49" s="341"/>
      <c r="Z49" s="341"/>
      <c r="AA49" s="341"/>
      <c r="AB49" s="341"/>
      <c r="AC49" s="341"/>
      <c r="AD49" s="341"/>
      <c r="AE49" s="341"/>
      <c r="AF49" s="341"/>
      <c r="AG49" s="341"/>
    </row>
    <row r="50" spans="1:33">
      <c r="A50" s="341"/>
      <c r="B50" s="341"/>
      <c r="C50" s="341"/>
      <c r="D50" s="341"/>
      <c r="E50" s="341"/>
      <c r="F50" s="341"/>
      <c r="G50" s="341"/>
      <c r="H50" s="341"/>
      <c r="I50" s="341"/>
      <c r="J50" s="341"/>
      <c r="K50" s="341"/>
      <c r="L50" s="341"/>
      <c r="M50" s="341"/>
      <c r="N50" s="341"/>
      <c r="O50" s="341"/>
      <c r="P50" s="341"/>
      <c r="Q50" s="341"/>
      <c r="R50" s="341"/>
      <c r="S50" s="341"/>
      <c r="T50" s="341"/>
      <c r="U50" s="341"/>
      <c r="V50" s="341"/>
      <c r="W50" s="341"/>
      <c r="X50" s="341"/>
      <c r="Y50" s="341"/>
      <c r="Z50" s="341"/>
      <c r="AA50" s="341"/>
      <c r="AB50" s="341"/>
      <c r="AC50" s="341"/>
      <c r="AD50" s="341"/>
      <c r="AE50" s="341"/>
      <c r="AF50" s="341"/>
      <c r="AG50" s="341"/>
    </row>
    <row r="51" spans="1:33">
      <c r="A51" s="341"/>
      <c r="B51" s="341"/>
      <c r="C51" s="341"/>
      <c r="D51" s="341"/>
      <c r="E51" s="341"/>
      <c r="F51" s="341"/>
      <c r="G51" s="341"/>
      <c r="H51" s="341"/>
      <c r="I51" s="341"/>
      <c r="J51" s="341"/>
      <c r="K51" s="341"/>
      <c r="L51" s="341"/>
      <c r="M51" s="341"/>
      <c r="N51" s="341"/>
      <c r="O51" s="341"/>
      <c r="P51" s="341"/>
      <c r="Q51" s="341"/>
      <c r="R51" s="341"/>
      <c r="S51" s="341"/>
      <c r="T51" s="341"/>
      <c r="U51" s="341"/>
      <c r="V51" s="341"/>
      <c r="W51" s="341"/>
      <c r="X51" s="341"/>
      <c r="Y51" s="341"/>
      <c r="Z51" s="341"/>
      <c r="AA51" s="341"/>
      <c r="AB51" s="341"/>
      <c r="AC51" s="341"/>
      <c r="AD51" s="341"/>
      <c r="AE51" s="341"/>
      <c r="AF51" s="341"/>
      <c r="AG51" s="341"/>
    </row>
    <row r="52" spans="1:33">
      <c r="A52" s="341"/>
      <c r="B52" s="341"/>
      <c r="C52" s="341"/>
      <c r="D52" s="341"/>
      <c r="E52" s="341"/>
      <c r="F52" s="341"/>
      <c r="G52" s="341"/>
      <c r="H52" s="341"/>
      <c r="I52" s="341"/>
      <c r="J52" s="341"/>
      <c r="K52" s="341"/>
      <c r="L52" s="341"/>
      <c r="M52" s="341"/>
      <c r="N52" s="341"/>
      <c r="O52" s="341"/>
      <c r="P52" s="341"/>
      <c r="Q52" s="341"/>
      <c r="R52" s="341"/>
      <c r="S52" s="341"/>
      <c r="T52" s="341"/>
      <c r="U52" s="341"/>
      <c r="V52" s="341"/>
      <c r="W52" s="341"/>
      <c r="X52" s="341"/>
      <c r="Y52" s="341"/>
      <c r="Z52" s="341"/>
      <c r="AA52" s="341"/>
      <c r="AB52" s="341"/>
      <c r="AC52" s="341"/>
      <c r="AD52" s="341"/>
      <c r="AE52" s="341"/>
      <c r="AF52" s="341"/>
      <c r="AG52" s="341"/>
    </row>
    <row r="53" spans="1:33">
      <c r="A53" s="341"/>
      <c r="B53" s="341"/>
      <c r="C53" s="341"/>
      <c r="D53" s="341"/>
      <c r="E53" s="341"/>
      <c r="F53" s="341"/>
      <c r="G53" s="341"/>
      <c r="H53" s="341"/>
      <c r="I53" s="341"/>
      <c r="J53" s="341"/>
      <c r="K53" s="341"/>
      <c r="L53" s="341"/>
      <c r="M53" s="341"/>
      <c r="N53" s="341"/>
      <c r="O53" s="341"/>
      <c r="P53" s="341"/>
      <c r="Q53" s="341"/>
      <c r="R53" s="341"/>
      <c r="S53" s="341"/>
      <c r="T53" s="341"/>
      <c r="U53" s="341"/>
      <c r="V53" s="341"/>
      <c r="W53" s="341"/>
      <c r="X53" s="341"/>
      <c r="Y53" s="341"/>
      <c r="Z53" s="341"/>
      <c r="AA53" s="341"/>
      <c r="AB53" s="341"/>
      <c r="AC53" s="341"/>
      <c r="AD53" s="341"/>
      <c r="AE53" s="341"/>
      <c r="AF53" s="341"/>
      <c r="AG53" s="341"/>
    </row>
    <row r="54" spans="1:33">
      <c r="A54" s="341"/>
      <c r="B54" s="341"/>
      <c r="C54" s="341"/>
      <c r="D54" s="341"/>
      <c r="E54" s="341"/>
      <c r="F54" s="341"/>
      <c r="G54" s="341"/>
      <c r="H54" s="341"/>
      <c r="I54" s="341"/>
      <c r="J54" s="341"/>
      <c r="K54" s="341"/>
      <c r="L54" s="341"/>
      <c r="M54" s="341"/>
      <c r="N54" s="341"/>
      <c r="O54" s="341"/>
      <c r="P54" s="341"/>
      <c r="Q54" s="341"/>
      <c r="R54" s="341"/>
      <c r="S54" s="341"/>
      <c r="T54" s="341"/>
      <c r="U54" s="341"/>
      <c r="V54" s="341"/>
      <c r="W54" s="341"/>
      <c r="X54" s="341"/>
      <c r="Y54" s="341"/>
      <c r="Z54" s="341"/>
      <c r="AA54" s="341"/>
      <c r="AB54" s="341"/>
      <c r="AC54" s="341"/>
      <c r="AD54" s="341"/>
      <c r="AE54" s="341"/>
      <c r="AF54" s="341"/>
      <c r="AG54" s="341"/>
    </row>
    <row r="55" spans="1:33">
      <c r="A55" s="341"/>
      <c r="B55" s="341"/>
      <c r="C55" s="341"/>
      <c r="D55" s="341"/>
      <c r="E55" s="341"/>
      <c r="F55" s="341"/>
      <c r="G55" s="341"/>
      <c r="H55" s="341"/>
      <c r="I55" s="341"/>
      <c r="J55" s="341"/>
      <c r="K55" s="341"/>
      <c r="L55" s="341"/>
      <c r="M55" s="341"/>
      <c r="N55" s="341"/>
      <c r="O55" s="341"/>
      <c r="P55" s="341"/>
      <c r="Q55" s="341"/>
      <c r="R55" s="341"/>
      <c r="S55" s="341"/>
      <c r="T55" s="341"/>
      <c r="U55" s="341"/>
      <c r="V55" s="341"/>
      <c r="W55" s="341"/>
      <c r="X55" s="341"/>
      <c r="Y55" s="341"/>
      <c r="Z55" s="341"/>
      <c r="AA55" s="341"/>
      <c r="AB55" s="341"/>
      <c r="AC55" s="341"/>
      <c r="AD55" s="341"/>
      <c r="AE55" s="341"/>
      <c r="AF55" s="341"/>
      <c r="AG55" s="341"/>
    </row>
    <row r="56" spans="1:33">
      <c r="A56" s="341"/>
      <c r="B56" s="341"/>
      <c r="C56" s="341"/>
      <c r="D56" s="342"/>
      <c r="E56" s="341"/>
      <c r="F56" s="341"/>
      <c r="G56" s="341"/>
      <c r="H56" s="341"/>
      <c r="I56" s="341"/>
      <c r="J56" s="341"/>
      <c r="K56" s="341"/>
      <c r="L56" s="341"/>
      <c r="M56" s="341"/>
      <c r="N56" s="341"/>
      <c r="O56" s="341"/>
      <c r="P56" s="341"/>
      <c r="Q56" s="341"/>
      <c r="R56" s="341"/>
      <c r="S56" s="341"/>
      <c r="T56" s="341"/>
      <c r="U56" s="341"/>
      <c r="V56" s="341"/>
      <c r="W56" s="341"/>
      <c r="X56" s="341"/>
      <c r="Y56" s="341"/>
      <c r="Z56" s="341"/>
      <c r="AA56" s="341"/>
      <c r="AB56" s="341"/>
      <c r="AC56" s="341"/>
      <c r="AD56" s="341"/>
      <c r="AE56" s="341"/>
      <c r="AF56" s="341"/>
      <c r="AG56" s="341"/>
    </row>
    <row r="57" spans="1:33">
      <c r="A57" s="341"/>
      <c r="B57" s="341"/>
      <c r="C57" s="341"/>
      <c r="D57" s="341"/>
      <c r="E57" s="341"/>
      <c r="F57" s="341"/>
      <c r="G57" s="341"/>
      <c r="H57" s="341"/>
      <c r="I57" s="341"/>
      <c r="J57" s="341"/>
      <c r="K57" s="341"/>
      <c r="L57" s="341"/>
      <c r="M57" s="341"/>
      <c r="N57" s="341"/>
      <c r="O57" s="341"/>
      <c r="P57" s="341"/>
      <c r="Q57" s="341"/>
      <c r="R57" s="341"/>
      <c r="S57" s="341"/>
      <c r="T57" s="341"/>
      <c r="U57" s="341"/>
      <c r="V57" s="341"/>
      <c r="W57" s="341"/>
      <c r="X57" s="341"/>
      <c r="Y57" s="341"/>
      <c r="Z57" s="341"/>
      <c r="AA57" s="341"/>
      <c r="AB57" s="341"/>
      <c r="AC57" s="341"/>
      <c r="AD57" s="341"/>
      <c r="AE57" s="341"/>
      <c r="AF57" s="341"/>
      <c r="AG57" s="341"/>
    </row>
    <row r="58" spans="1:33">
      <c r="A58" s="341"/>
      <c r="B58" s="341"/>
      <c r="C58" s="341"/>
      <c r="D58" s="341"/>
      <c r="E58" s="341"/>
      <c r="F58" s="341"/>
      <c r="G58" s="341"/>
      <c r="H58" s="341"/>
      <c r="I58" s="341"/>
      <c r="J58" s="341"/>
      <c r="K58" s="341"/>
      <c r="L58" s="341"/>
      <c r="M58" s="341"/>
      <c r="N58" s="341"/>
      <c r="O58" s="341"/>
      <c r="P58" s="341"/>
      <c r="Q58" s="341"/>
      <c r="R58" s="341"/>
      <c r="S58" s="341"/>
      <c r="T58" s="341"/>
      <c r="U58" s="341"/>
      <c r="V58" s="341"/>
      <c r="W58" s="341"/>
      <c r="X58" s="341"/>
      <c r="Y58" s="341"/>
      <c r="Z58" s="341"/>
      <c r="AA58" s="341"/>
      <c r="AB58" s="341"/>
      <c r="AC58" s="341"/>
      <c r="AD58" s="341"/>
      <c r="AE58" s="341"/>
      <c r="AF58" s="341"/>
      <c r="AG58" s="341"/>
    </row>
    <row r="59" spans="1:33">
      <c r="A59" s="341"/>
      <c r="B59" s="341"/>
      <c r="C59" s="341"/>
      <c r="D59" s="341"/>
      <c r="E59" s="341"/>
      <c r="F59" s="341"/>
      <c r="G59" s="341"/>
      <c r="H59" s="341"/>
      <c r="I59" s="341"/>
      <c r="J59" s="341"/>
      <c r="K59" s="341"/>
      <c r="L59" s="341"/>
      <c r="M59" s="341"/>
      <c r="N59" s="341"/>
      <c r="O59" s="341"/>
      <c r="P59" s="341"/>
      <c r="Q59" s="341"/>
      <c r="R59" s="341"/>
      <c r="S59" s="341"/>
      <c r="T59" s="341"/>
      <c r="U59" s="341"/>
      <c r="V59" s="341"/>
      <c r="W59" s="341"/>
      <c r="X59" s="341"/>
      <c r="Y59" s="341"/>
      <c r="Z59" s="341"/>
      <c r="AA59" s="341"/>
      <c r="AB59" s="341"/>
      <c r="AC59" s="341"/>
      <c r="AD59" s="341"/>
      <c r="AE59" s="341"/>
      <c r="AF59" s="341"/>
      <c r="AG59" s="341"/>
    </row>
    <row r="60" spans="1:33">
      <c r="A60" s="341"/>
      <c r="B60" s="341"/>
      <c r="C60" s="341"/>
      <c r="D60" s="341"/>
      <c r="E60" s="341"/>
      <c r="F60" s="341"/>
      <c r="G60" s="341"/>
      <c r="H60" s="341"/>
      <c r="I60" s="341"/>
      <c r="J60" s="341"/>
      <c r="K60" s="341"/>
      <c r="L60" s="341"/>
      <c r="M60" s="341"/>
      <c r="N60" s="341"/>
      <c r="O60" s="341"/>
      <c r="P60" s="341"/>
      <c r="Q60" s="341"/>
      <c r="R60" s="341"/>
      <c r="S60" s="341"/>
      <c r="T60" s="341"/>
      <c r="U60" s="341"/>
      <c r="V60" s="341"/>
      <c r="W60" s="341"/>
      <c r="X60" s="341"/>
      <c r="Y60" s="341"/>
      <c r="Z60" s="341"/>
      <c r="AA60" s="341"/>
      <c r="AB60" s="341"/>
      <c r="AC60" s="341"/>
      <c r="AD60" s="341"/>
      <c r="AE60" s="341"/>
      <c r="AF60" s="341"/>
      <c r="AG60" s="341"/>
    </row>
    <row r="61" spans="1:33">
      <c r="A61" s="341"/>
      <c r="B61" s="341"/>
      <c r="C61" s="341"/>
      <c r="D61" s="341"/>
      <c r="E61" s="341"/>
      <c r="F61" s="341"/>
      <c r="G61" s="341"/>
      <c r="H61" s="341"/>
      <c r="I61" s="341"/>
      <c r="J61" s="341"/>
      <c r="K61" s="341"/>
      <c r="L61" s="341"/>
      <c r="M61" s="341"/>
      <c r="N61" s="341"/>
      <c r="O61" s="341"/>
      <c r="P61" s="341"/>
      <c r="Q61" s="341"/>
      <c r="R61" s="341"/>
      <c r="S61" s="341"/>
      <c r="T61" s="341"/>
      <c r="U61" s="341"/>
      <c r="V61" s="341"/>
      <c r="W61" s="341"/>
      <c r="X61" s="341"/>
      <c r="Y61" s="341"/>
      <c r="Z61" s="341"/>
      <c r="AA61" s="341"/>
      <c r="AB61" s="341"/>
      <c r="AC61" s="341"/>
      <c r="AD61" s="341"/>
      <c r="AE61" s="341"/>
      <c r="AF61" s="341"/>
      <c r="AG61" s="341"/>
    </row>
    <row r="62" spans="1:33">
      <c r="A62" s="341"/>
      <c r="B62" s="341"/>
      <c r="C62" s="341"/>
      <c r="D62" s="341"/>
      <c r="E62" s="341"/>
      <c r="F62" s="341"/>
      <c r="G62" s="341"/>
      <c r="H62" s="341"/>
      <c r="I62" s="341"/>
      <c r="J62" s="341"/>
      <c r="K62" s="341"/>
      <c r="L62" s="341"/>
      <c r="M62" s="341"/>
      <c r="N62" s="341"/>
      <c r="O62" s="341"/>
      <c r="P62" s="341"/>
      <c r="Q62" s="341"/>
      <c r="R62" s="341"/>
      <c r="S62" s="341"/>
      <c r="T62" s="341"/>
      <c r="U62" s="341"/>
      <c r="V62" s="341"/>
      <c r="W62" s="341"/>
      <c r="X62" s="341"/>
      <c r="Y62" s="341"/>
      <c r="Z62" s="341"/>
      <c r="AA62" s="341"/>
      <c r="AB62" s="341"/>
      <c r="AC62" s="341"/>
      <c r="AD62" s="341"/>
      <c r="AE62" s="341"/>
      <c r="AF62" s="341"/>
      <c r="AG62" s="341"/>
    </row>
    <row r="63" spans="1:33">
      <c r="A63" s="341"/>
      <c r="B63" s="341"/>
      <c r="C63" s="341"/>
      <c r="D63" s="341"/>
      <c r="E63" s="341"/>
      <c r="F63" s="341"/>
      <c r="G63" s="341"/>
      <c r="H63" s="341"/>
      <c r="I63" s="341"/>
      <c r="J63" s="341"/>
      <c r="K63" s="341"/>
      <c r="L63" s="341"/>
      <c r="M63" s="341"/>
      <c r="N63" s="341"/>
      <c r="O63" s="341"/>
      <c r="P63" s="341"/>
      <c r="Q63" s="341"/>
      <c r="R63" s="341"/>
      <c r="S63" s="341"/>
      <c r="T63" s="341"/>
      <c r="U63" s="341"/>
      <c r="V63" s="341"/>
      <c r="W63" s="341"/>
      <c r="X63" s="341"/>
      <c r="Y63" s="341"/>
      <c r="Z63" s="341"/>
      <c r="AA63" s="341"/>
      <c r="AB63" s="341"/>
      <c r="AC63" s="341"/>
      <c r="AD63" s="341"/>
      <c r="AE63" s="341"/>
      <c r="AF63" s="341"/>
      <c r="AG63" s="341"/>
    </row>
    <row r="64" spans="1:33">
      <c r="A64" s="341"/>
      <c r="B64" s="341"/>
      <c r="C64" s="341"/>
      <c r="D64" s="341"/>
      <c r="E64" s="341"/>
      <c r="F64" s="341"/>
      <c r="G64" s="341"/>
      <c r="H64" s="341"/>
      <c r="I64" s="341"/>
      <c r="J64" s="341"/>
      <c r="K64" s="341"/>
      <c r="L64" s="341"/>
      <c r="M64" s="341"/>
      <c r="N64" s="341"/>
      <c r="O64" s="341"/>
      <c r="P64" s="341"/>
      <c r="Q64" s="341"/>
      <c r="R64" s="341"/>
      <c r="S64" s="341"/>
      <c r="T64" s="341"/>
      <c r="U64" s="341"/>
      <c r="V64" s="341"/>
      <c r="W64" s="341"/>
      <c r="X64" s="341"/>
      <c r="Y64" s="341"/>
      <c r="Z64" s="341"/>
      <c r="AA64" s="341"/>
      <c r="AB64" s="341"/>
      <c r="AC64" s="341"/>
      <c r="AD64" s="341"/>
      <c r="AE64" s="341"/>
      <c r="AF64" s="341"/>
      <c r="AG64" s="341"/>
    </row>
    <row r="65" spans="1:33">
      <c r="A65" s="341"/>
      <c r="B65" s="341"/>
      <c r="C65" s="341"/>
      <c r="D65" s="341"/>
      <c r="E65" s="341"/>
      <c r="F65" s="341"/>
      <c r="G65" s="341"/>
      <c r="H65" s="341"/>
      <c r="I65" s="341"/>
      <c r="J65" s="341"/>
      <c r="K65" s="341"/>
      <c r="L65" s="341"/>
      <c r="M65" s="341"/>
      <c r="N65" s="341"/>
      <c r="O65" s="341"/>
      <c r="P65" s="341"/>
      <c r="Q65" s="341"/>
      <c r="R65" s="341"/>
      <c r="S65" s="341"/>
      <c r="T65" s="341"/>
      <c r="U65" s="341"/>
      <c r="V65" s="341"/>
      <c r="W65" s="341"/>
      <c r="X65" s="341"/>
      <c r="Y65" s="341"/>
      <c r="Z65" s="341"/>
      <c r="AA65" s="341"/>
      <c r="AB65" s="341"/>
      <c r="AC65" s="341"/>
      <c r="AD65" s="341"/>
      <c r="AE65" s="341"/>
      <c r="AF65" s="341"/>
      <c r="AG65" s="341"/>
    </row>
    <row r="66" spans="1:33">
      <c r="A66" s="341"/>
      <c r="B66" s="341"/>
      <c r="C66" s="341"/>
      <c r="D66" s="341"/>
      <c r="E66" s="341"/>
      <c r="F66" s="341"/>
      <c r="G66" s="341"/>
      <c r="H66" s="341"/>
      <c r="I66" s="341"/>
      <c r="J66" s="341"/>
      <c r="K66" s="341"/>
      <c r="L66" s="341"/>
      <c r="M66" s="341"/>
      <c r="N66" s="341"/>
      <c r="O66" s="341"/>
      <c r="P66" s="341"/>
      <c r="Q66" s="341"/>
      <c r="R66" s="341"/>
      <c r="S66" s="341"/>
      <c r="T66" s="341"/>
      <c r="U66" s="341"/>
      <c r="V66" s="341"/>
      <c r="W66" s="341"/>
      <c r="X66" s="341"/>
      <c r="Y66" s="341"/>
      <c r="Z66" s="341"/>
      <c r="AA66" s="341"/>
      <c r="AB66" s="341"/>
      <c r="AC66" s="341"/>
      <c r="AD66" s="341"/>
      <c r="AE66" s="341"/>
      <c r="AF66" s="341"/>
      <c r="AG66" s="341"/>
    </row>
    <row r="67" spans="1:33">
      <c r="A67" s="341"/>
      <c r="B67" s="341"/>
      <c r="C67" s="341"/>
      <c r="D67" s="341"/>
      <c r="E67" s="341"/>
      <c r="F67" s="341"/>
      <c r="G67" s="341"/>
      <c r="H67" s="341"/>
      <c r="I67" s="341"/>
      <c r="J67" s="341"/>
      <c r="K67" s="341"/>
      <c r="L67" s="341"/>
      <c r="M67" s="341"/>
      <c r="N67" s="341"/>
      <c r="O67" s="341"/>
      <c r="P67" s="341"/>
      <c r="Q67" s="341"/>
      <c r="R67" s="341"/>
      <c r="S67" s="341"/>
      <c r="T67" s="341"/>
      <c r="U67" s="341"/>
      <c r="V67" s="341"/>
      <c r="W67" s="341"/>
      <c r="X67" s="341"/>
      <c r="Y67" s="341"/>
      <c r="Z67" s="341"/>
      <c r="AA67" s="341"/>
      <c r="AB67" s="341"/>
      <c r="AC67" s="341"/>
      <c r="AD67" s="341"/>
      <c r="AE67" s="341"/>
      <c r="AF67" s="341"/>
      <c r="AG67" s="341"/>
    </row>
    <row r="68" spans="1:33">
      <c r="A68" s="341"/>
      <c r="B68" s="341"/>
      <c r="C68" s="341"/>
      <c r="D68" s="341"/>
      <c r="E68" s="341"/>
      <c r="F68" s="341"/>
      <c r="G68" s="341"/>
      <c r="H68" s="341"/>
      <c r="I68" s="341"/>
      <c r="J68" s="341"/>
      <c r="K68" s="341"/>
      <c r="L68" s="341"/>
      <c r="M68" s="341"/>
      <c r="N68" s="341"/>
      <c r="O68" s="341"/>
      <c r="P68" s="341"/>
      <c r="Q68" s="341"/>
      <c r="R68" s="341"/>
      <c r="S68" s="341"/>
      <c r="T68" s="341"/>
      <c r="U68" s="341"/>
      <c r="V68" s="341"/>
      <c r="W68" s="341"/>
      <c r="X68" s="341"/>
      <c r="Y68" s="341"/>
      <c r="Z68" s="341"/>
      <c r="AA68" s="341"/>
      <c r="AB68" s="341"/>
      <c r="AC68" s="341"/>
      <c r="AD68" s="341"/>
      <c r="AE68" s="341"/>
      <c r="AF68" s="341"/>
      <c r="AG68" s="341"/>
    </row>
    <row r="69" spans="1:33">
      <c r="A69" s="341"/>
      <c r="B69" s="341"/>
      <c r="C69" s="341"/>
      <c r="D69" s="341"/>
      <c r="E69" s="341"/>
      <c r="F69" s="341"/>
      <c r="G69" s="341"/>
      <c r="H69" s="341"/>
      <c r="I69" s="341"/>
      <c r="J69" s="341"/>
      <c r="K69" s="341"/>
      <c r="L69" s="341"/>
      <c r="M69" s="341"/>
      <c r="N69" s="341"/>
      <c r="O69" s="341"/>
      <c r="P69" s="341"/>
      <c r="Q69" s="341"/>
      <c r="R69" s="341"/>
      <c r="S69" s="341"/>
      <c r="T69" s="341"/>
      <c r="U69" s="341"/>
      <c r="V69" s="341"/>
      <c r="W69" s="341"/>
      <c r="X69" s="341"/>
      <c r="Y69" s="341"/>
      <c r="Z69" s="341"/>
      <c r="AA69" s="341"/>
      <c r="AB69" s="341"/>
      <c r="AC69" s="341"/>
      <c r="AD69" s="341"/>
      <c r="AE69" s="341"/>
      <c r="AF69" s="341"/>
      <c r="AG69" s="341"/>
    </row>
    <row r="70" spans="1:33">
      <c r="A70" s="341"/>
      <c r="B70" s="341"/>
      <c r="C70" s="341"/>
      <c r="D70" s="341"/>
      <c r="E70" s="341"/>
      <c r="F70" s="341"/>
      <c r="G70" s="341"/>
      <c r="H70" s="341"/>
      <c r="I70" s="341"/>
      <c r="J70" s="341"/>
      <c r="K70" s="341"/>
      <c r="L70" s="341"/>
      <c r="M70" s="341"/>
      <c r="N70" s="341"/>
      <c r="O70" s="341"/>
      <c r="P70" s="341"/>
      <c r="Q70" s="341"/>
      <c r="R70" s="341"/>
      <c r="S70" s="341"/>
      <c r="T70" s="341"/>
      <c r="U70" s="341"/>
      <c r="V70" s="341"/>
      <c r="W70" s="341"/>
      <c r="X70" s="341"/>
      <c r="Y70" s="341"/>
      <c r="Z70" s="341"/>
      <c r="AA70" s="341"/>
      <c r="AB70" s="341"/>
      <c r="AC70" s="341"/>
      <c r="AD70" s="341"/>
      <c r="AE70" s="341"/>
      <c r="AF70" s="341"/>
      <c r="AG70" s="341"/>
    </row>
    <row r="71" spans="1:33">
      <c r="A71" s="341"/>
      <c r="B71" s="341"/>
      <c r="C71" s="341"/>
      <c r="D71" s="341"/>
      <c r="E71" s="341"/>
      <c r="F71" s="341"/>
      <c r="G71" s="341"/>
      <c r="H71" s="341"/>
      <c r="I71" s="341"/>
      <c r="J71" s="341"/>
      <c r="K71" s="341"/>
      <c r="L71" s="341"/>
      <c r="M71" s="341"/>
      <c r="N71" s="341"/>
      <c r="O71" s="341"/>
      <c r="P71" s="341"/>
      <c r="Q71" s="341"/>
      <c r="R71" s="341"/>
      <c r="S71" s="341"/>
      <c r="T71" s="341"/>
      <c r="U71" s="341"/>
      <c r="V71" s="341"/>
      <c r="W71" s="341"/>
      <c r="X71" s="341"/>
      <c r="Y71" s="341"/>
      <c r="Z71" s="341"/>
      <c r="AA71" s="341"/>
      <c r="AB71" s="341"/>
      <c r="AC71" s="341"/>
      <c r="AD71" s="341"/>
      <c r="AE71" s="341"/>
      <c r="AF71" s="341"/>
      <c r="AG71" s="341"/>
    </row>
    <row r="72" spans="1:33">
      <c r="A72" s="341"/>
      <c r="B72" s="341"/>
      <c r="C72" s="341"/>
      <c r="D72" s="341"/>
      <c r="E72" s="341"/>
      <c r="F72" s="341"/>
      <c r="G72" s="341"/>
      <c r="H72" s="341"/>
      <c r="I72" s="341"/>
      <c r="J72" s="341"/>
      <c r="K72" s="341"/>
      <c r="L72" s="341"/>
      <c r="M72" s="341"/>
      <c r="N72" s="341"/>
      <c r="O72" s="341"/>
      <c r="P72" s="341"/>
      <c r="Q72" s="341"/>
      <c r="R72" s="341"/>
      <c r="S72" s="341"/>
      <c r="T72" s="341"/>
      <c r="U72" s="341"/>
      <c r="V72" s="341"/>
      <c r="W72" s="341"/>
      <c r="X72" s="341"/>
      <c r="Y72" s="341"/>
      <c r="Z72" s="341"/>
      <c r="AA72" s="341"/>
      <c r="AB72" s="341"/>
      <c r="AC72" s="341"/>
      <c r="AD72" s="341"/>
      <c r="AE72" s="341"/>
      <c r="AF72" s="341"/>
      <c r="AG72" s="341"/>
    </row>
    <row r="73" spans="1:33">
      <c r="A73" s="341"/>
      <c r="B73" s="341"/>
      <c r="C73" s="341"/>
      <c r="D73" s="341"/>
      <c r="E73" s="341"/>
      <c r="F73" s="341"/>
      <c r="G73" s="341"/>
      <c r="H73" s="341"/>
      <c r="I73" s="341"/>
      <c r="J73" s="341"/>
      <c r="K73" s="341"/>
      <c r="L73" s="341"/>
      <c r="M73" s="341"/>
      <c r="N73" s="341"/>
      <c r="O73" s="341"/>
      <c r="P73" s="341"/>
      <c r="Q73" s="341"/>
      <c r="R73" s="341"/>
      <c r="S73" s="341"/>
      <c r="T73" s="341"/>
      <c r="U73" s="341"/>
      <c r="V73" s="341"/>
      <c r="W73" s="341"/>
      <c r="X73" s="341"/>
      <c r="Y73" s="341"/>
      <c r="Z73" s="341"/>
      <c r="AA73" s="341"/>
      <c r="AB73" s="341"/>
      <c r="AC73" s="341"/>
      <c r="AD73" s="341"/>
      <c r="AE73" s="341"/>
      <c r="AF73" s="341"/>
      <c r="AG73" s="341"/>
    </row>
    <row r="74" spans="1:33">
      <c r="A74" s="341"/>
      <c r="B74" s="341"/>
      <c r="C74" s="341"/>
      <c r="D74" s="341"/>
      <c r="E74" s="341"/>
      <c r="F74" s="341"/>
      <c r="G74" s="341"/>
      <c r="H74" s="341"/>
      <c r="I74" s="341"/>
      <c r="J74" s="341"/>
      <c r="K74" s="341"/>
      <c r="L74" s="341"/>
      <c r="M74" s="341"/>
      <c r="N74" s="341"/>
      <c r="O74" s="341"/>
      <c r="P74" s="341"/>
      <c r="Q74" s="341"/>
      <c r="R74" s="341"/>
      <c r="S74" s="341"/>
      <c r="T74" s="341"/>
      <c r="U74" s="341"/>
      <c r="V74" s="341"/>
      <c r="W74" s="341"/>
      <c r="X74" s="341"/>
      <c r="Y74" s="341"/>
      <c r="Z74" s="341"/>
      <c r="AA74" s="341"/>
      <c r="AB74" s="341"/>
      <c r="AC74" s="341"/>
      <c r="AD74" s="341"/>
      <c r="AE74" s="341"/>
      <c r="AF74" s="341"/>
      <c r="AG74" s="341"/>
    </row>
    <row r="75" spans="1:33">
      <c r="A75" s="341"/>
      <c r="B75" s="341"/>
      <c r="C75" s="341"/>
      <c r="D75" s="341"/>
      <c r="E75" s="341"/>
      <c r="F75" s="341"/>
      <c r="G75" s="341"/>
      <c r="H75" s="341"/>
      <c r="I75" s="341"/>
      <c r="J75" s="341"/>
      <c r="K75" s="341"/>
      <c r="L75" s="341"/>
      <c r="M75" s="341"/>
      <c r="N75" s="341"/>
      <c r="O75" s="341"/>
      <c r="P75" s="341"/>
      <c r="Q75" s="341"/>
      <c r="R75" s="341"/>
      <c r="S75" s="341"/>
      <c r="T75" s="341"/>
      <c r="U75" s="341"/>
      <c r="V75" s="341"/>
      <c r="W75" s="341"/>
      <c r="X75" s="341"/>
      <c r="Y75" s="341"/>
      <c r="Z75" s="341"/>
      <c r="AA75" s="341"/>
      <c r="AB75" s="341"/>
      <c r="AC75" s="341"/>
      <c r="AD75" s="341"/>
      <c r="AE75" s="341"/>
      <c r="AF75" s="341"/>
      <c r="AG75" s="341"/>
    </row>
    <row r="76" spans="1:33">
      <c r="A76" s="341"/>
      <c r="B76" s="341"/>
      <c r="C76" s="341"/>
      <c r="D76" s="341"/>
      <c r="E76" s="341"/>
      <c r="F76" s="341"/>
      <c r="G76" s="341"/>
      <c r="H76" s="341"/>
      <c r="I76" s="341"/>
      <c r="J76" s="341"/>
      <c r="K76" s="341"/>
      <c r="L76" s="341"/>
      <c r="M76" s="341"/>
      <c r="N76" s="341"/>
      <c r="O76" s="341"/>
      <c r="P76" s="341"/>
      <c r="Q76" s="341"/>
      <c r="R76" s="341"/>
      <c r="S76" s="341"/>
      <c r="T76" s="341"/>
      <c r="U76" s="341"/>
      <c r="V76" s="341"/>
      <c r="W76" s="341"/>
      <c r="X76" s="341"/>
      <c r="Y76" s="341"/>
      <c r="Z76" s="341"/>
      <c r="AA76" s="341"/>
      <c r="AB76" s="341"/>
      <c r="AC76" s="341"/>
      <c r="AD76" s="341"/>
      <c r="AE76" s="341"/>
      <c r="AF76" s="341"/>
      <c r="AG76" s="341"/>
    </row>
    <row r="77" spans="1:33">
      <c r="A77" s="341"/>
      <c r="B77" s="341"/>
      <c r="C77" s="341"/>
      <c r="D77" s="341"/>
      <c r="E77" s="341"/>
      <c r="F77" s="341"/>
      <c r="G77" s="341"/>
      <c r="H77" s="341"/>
      <c r="I77" s="341"/>
      <c r="J77" s="341"/>
      <c r="K77" s="341"/>
      <c r="L77" s="341"/>
      <c r="M77" s="341"/>
      <c r="N77" s="341"/>
      <c r="O77" s="341"/>
      <c r="P77" s="341"/>
      <c r="Q77" s="341"/>
      <c r="R77" s="341"/>
      <c r="S77" s="341"/>
      <c r="T77" s="341"/>
      <c r="U77" s="341"/>
      <c r="V77" s="341"/>
      <c r="W77" s="341"/>
      <c r="X77" s="341"/>
      <c r="Y77" s="341"/>
      <c r="Z77" s="341"/>
      <c r="AA77" s="341"/>
      <c r="AB77" s="341"/>
      <c r="AC77" s="341"/>
      <c r="AD77" s="341"/>
      <c r="AE77" s="341"/>
      <c r="AF77" s="341"/>
      <c r="AG77" s="341"/>
    </row>
    <row r="78" spans="1:33">
      <c r="A78" s="341"/>
      <c r="B78" s="341"/>
      <c r="C78" s="341"/>
      <c r="D78" s="341"/>
      <c r="E78" s="341"/>
      <c r="F78" s="341"/>
      <c r="G78" s="341"/>
      <c r="H78" s="341"/>
      <c r="I78" s="341"/>
      <c r="J78" s="341"/>
      <c r="K78" s="341"/>
      <c r="L78" s="341"/>
      <c r="M78" s="341"/>
      <c r="N78" s="341"/>
      <c r="O78" s="341"/>
      <c r="P78" s="341"/>
      <c r="Q78" s="341"/>
      <c r="R78" s="341"/>
      <c r="S78" s="341"/>
      <c r="T78" s="341"/>
      <c r="U78" s="341"/>
      <c r="V78" s="341"/>
      <c r="W78" s="341"/>
      <c r="X78" s="341"/>
      <c r="Y78" s="341"/>
      <c r="Z78" s="341"/>
      <c r="AA78" s="341"/>
      <c r="AB78" s="341"/>
      <c r="AC78" s="341"/>
      <c r="AD78" s="341"/>
      <c r="AE78" s="341"/>
      <c r="AF78" s="341"/>
      <c r="AG78" s="341"/>
    </row>
    <row r="79" spans="1:33">
      <c r="A79" s="341"/>
      <c r="B79" s="341"/>
      <c r="C79" s="341"/>
      <c r="D79" s="341"/>
      <c r="E79" s="341"/>
      <c r="F79" s="341"/>
      <c r="G79" s="341"/>
      <c r="H79" s="341"/>
      <c r="I79" s="341"/>
      <c r="J79" s="341"/>
      <c r="K79" s="341"/>
      <c r="L79" s="341"/>
      <c r="M79" s="341"/>
      <c r="N79" s="341"/>
      <c r="O79" s="341"/>
      <c r="P79" s="341"/>
      <c r="Q79" s="341"/>
      <c r="R79" s="341"/>
      <c r="S79" s="341"/>
      <c r="T79" s="341"/>
      <c r="U79" s="341"/>
      <c r="V79" s="341"/>
      <c r="W79" s="341"/>
      <c r="X79" s="341"/>
      <c r="Y79" s="341"/>
      <c r="Z79" s="341"/>
      <c r="AA79" s="341"/>
      <c r="AB79" s="341"/>
      <c r="AC79" s="341"/>
      <c r="AD79" s="341"/>
      <c r="AE79" s="341"/>
      <c r="AF79" s="341"/>
      <c r="AG79" s="341"/>
    </row>
    <row r="80" spans="1:33">
      <c r="A80" s="341"/>
      <c r="B80" s="341"/>
      <c r="C80" s="341"/>
      <c r="D80" s="341"/>
      <c r="E80" s="341"/>
      <c r="F80" s="341"/>
      <c r="G80" s="341"/>
      <c r="H80" s="341"/>
      <c r="I80" s="341"/>
      <c r="J80" s="341"/>
      <c r="K80" s="341"/>
      <c r="L80" s="341"/>
      <c r="M80" s="341"/>
      <c r="N80" s="341"/>
      <c r="O80" s="341"/>
      <c r="P80" s="341"/>
      <c r="Q80" s="341"/>
      <c r="R80" s="341"/>
      <c r="S80" s="341"/>
      <c r="T80" s="341"/>
      <c r="U80" s="341"/>
      <c r="V80" s="341"/>
      <c r="W80" s="341"/>
      <c r="X80" s="341"/>
      <c r="Y80" s="341"/>
      <c r="Z80" s="341"/>
      <c r="AA80" s="341"/>
      <c r="AB80" s="341"/>
      <c r="AC80" s="341"/>
      <c r="AD80" s="341"/>
      <c r="AE80" s="341"/>
      <c r="AF80" s="341"/>
      <c r="AG80" s="341"/>
    </row>
    <row r="81" spans="1:33">
      <c r="A81" s="341"/>
      <c r="B81" s="341"/>
      <c r="C81" s="341"/>
      <c r="D81" s="341"/>
      <c r="E81" s="341"/>
      <c r="F81" s="341"/>
      <c r="G81" s="341"/>
      <c r="H81" s="341"/>
      <c r="I81" s="341"/>
      <c r="J81" s="341"/>
      <c r="K81" s="341"/>
      <c r="L81" s="341"/>
      <c r="M81" s="341"/>
      <c r="N81" s="341"/>
      <c r="O81" s="341"/>
      <c r="P81" s="341"/>
      <c r="Q81" s="341"/>
      <c r="R81" s="341"/>
      <c r="S81" s="341"/>
      <c r="T81" s="341"/>
      <c r="U81" s="341"/>
      <c r="V81" s="341"/>
      <c r="W81" s="341"/>
      <c r="X81" s="341"/>
      <c r="Y81" s="341"/>
      <c r="Z81" s="341"/>
      <c r="AA81" s="341"/>
      <c r="AB81" s="341"/>
      <c r="AC81" s="341"/>
      <c r="AD81" s="341"/>
      <c r="AE81" s="341"/>
      <c r="AF81" s="341"/>
      <c r="AG81" s="341"/>
    </row>
    <row r="82" spans="1:33">
      <c r="A82" s="341"/>
      <c r="B82" s="341"/>
      <c r="C82" s="341"/>
      <c r="D82" s="341"/>
      <c r="E82" s="341"/>
      <c r="F82" s="341"/>
      <c r="G82" s="341"/>
      <c r="H82" s="341"/>
      <c r="I82" s="341"/>
      <c r="J82" s="341"/>
      <c r="K82" s="341"/>
      <c r="L82" s="341"/>
      <c r="M82" s="341"/>
      <c r="N82" s="341"/>
      <c r="O82" s="341"/>
      <c r="P82" s="341"/>
      <c r="Q82" s="341"/>
      <c r="R82" s="341"/>
      <c r="S82" s="341"/>
      <c r="T82" s="341"/>
      <c r="U82" s="341"/>
      <c r="V82" s="341"/>
      <c r="W82" s="341"/>
      <c r="X82" s="341"/>
      <c r="Y82" s="341"/>
      <c r="Z82" s="341"/>
      <c r="AA82" s="341"/>
      <c r="AB82" s="341"/>
      <c r="AC82" s="341"/>
      <c r="AD82" s="341"/>
      <c r="AE82" s="341"/>
      <c r="AF82" s="341"/>
      <c r="AG82" s="341"/>
    </row>
    <row r="83" spans="1:33">
      <c r="A83" s="341"/>
      <c r="B83" s="341"/>
      <c r="C83" s="341"/>
      <c r="D83" s="341"/>
      <c r="E83" s="341"/>
      <c r="F83" s="341"/>
      <c r="G83" s="341"/>
      <c r="H83" s="341"/>
      <c r="I83" s="341"/>
      <c r="J83" s="341"/>
      <c r="K83" s="341"/>
      <c r="L83" s="341"/>
      <c r="M83" s="341"/>
      <c r="N83" s="341"/>
      <c r="O83" s="341"/>
      <c r="P83" s="341"/>
      <c r="Q83" s="341"/>
      <c r="R83" s="341"/>
      <c r="S83" s="341"/>
      <c r="T83" s="341"/>
      <c r="U83" s="341"/>
      <c r="V83" s="341"/>
      <c r="W83" s="341"/>
      <c r="X83" s="341"/>
      <c r="Y83" s="341"/>
      <c r="Z83" s="341"/>
      <c r="AA83" s="341"/>
      <c r="AB83" s="341"/>
      <c r="AC83" s="341"/>
      <c r="AD83" s="341"/>
      <c r="AE83" s="341"/>
      <c r="AF83" s="341"/>
      <c r="AG83" s="341"/>
    </row>
    <row r="84" spans="1:33">
      <c r="A84" s="341"/>
      <c r="B84" s="341"/>
      <c r="C84" s="341"/>
      <c r="D84" s="341"/>
      <c r="E84" s="341"/>
      <c r="F84" s="341"/>
      <c r="G84" s="341"/>
      <c r="H84" s="341"/>
      <c r="I84" s="341"/>
      <c r="J84" s="341"/>
      <c r="K84" s="341"/>
      <c r="L84" s="341"/>
      <c r="M84" s="341"/>
      <c r="N84" s="341"/>
      <c r="O84" s="341"/>
      <c r="P84" s="341"/>
      <c r="Q84" s="341"/>
      <c r="R84" s="341"/>
      <c r="S84" s="341"/>
      <c r="T84" s="341"/>
      <c r="U84" s="341"/>
      <c r="V84" s="341"/>
      <c r="W84" s="341"/>
      <c r="X84" s="341"/>
      <c r="Y84" s="341"/>
      <c r="Z84" s="341"/>
      <c r="AA84" s="341"/>
      <c r="AB84" s="341"/>
      <c r="AC84" s="341"/>
      <c r="AD84" s="341"/>
      <c r="AE84" s="341"/>
      <c r="AF84" s="341"/>
      <c r="AG84" s="341"/>
    </row>
    <row r="85" spans="1:33">
      <c r="A85" s="341"/>
      <c r="B85" s="341"/>
      <c r="C85" s="341"/>
      <c r="D85" s="341"/>
      <c r="E85" s="341"/>
      <c r="F85" s="341"/>
      <c r="G85" s="341"/>
      <c r="H85" s="341"/>
      <c r="I85" s="341"/>
      <c r="J85" s="341"/>
      <c r="K85" s="341"/>
      <c r="L85" s="341"/>
      <c r="M85" s="341"/>
      <c r="N85" s="341"/>
      <c r="O85" s="341"/>
      <c r="P85" s="341"/>
      <c r="Q85" s="341"/>
      <c r="R85" s="341"/>
      <c r="S85" s="341"/>
      <c r="T85" s="341"/>
      <c r="U85" s="341"/>
      <c r="V85" s="341"/>
      <c r="W85" s="341"/>
      <c r="X85" s="341"/>
      <c r="Y85" s="341"/>
      <c r="Z85" s="341"/>
      <c r="AA85" s="341"/>
      <c r="AB85" s="341"/>
      <c r="AC85" s="341"/>
      <c r="AD85" s="341"/>
      <c r="AE85" s="341"/>
      <c r="AF85" s="341"/>
      <c r="AG85" s="341"/>
    </row>
    <row r="86" spans="1:33">
      <c r="A86" s="341"/>
      <c r="B86" s="341"/>
      <c r="C86" s="341"/>
      <c r="D86" s="341"/>
      <c r="E86" s="341"/>
      <c r="F86" s="341"/>
      <c r="G86" s="341"/>
      <c r="H86" s="341"/>
      <c r="I86" s="341"/>
      <c r="J86" s="341"/>
      <c r="K86" s="341"/>
      <c r="L86" s="341"/>
      <c r="M86" s="341"/>
      <c r="N86" s="341"/>
      <c r="O86" s="341"/>
      <c r="P86" s="341"/>
      <c r="Q86" s="341"/>
      <c r="R86" s="341"/>
      <c r="S86" s="341"/>
      <c r="T86" s="341"/>
      <c r="U86" s="341"/>
      <c r="V86" s="341"/>
      <c r="W86" s="341"/>
      <c r="X86" s="341"/>
      <c r="Y86" s="341"/>
      <c r="Z86" s="341"/>
      <c r="AA86" s="341"/>
      <c r="AB86" s="341"/>
      <c r="AC86" s="341"/>
      <c r="AD86" s="341"/>
      <c r="AE86" s="341"/>
      <c r="AF86" s="341"/>
      <c r="AG86" s="341"/>
    </row>
    <row r="87" spans="1:33">
      <c r="A87" s="341"/>
      <c r="B87" s="341"/>
      <c r="C87" s="341"/>
      <c r="D87" s="341"/>
      <c r="E87" s="341"/>
      <c r="F87" s="341"/>
      <c r="G87" s="341"/>
      <c r="H87" s="341"/>
      <c r="I87" s="341"/>
      <c r="J87" s="341"/>
      <c r="K87" s="341"/>
      <c r="L87" s="341"/>
      <c r="M87" s="341"/>
      <c r="N87" s="341"/>
      <c r="O87" s="341"/>
      <c r="P87" s="341"/>
      <c r="Q87" s="341"/>
      <c r="R87" s="341"/>
      <c r="S87" s="341"/>
      <c r="T87" s="341"/>
      <c r="U87" s="341"/>
      <c r="V87" s="341"/>
      <c r="W87" s="341"/>
      <c r="X87" s="341"/>
      <c r="Y87" s="341"/>
      <c r="Z87" s="341"/>
      <c r="AA87" s="341"/>
      <c r="AB87" s="341"/>
      <c r="AC87" s="341"/>
      <c r="AD87" s="341"/>
      <c r="AE87" s="341"/>
      <c r="AF87" s="341"/>
      <c r="AG87" s="341"/>
    </row>
    <row r="88" spans="1:33">
      <c r="A88" s="341"/>
      <c r="B88" s="341"/>
      <c r="C88" s="341"/>
      <c r="D88" s="341"/>
      <c r="E88" s="341"/>
      <c r="F88" s="341"/>
      <c r="G88" s="341"/>
      <c r="H88" s="341"/>
      <c r="I88" s="341"/>
      <c r="J88" s="341"/>
      <c r="K88" s="341"/>
      <c r="L88" s="341"/>
      <c r="M88" s="341"/>
      <c r="N88" s="341"/>
      <c r="O88" s="341"/>
      <c r="P88" s="341"/>
      <c r="Q88" s="341"/>
      <c r="R88" s="341"/>
      <c r="S88" s="341"/>
      <c r="T88" s="341"/>
      <c r="U88" s="341"/>
      <c r="V88" s="341"/>
      <c r="W88" s="341"/>
      <c r="X88" s="341"/>
      <c r="Y88" s="341"/>
      <c r="Z88" s="341"/>
      <c r="AA88" s="341"/>
      <c r="AB88" s="341"/>
      <c r="AC88" s="341"/>
      <c r="AD88" s="341"/>
      <c r="AE88" s="341"/>
      <c r="AF88" s="341"/>
      <c r="AG88" s="341"/>
    </row>
    <row r="89" spans="1:33">
      <c r="A89" s="341"/>
      <c r="B89" s="341"/>
      <c r="C89" s="341"/>
      <c r="D89" s="341"/>
      <c r="E89" s="341"/>
      <c r="F89" s="341"/>
      <c r="G89" s="341"/>
      <c r="H89" s="341"/>
      <c r="I89" s="341"/>
      <c r="J89" s="341"/>
      <c r="K89" s="341"/>
      <c r="L89" s="341"/>
      <c r="M89" s="341"/>
      <c r="N89" s="341"/>
      <c r="O89" s="341"/>
      <c r="P89" s="341"/>
      <c r="Q89" s="341"/>
      <c r="R89" s="341"/>
      <c r="S89" s="341"/>
      <c r="T89" s="341"/>
      <c r="U89" s="341"/>
      <c r="V89" s="341"/>
      <c r="W89" s="341"/>
      <c r="X89" s="341"/>
      <c r="Y89" s="341"/>
      <c r="Z89" s="341"/>
      <c r="AA89" s="341"/>
      <c r="AB89" s="341"/>
      <c r="AC89" s="341"/>
      <c r="AD89" s="341"/>
      <c r="AE89" s="341"/>
      <c r="AF89" s="341"/>
      <c r="AG89" s="341"/>
    </row>
    <row r="90" spans="1:33">
      <c r="A90" s="341"/>
      <c r="B90" s="341"/>
      <c r="C90" s="341"/>
      <c r="D90" s="341"/>
      <c r="E90" s="341"/>
      <c r="F90" s="341"/>
      <c r="G90" s="341"/>
      <c r="H90" s="341"/>
      <c r="I90" s="341"/>
      <c r="J90" s="341"/>
      <c r="K90" s="341"/>
      <c r="L90" s="341"/>
      <c r="M90" s="341"/>
      <c r="N90" s="341"/>
      <c r="O90" s="341"/>
      <c r="P90" s="341"/>
      <c r="Q90" s="341"/>
      <c r="R90" s="341"/>
      <c r="S90" s="341"/>
      <c r="T90" s="341"/>
      <c r="U90" s="341"/>
      <c r="V90" s="341"/>
      <c r="W90" s="341"/>
      <c r="X90" s="341"/>
      <c r="Y90" s="341"/>
      <c r="Z90" s="341"/>
      <c r="AA90" s="341"/>
      <c r="AB90" s="341"/>
      <c r="AC90" s="341"/>
      <c r="AD90" s="341"/>
      <c r="AE90" s="341"/>
      <c r="AF90" s="341"/>
      <c r="AG90" s="341"/>
    </row>
    <row r="91" spans="1:33">
      <c r="A91" s="341"/>
      <c r="B91" s="341"/>
      <c r="C91" s="341"/>
      <c r="D91" s="341"/>
      <c r="E91" s="341"/>
      <c r="F91" s="341"/>
      <c r="G91" s="341"/>
      <c r="H91" s="341"/>
      <c r="I91" s="341"/>
      <c r="J91" s="341"/>
      <c r="K91" s="341"/>
      <c r="L91" s="341"/>
      <c r="M91" s="341"/>
      <c r="N91" s="341"/>
      <c r="O91" s="341"/>
      <c r="P91" s="341"/>
      <c r="Q91" s="341"/>
      <c r="R91" s="341"/>
      <c r="S91" s="341"/>
      <c r="T91" s="341"/>
      <c r="U91" s="341"/>
      <c r="V91" s="341"/>
      <c r="W91" s="341"/>
      <c r="X91" s="341"/>
      <c r="Y91" s="341"/>
      <c r="Z91" s="341"/>
      <c r="AA91" s="341"/>
      <c r="AB91" s="341"/>
      <c r="AC91" s="341"/>
      <c r="AD91" s="341"/>
      <c r="AE91" s="341"/>
      <c r="AF91" s="341"/>
      <c r="AG91" s="341"/>
    </row>
    <row r="92" spans="1:33">
      <c r="A92" s="341"/>
      <c r="B92" s="341"/>
      <c r="C92" s="341"/>
      <c r="D92" s="341"/>
      <c r="E92" s="341"/>
      <c r="F92" s="341"/>
      <c r="G92" s="341"/>
      <c r="H92" s="341"/>
      <c r="I92" s="341"/>
      <c r="J92" s="341"/>
      <c r="K92" s="341"/>
      <c r="L92" s="341"/>
      <c r="M92" s="341"/>
      <c r="N92" s="341"/>
      <c r="O92" s="341"/>
      <c r="P92" s="341"/>
      <c r="Q92" s="341"/>
      <c r="R92" s="341"/>
      <c r="S92" s="341"/>
      <c r="T92" s="341"/>
      <c r="U92" s="341"/>
      <c r="V92" s="341"/>
      <c r="W92" s="341"/>
      <c r="X92" s="341"/>
      <c r="Y92" s="341"/>
      <c r="Z92" s="341"/>
      <c r="AA92" s="341"/>
      <c r="AB92" s="341"/>
      <c r="AC92" s="341"/>
      <c r="AD92" s="341"/>
      <c r="AE92" s="341"/>
      <c r="AF92" s="341"/>
      <c r="AG92" s="341"/>
    </row>
    <row r="93" spans="1:33">
      <c r="A93" s="341"/>
      <c r="B93" s="341"/>
      <c r="C93" s="341"/>
      <c r="D93" s="341"/>
      <c r="E93" s="341"/>
      <c r="F93" s="341"/>
      <c r="G93" s="341"/>
      <c r="H93" s="341"/>
      <c r="I93" s="341"/>
      <c r="J93" s="341"/>
      <c r="K93" s="341"/>
      <c r="L93" s="341"/>
      <c r="M93" s="341"/>
      <c r="N93" s="341"/>
      <c r="O93" s="341"/>
      <c r="P93" s="341"/>
      <c r="Q93" s="341"/>
      <c r="R93" s="341"/>
      <c r="S93" s="341"/>
      <c r="T93" s="341"/>
      <c r="U93" s="341"/>
      <c r="V93" s="341"/>
      <c r="W93" s="341"/>
      <c r="X93" s="341"/>
      <c r="Y93" s="341"/>
      <c r="Z93" s="341"/>
      <c r="AA93" s="341"/>
      <c r="AB93" s="341"/>
      <c r="AC93" s="341"/>
      <c r="AD93" s="341"/>
      <c r="AE93" s="341"/>
      <c r="AF93" s="341"/>
      <c r="AG93" s="341"/>
    </row>
    <row r="94" spans="1:33">
      <c r="A94" s="341"/>
      <c r="B94" s="341"/>
      <c r="C94" s="341"/>
      <c r="D94" s="341"/>
      <c r="E94" s="341"/>
      <c r="F94" s="341"/>
      <c r="G94" s="341"/>
      <c r="H94" s="341"/>
      <c r="I94" s="341"/>
      <c r="J94" s="341"/>
      <c r="K94" s="341"/>
      <c r="L94" s="341"/>
      <c r="M94" s="341"/>
      <c r="N94" s="341"/>
      <c r="O94" s="341"/>
      <c r="P94" s="341"/>
      <c r="Q94" s="341"/>
      <c r="R94" s="341"/>
      <c r="S94" s="341"/>
      <c r="T94" s="341"/>
      <c r="U94" s="341"/>
      <c r="V94" s="341"/>
      <c r="W94" s="341"/>
      <c r="X94" s="341"/>
      <c r="Y94" s="341"/>
      <c r="Z94" s="341"/>
      <c r="AA94" s="341"/>
      <c r="AB94" s="341"/>
      <c r="AC94" s="341"/>
      <c r="AD94" s="341"/>
      <c r="AE94" s="341"/>
      <c r="AF94" s="341"/>
      <c r="AG94" s="341"/>
    </row>
    <row r="95" spans="1:33">
      <c r="A95" s="341"/>
      <c r="B95" s="341"/>
      <c r="C95" s="341"/>
      <c r="D95" s="341"/>
      <c r="E95" s="341"/>
      <c r="F95" s="341"/>
      <c r="G95" s="341"/>
      <c r="H95" s="341"/>
      <c r="I95" s="341"/>
      <c r="J95" s="341"/>
      <c r="K95" s="341"/>
      <c r="L95" s="341"/>
      <c r="M95" s="341"/>
      <c r="N95" s="341"/>
      <c r="O95" s="341"/>
      <c r="P95" s="341"/>
      <c r="Q95" s="341"/>
      <c r="R95" s="341"/>
      <c r="S95" s="341"/>
      <c r="T95" s="341"/>
      <c r="U95" s="341"/>
      <c r="V95" s="341"/>
      <c r="W95" s="341"/>
      <c r="X95" s="341"/>
      <c r="Y95" s="341"/>
      <c r="Z95" s="341"/>
      <c r="AA95" s="341"/>
      <c r="AB95" s="341"/>
      <c r="AC95" s="341"/>
      <c r="AD95" s="341"/>
      <c r="AE95" s="341"/>
      <c r="AF95" s="341"/>
      <c r="AG95" s="341"/>
    </row>
    <row r="96" spans="1:33">
      <c r="A96" s="341"/>
      <c r="B96" s="341"/>
      <c r="C96" s="341"/>
      <c r="D96" s="341"/>
      <c r="E96" s="341"/>
      <c r="F96" s="341"/>
      <c r="G96" s="341"/>
      <c r="H96" s="341"/>
      <c r="I96" s="341"/>
      <c r="J96" s="341"/>
      <c r="K96" s="341"/>
      <c r="L96" s="341"/>
      <c r="M96" s="341"/>
      <c r="N96" s="341"/>
      <c r="O96" s="341"/>
      <c r="P96" s="341"/>
      <c r="Q96" s="341"/>
      <c r="R96" s="341"/>
      <c r="S96" s="341"/>
      <c r="T96" s="341"/>
      <c r="U96" s="341"/>
      <c r="V96" s="341"/>
      <c r="W96" s="341"/>
      <c r="X96" s="341"/>
      <c r="Y96" s="341"/>
      <c r="Z96" s="341"/>
      <c r="AA96" s="341"/>
      <c r="AB96" s="341"/>
      <c r="AC96" s="341"/>
      <c r="AD96" s="341"/>
      <c r="AE96" s="341"/>
      <c r="AF96" s="341"/>
      <c r="AG96" s="341"/>
    </row>
    <row r="97" spans="1:33">
      <c r="A97" s="341"/>
      <c r="B97" s="341"/>
      <c r="C97" s="341"/>
      <c r="D97" s="341"/>
      <c r="E97" s="341"/>
      <c r="F97" s="341"/>
      <c r="G97" s="341"/>
      <c r="H97" s="341"/>
      <c r="I97" s="341"/>
      <c r="J97" s="341"/>
      <c r="K97" s="341"/>
      <c r="L97" s="341"/>
      <c r="M97" s="341"/>
      <c r="N97" s="341"/>
      <c r="O97" s="341"/>
      <c r="P97" s="341"/>
      <c r="Q97" s="341"/>
      <c r="R97" s="341"/>
      <c r="S97" s="341"/>
      <c r="T97" s="341"/>
      <c r="U97" s="341"/>
      <c r="V97" s="341"/>
      <c r="W97" s="341"/>
      <c r="X97" s="341"/>
      <c r="Y97" s="341"/>
      <c r="Z97" s="341"/>
      <c r="AA97" s="341"/>
      <c r="AB97" s="341"/>
      <c r="AC97" s="341"/>
      <c r="AD97" s="341"/>
      <c r="AE97" s="341"/>
      <c r="AF97" s="341"/>
      <c r="AG97" s="341"/>
    </row>
    <row r="98" spans="1:33">
      <c r="A98" s="341"/>
      <c r="B98" s="341"/>
      <c r="C98" s="341"/>
      <c r="D98" s="341"/>
      <c r="E98" s="341"/>
      <c r="F98" s="341"/>
      <c r="G98" s="341"/>
      <c r="H98" s="341"/>
      <c r="I98" s="341"/>
      <c r="J98" s="341"/>
      <c r="K98" s="341"/>
      <c r="L98" s="341"/>
      <c r="M98" s="341"/>
      <c r="N98" s="341"/>
      <c r="O98" s="341"/>
      <c r="P98" s="341"/>
      <c r="Q98" s="341"/>
      <c r="R98" s="341"/>
      <c r="S98" s="341"/>
      <c r="T98" s="341"/>
      <c r="U98" s="341"/>
      <c r="V98" s="341"/>
      <c r="W98" s="341"/>
      <c r="X98" s="341"/>
      <c r="Y98" s="341"/>
      <c r="Z98" s="341"/>
      <c r="AA98" s="341"/>
      <c r="AB98" s="341"/>
      <c r="AC98" s="341"/>
      <c r="AD98" s="341"/>
      <c r="AE98" s="341"/>
      <c r="AF98" s="341"/>
      <c r="AG98" s="341"/>
    </row>
    <row r="99" spans="1:33">
      <c r="A99" s="341"/>
      <c r="B99" s="341"/>
      <c r="C99" s="341"/>
      <c r="D99" s="341"/>
      <c r="E99" s="341"/>
      <c r="F99" s="341"/>
      <c r="G99" s="341"/>
      <c r="H99" s="341"/>
      <c r="I99" s="341"/>
      <c r="J99" s="341"/>
      <c r="K99" s="341"/>
      <c r="L99" s="341"/>
      <c r="M99" s="341"/>
      <c r="N99" s="341"/>
      <c r="O99" s="341"/>
      <c r="P99" s="341"/>
      <c r="Q99" s="341"/>
      <c r="R99" s="341"/>
      <c r="S99" s="341"/>
      <c r="T99" s="341"/>
      <c r="U99" s="341"/>
      <c r="V99" s="341"/>
      <c r="W99" s="341"/>
      <c r="X99" s="341"/>
      <c r="Y99" s="341"/>
      <c r="Z99" s="341"/>
      <c r="AA99" s="341"/>
      <c r="AB99" s="341"/>
      <c r="AC99" s="341"/>
      <c r="AD99" s="341"/>
      <c r="AE99" s="341"/>
      <c r="AF99" s="341"/>
      <c r="AG99" s="341"/>
    </row>
    <row r="100" spans="1:33">
      <c r="A100" s="341"/>
      <c r="B100" s="341"/>
      <c r="C100" s="341"/>
      <c r="D100" s="341"/>
      <c r="E100" s="341"/>
      <c r="F100" s="341"/>
      <c r="G100" s="341"/>
      <c r="H100" s="341"/>
      <c r="I100" s="341"/>
      <c r="J100" s="341"/>
      <c r="K100" s="341"/>
      <c r="L100" s="341"/>
      <c r="M100" s="341"/>
      <c r="N100" s="341"/>
      <c r="O100" s="341"/>
      <c r="P100" s="341"/>
      <c r="Q100" s="341"/>
      <c r="R100" s="341"/>
      <c r="S100" s="341"/>
      <c r="T100" s="341"/>
      <c r="U100" s="341"/>
      <c r="V100" s="341"/>
      <c r="W100" s="341"/>
      <c r="X100" s="341"/>
      <c r="Y100" s="341"/>
      <c r="Z100" s="341"/>
      <c r="AA100" s="341"/>
      <c r="AB100" s="341"/>
      <c r="AC100" s="341"/>
      <c r="AD100" s="341"/>
      <c r="AE100" s="341"/>
      <c r="AF100" s="341"/>
      <c r="AG100" s="341"/>
    </row>
    <row r="101" spans="1:33">
      <c r="A101" s="341"/>
      <c r="B101" s="341"/>
      <c r="C101" s="341"/>
      <c r="D101" s="341"/>
      <c r="E101" s="341"/>
      <c r="F101" s="341"/>
      <c r="G101" s="341"/>
      <c r="H101" s="341"/>
      <c r="I101" s="341"/>
      <c r="J101" s="341"/>
      <c r="K101" s="341"/>
      <c r="L101" s="341"/>
      <c r="M101" s="341"/>
      <c r="N101" s="341"/>
      <c r="O101" s="341"/>
      <c r="P101" s="341"/>
      <c r="Q101" s="341"/>
      <c r="R101" s="341"/>
      <c r="S101" s="341"/>
      <c r="T101" s="341"/>
      <c r="U101" s="341"/>
      <c r="V101" s="341"/>
      <c r="W101" s="341"/>
      <c r="X101" s="341"/>
      <c r="Y101" s="341"/>
      <c r="Z101" s="341"/>
      <c r="AA101" s="341"/>
      <c r="AB101" s="341"/>
      <c r="AC101" s="341"/>
      <c r="AD101" s="341"/>
      <c r="AE101" s="341"/>
      <c r="AF101" s="341"/>
      <c r="AG101" s="341"/>
    </row>
    <row r="102" spans="1:33">
      <c r="A102" s="341"/>
      <c r="B102" s="341"/>
      <c r="C102" s="341"/>
      <c r="D102" s="341"/>
      <c r="E102" s="341"/>
      <c r="F102" s="341"/>
      <c r="G102" s="341"/>
      <c r="H102" s="341"/>
      <c r="I102" s="341"/>
      <c r="J102" s="341"/>
      <c r="K102" s="341"/>
      <c r="L102" s="341"/>
      <c r="M102" s="341"/>
      <c r="N102" s="341"/>
      <c r="O102" s="341"/>
      <c r="P102" s="341"/>
      <c r="Q102" s="341"/>
      <c r="R102" s="341"/>
      <c r="S102" s="341"/>
      <c r="T102" s="341"/>
      <c r="U102" s="341"/>
      <c r="V102" s="341"/>
      <c r="W102" s="341"/>
      <c r="X102" s="341"/>
      <c r="Y102" s="341"/>
      <c r="Z102" s="341"/>
      <c r="AA102" s="341"/>
      <c r="AB102" s="341"/>
      <c r="AC102" s="341"/>
      <c r="AD102" s="341"/>
      <c r="AE102" s="341"/>
      <c r="AF102" s="341"/>
      <c r="AG102" s="341"/>
    </row>
    <row r="103" spans="1:33">
      <c r="A103" s="341"/>
      <c r="B103" s="341"/>
      <c r="C103" s="341"/>
      <c r="D103" s="341"/>
      <c r="E103" s="341"/>
      <c r="F103" s="341"/>
      <c r="G103" s="341"/>
      <c r="H103" s="341"/>
      <c r="I103" s="341"/>
      <c r="J103" s="341"/>
      <c r="K103" s="341"/>
      <c r="L103" s="341"/>
      <c r="M103" s="341"/>
      <c r="N103" s="341"/>
      <c r="O103" s="341"/>
      <c r="P103" s="341"/>
      <c r="Q103" s="341"/>
      <c r="R103" s="341"/>
      <c r="S103" s="341"/>
      <c r="T103" s="341"/>
      <c r="U103" s="341"/>
      <c r="V103" s="341"/>
      <c r="W103" s="341"/>
      <c r="X103" s="341"/>
      <c r="Y103" s="341"/>
      <c r="Z103" s="341"/>
      <c r="AA103" s="341"/>
      <c r="AB103" s="341"/>
      <c r="AC103" s="341"/>
      <c r="AD103" s="341"/>
      <c r="AE103" s="341"/>
      <c r="AF103" s="341"/>
      <c r="AG103" s="341"/>
    </row>
    <row r="104" spans="1:33">
      <c r="A104" s="341"/>
      <c r="B104" s="341"/>
      <c r="C104" s="341"/>
      <c r="D104" s="341"/>
      <c r="E104" s="341"/>
      <c r="F104" s="341"/>
      <c r="G104" s="341"/>
      <c r="H104" s="341"/>
      <c r="I104" s="341"/>
      <c r="J104" s="341"/>
      <c r="K104" s="341"/>
      <c r="L104" s="341"/>
      <c r="M104" s="341"/>
      <c r="N104" s="341"/>
      <c r="O104" s="341"/>
      <c r="P104" s="341"/>
      <c r="Q104" s="341"/>
      <c r="R104" s="341"/>
      <c r="S104" s="341"/>
      <c r="T104" s="341"/>
      <c r="U104" s="341"/>
      <c r="V104" s="341"/>
      <c r="W104" s="341"/>
      <c r="X104" s="341"/>
      <c r="Y104" s="341"/>
      <c r="Z104" s="341"/>
      <c r="AA104" s="341"/>
      <c r="AB104" s="341"/>
      <c r="AC104" s="341"/>
      <c r="AD104" s="341"/>
      <c r="AE104" s="341"/>
      <c r="AF104" s="341"/>
      <c r="AG104" s="341"/>
    </row>
    <row r="105" spans="1:33">
      <c r="A105" s="341"/>
      <c r="B105" s="341"/>
      <c r="C105" s="341"/>
      <c r="D105" s="341"/>
      <c r="E105" s="341"/>
      <c r="F105" s="341"/>
      <c r="G105" s="341"/>
      <c r="H105" s="341"/>
      <c r="I105" s="341"/>
      <c r="J105" s="341"/>
      <c r="K105" s="341"/>
      <c r="L105" s="341"/>
      <c r="M105" s="341"/>
      <c r="N105" s="341"/>
      <c r="O105" s="341"/>
      <c r="P105" s="341"/>
      <c r="Q105" s="341"/>
      <c r="R105" s="341"/>
      <c r="S105" s="341"/>
      <c r="T105" s="341"/>
      <c r="U105" s="341"/>
      <c r="V105" s="341"/>
      <c r="W105" s="341"/>
      <c r="X105" s="341"/>
      <c r="Y105" s="341"/>
      <c r="Z105" s="341"/>
      <c r="AA105" s="341"/>
      <c r="AB105" s="341"/>
      <c r="AC105" s="341"/>
      <c r="AD105" s="341"/>
      <c r="AE105" s="341"/>
      <c r="AF105" s="341"/>
      <c r="AG105" s="341"/>
    </row>
    <row r="106" spans="1:33">
      <c r="A106" s="341"/>
      <c r="B106" s="341"/>
      <c r="C106" s="341"/>
      <c r="D106" s="341"/>
      <c r="E106" s="341"/>
      <c r="F106" s="341"/>
      <c r="G106" s="341"/>
      <c r="H106" s="341"/>
      <c r="I106" s="341"/>
      <c r="J106" s="341"/>
      <c r="K106" s="341"/>
      <c r="L106" s="341"/>
      <c r="M106" s="341"/>
      <c r="N106" s="341"/>
      <c r="O106" s="341"/>
      <c r="P106" s="341"/>
      <c r="Q106" s="341"/>
      <c r="R106" s="341"/>
      <c r="S106" s="341"/>
      <c r="T106" s="341"/>
      <c r="U106" s="341"/>
      <c r="V106" s="341"/>
      <c r="W106" s="341"/>
      <c r="X106" s="341"/>
      <c r="Y106" s="341"/>
      <c r="Z106" s="341"/>
      <c r="AA106" s="341"/>
      <c r="AB106" s="341"/>
      <c r="AC106" s="341"/>
      <c r="AD106" s="341"/>
      <c r="AE106" s="341"/>
      <c r="AF106" s="341"/>
      <c r="AG106" s="341"/>
    </row>
    <row r="107" spans="1:33">
      <c r="A107" s="341"/>
      <c r="B107" s="341"/>
      <c r="C107" s="341"/>
      <c r="D107" s="341"/>
      <c r="E107" s="341"/>
      <c r="F107" s="341"/>
      <c r="G107" s="341"/>
      <c r="H107" s="341"/>
      <c r="I107" s="341"/>
      <c r="J107" s="341"/>
      <c r="K107" s="341"/>
      <c r="L107" s="341"/>
      <c r="M107" s="341"/>
      <c r="N107" s="341"/>
      <c r="O107" s="341"/>
      <c r="P107" s="341"/>
      <c r="Q107" s="341"/>
      <c r="R107" s="341"/>
      <c r="S107" s="341"/>
      <c r="T107" s="341"/>
      <c r="U107" s="341"/>
      <c r="V107" s="341"/>
      <c r="W107" s="341"/>
      <c r="X107" s="341"/>
      <c r="Y107" s="341"/>
      <c r="Z107" s="341"/>
      <c r="AA107" s="341"/>
      <c r="AB107" s="341"/>
      <c r="AC107" s="341"/>
      <c r="AD107" s="341"/>
      <c r="AE107" s="341"/>
      <c r="AF107" s="341"/>
      <c r="AG107" s="341"/>
    </row>
    <row r="108" spans="1:33">
      <c r="A108" s="341"/>
      <c r="B108" s="341"/>
      <c r="C108" s="341"/>
      <c r="D108" s="341"/>
      <c r="E108" s="341"/>
      <c r="F108" s="341"/>
      <c r="G108" s="341"/>
      <c r="H108" s="341"/>
      <c r="I108" s="341"/>
      <c r="J108" s="341"/>
      <c r="K108" s="341"/>
      <c r="L108" s="341"/>
      <c r="M108" s="341"/>
      <c r="N108" s="341"/>
      <c r="O108" s="341"/>
      <c r="P108" s="341"/>
      <c r="Q108" s="341"/>
      <c r="R108" s="341"/>
      <c r="S108" s="341"/>
      <c r="T108" s="341"/>
      <c r="U108" s="341"/>
      <c r="V108" s="341"/>
      <c r="W108" s="341"/>
      <c r="X108" s="341"/>
      <c r="Y108" s="341"/>
      <c r="Z108" s="341"/>
      <c r="AA108" s="341"/>
      <c r="AB108" s="341"/>
      <c r="AC108" s="341"/>
      <c r="AD108" s="341"/>
      <c r="AE108" s="341"/>
      <c r="AF108" s="341"/>
      <c r="AG108" s="341"/>
    </row>
    <row r="109" spans="1:33">
      <c r="A109" s="341"/>
      <c r="B109" s="341"/>
      <c r="C109" s="341"/>
      <c r="D109" s="341"/>
      <c r="E109" s="341"/>
      <c r="F109" s="341"/>
      <c r="G109" s="341"/>
      <c r="H109" s="341"/>
      <c r="I109" s="341"/>
      <c r="J109" s="341"/>
      <c r="K109" s="341"/>
      <c r="L109" s="341"/>
      <c r="M109" s="341"/>
      <c r="N109" s="341"/>
      <c r="O109" s="341"/>
      <c r="P109" s="341"/>
      <c r="Q109" s="341"/>
      <c r="R109" s="341"/>
      <c r="S109" s="341"/>
      <c r="T109" s="341"/>
      <c r="U109" s="341"/>
      <c r="V109" s="341"/>
      <c r="W109" s="341"/>
      <c r="X109" s="341"/>
      <c r="Y109" s="341"/>
      <c r="Z109" s="341"/>
      <c r="AA109" s="341"/>
      <c r="AB109" s="341"/>
      <c r="AC109" s="341"/>
      <c r="AD109" s="341"/>
      <c r="AE109" s="341"/>
      <c r="AF109" s="341"/>
      <c r="AG109" s="341"/>
    </row>
    <row r="110" spans="1:33">
      <c r="A110" s="341"/>
      <c r="B110" s="341"/>
      <c r="C110" s="341"/>
      <c r="D110" s="341"/>
      <c r="E110" s="341"/>
      <c r="F110" s="341"/>
      <c r="G110" s="341"/>
      <c r="H110" s="341"/>
      <c r="I110" s="341"/>
      <c r="J110" s="341"/>
      <c r="K110" s="341"/>
      <c r="L110" s="341"/>
      <c r="M110" s="341"/>
      <c r="N110" s="341"/>
      <c r="O110" s="341"/>
      <c r="P110" s="341"/>
      <c r="Q110" s="341"/>
      <c r="R110" s="341"/>
      <c r="S110" s="341"/>
      <c r="T110" s="341"/>
      <c r="U110" s="341"/>
      <c r="V110" s="341"/>
      <c r="W110" s="341"/>
      <c r="X110" s="341"/>
      <c r="Y110" s="341"/>
      <c r="Z110" s="341"/>
      <c r="AA110" s="341"/>
      <c r="AB110" s="341"/>
      <c r="AC110" s="341"/>
      <c r="AD110" s="341"/>
      <c r="AE110" s="341"/>
      <c r="AF110" s="341"/>
      <c r="AG110" s="341"/>
    </row>
    <row r="111" spans="1:33">
      <c r="A111" s="341"/>
      <c r="B111" s="341"/>
      <c r="C111" s="341"/>
      <c r="D111" s="341"/>
      <c r="E111" s="341"/>
      <c r="F111" s="341"/>
      <c r="G111" s="341"/>
      <c r="H111" s="341"/>
      <c r="I111" s="341"/>
      <c r="J111" s="341"/>
      <c r="K111" s="341"/>
      <c r="L111" s="341"/>
      <c r="M111" s="341"/>
      <c r="N111" s="341"/>
      <c r="O111" s="341"/>
      <c r="P111" s="341"/>
      <c r="Q111" s="341"/>
      <c r="R111" s="341"/>
      <c r="S111" s="341"/>
      <c r="T111" s="341"/>
      <c r="U111" s="341"/>
      <c r="V111" s="341"/>
      <c r="W111" s="341"/>
      <c r="X111" s="341"/>
      <c r="Y111" s="341"/>
      <c r="Z111" s="341"/>
      <c r="AA111" s="341"/>
      <c r="AB111" s="341"/>
      <c r="AC111" s="341"/>
      <c r="AD111" s="341"/>
      <c r="AE111" s="341"/>
      <c r="AF111" s="341"/>
      <c r="AG111" s="341"/>
    </row>
    <row r="112" spans="1:33">
      <c r="A112" s="341"/>
      <c r="B112" s="341"/>
      <c r="C112" s="341"/>
      <c r="D112" s="341"/>
      <c r="E112" s="341"/>
      <c r="F112" s="341"/>
      <c r="G112" s="341"/>
      <c r="H112" s="341"/>
      <c r="I112" s="341"/>
      <c r="J112" s="341"/>
      <c r="K112" s="341"/>
      <c r="L112" s="341"/>
      <c r="M112" s="341"/>
      <c r="N112" s="341"/>
      <c r="O112" s="341"/>
      <c r="P112" s="341"/>
      <c r="Q112" s="341"/>
      <c r="R112" s="341"/>
      <c r="S112" s="341"/>
      <c r="T112" s="341"/>
      <c r="U112" s="341"/>
      <c r="V112" s="341"/>
      <c r="W112" s="341"/>
      <c r="X112" s="341"/>
      <c r="Y112" s="341"/>
      <c r="Z112" s="341"/>
      <c r="AA112" s="341"/>
      <c r="AB112" s="341"/>
      <c r="AC112" s="341"/>
      <c r="AD112" s="341"/>
      <c r="AE112" s="341"/>
      <c r="AF112" s="341"/>
      <c r="AG112" s="341"/>
    </row>
    <row r="113" spans="1:33">
      <c r="A113" s="341"/>
      <c r="B113" s="341"/>
      <c r="C113" s="341"/>
      <c r="D113" s="341"/>
      <c r="E113" s="341"/>
      <c r="F113" s="341"/>
      <c r="G113" s="341"/>
      <c r="H113" s="341"/>
      <c r="I113" s="341"/>
      <c r="J113" s="341"/>
      <c r="K113" s="341"/>
      <c r="L113" s="341"/>
      <c r="M113" s="341"/>
      <c r="N113" s="341"/>
      <c r="O113" s="341"/>
      <c r="P113" s="341"/>
      <c r="Q113" s="341"/>
      <c r="R113" s="341"/>
      <c r="S113" s="341"/>
      <c r="T113" s="341"/>
      <c r="U113" s="341"/>
      <c r="V113" s="341"/>
      <c r="W113" s="341"/>
      <c r="X113" s="341"/>
      <c r="Y113" s="341"/>
      <c r="Z113" s="341"/>
      <c r="AA113" s="341"/>
      <c r="AB113" s="341"/>
      <c r="AC113" s="341"/>
      <c r="AD113" s="341"/>
      <c r="AE113" s="341"/>
      <c r="AF113" s="341"/>
      <c r="AG113" s="341"/>
    </row>
    <row r="114" spans="1:33">
      <c r="A114" s="341"/>
      <c r="B114" s="341"/>
      <c r="C114" s="341"/>
      <c r="D114" s="341"/>
      <c r="E114" s="341"/>
      <c r="F114" s="341"/>
      <c r="G114" s="341"/>
      <c r="H114" s="341"/>
      <c r="I114" s="341"/>
      <c r="J114" s="341"/>
      <c r="K114" s="341"/>
      <c r="L114" s="341"/>
      <c r="M114" s="341"/>
      <c r="N114" s="341"/>
      <c r="O114" s="341"/>
      <c r="P114" s="341"/>
      <c r="Q114" s="341"/>
      <c r="R114" s="341"/>
      <c r="S114" s="341"/>
      <c r="T114" s="341"/>
      <c r="U114" s="341"/>
      <c r="V114" s="341"/>
      <c r="W114" s="341"/>
      <c r="X114" s="341"/>
      <c r="Y114" s="341"/>
      <c r="Z114" s="341"/>
      <c r="AA114" s="341"/>
      <c r="AB114" s="341"/>
      <c r="AC114" s="341"/>
      <c r="AD114" s="341"/>
      <c r="AE114" s="341"/>
      <c r="AF114" s="341"/>
      <c r="AG114" s="341"/>
    </row>
    <row r="115" spans="1:33">
      <c r="A115" s="341"/>
      <c r="B115" s="341"/>
      <c r="C115" s="341"/>
      <c r="D115" s="341"/>
      <c r="E115" s="341"/>
      <c r="F115" s="341"/>
      <c r="G115" s="341"/>
      <c r="H115" s="341"/>
      <c r="I115" s="341"/>
      <c r="J115" s="341"/>
      <c r="K115" s="341"/>
      <c r="L115" s="341"/>
      <c r="M115" s="341"/>
      <c r="N115" s="341"/>
      <c r="O115" s="341"/>
      <c r="P115" s="341"/>
      <c r="Q115" s="341"/>
      <c r="R115" s="341"/>
      <c r="S115" s="341"/>
      <c r="T115" s="341"/>
      <c r="U115" s="341"/>
      <c r="V115" s="341"/>
      <c r="W115" s="341"/>
      <c r="X115" s="341"/>
      <c r="Y115" s="341"/>
      <c r="Z115" s="341"/>
      <c r="AA115" s="341"/>
      <c r="AB115" s="341"/>
      <c r="AC115" s="341"/>
      <c r="AD115" s="341"/>
      <c r="AE115" s="341"/>
      <c r="AF115" s="341"/>
      <c r="AG115" s="341"/>
    </row>
    <row r="116" spans="1:33">
      <c r="A116" s="341"/>
      <c r="B116" s="341"/>
      <c r="C116" s="341"/>
      <c r="D116" s="341"/>
      <c r="E116" s="341"/>
      <c r="F116" s="341"/>
      <c r="G116" s="341"/>
      <c r="H116" s="341"/>
      <c r="I116" s="341"/>
      <c r="J116" s="341"/>
      <c r="K116" s="341"/>
      <c r="L116" s="341"/>
      <c r="M116" s="341"/>
      <c r="N116" s="341"/>
      <c r="O116" s="341"/>
      <c r="P116" s="341"/>
      <c r="Q116" s="341"/>
      <c r="R116" s="341"/>
      <c r="S116" s="341"/>
      <c r="T116" s="341"/>
      <c r="U116" s="341"/>
      <c r="V116" s="341"/>
      <c r="W116" s="341"/>
      <c r="X116" s="341"/>
      <c r="Y116" s="341"/>
      <c r="Z116" s="341"/>
      <c r="AA116" s="341"/>
      <c r="AB116" s="341"/>
      <c r="AC116" s="341"/>
      <c r="AD116" s="341"/>
      <c r="AE116" s="341"/>
      <c r="AF116" s="341"/>
      <c r="AG116" s="341"/>
    </row>
    <row r="117" spans="1:33">
      <c r="A117" s="341"/>
      <c r="B117" s="341"/>
      <c r="C117" s="341"/>
      <c r="D117" s="341"/>
      <c r="E117" s="341"/>
      <c r="F117" s="341"/>
      <c r="G117" s="341"/>
      <c r="H117" s="341"/>
      <c r="I117" s="341"/>
      <c r="J117" s="341"/>
      <c r="K117" s="341"/>
      <c r="L117" s="341"/>
      <c r="M117" s="341"/>
      <c r="N117" s="341"/>
      <c r="O117" s="341"/>
      <c r="P117" s="341"/>
      <c r="Q117" s="341"/>
      <c r="R117" s="341"/>
      <c r="S117" s="341"/>
      <c r="T117" s="341"/>
      <c r="U117" s="341"/>
      <c r="V117" s="341"/>
      <c r="W117" s="341"/>
      <c r="X117" s="341"/>
      <c r="Y117" s="341"/>
      <c r="Z117" s="341"/>
      <c r="AA117" s="341"/>
      <c r="AB117" s="341"/>
      <c r="AC117" s="341"/>
      <c r="AD117" s="341"/>
      <c r="AE117" s="341"/>
      <c r="AF117" s="341"/>
      <c r="AG117" s="341"/>
    </row>
  </sheetData>
  <sheetProtection algorithmName="SHA-512" hashValue="DtRl7mySKkeoGRqtRY10A6mnHUrUEkgbcqAf4cREuz0Z8aXNzzefRD9wuPEPNNfCjVXZMRb8cU4GnN6ktDcsPg==" saltValue="BwUohs44nWPHxq7nBSiyXg==" spinCount="100000" sheet="1" objects="1" scenarios="1" selectLockedCells="1" selectUnlockedCells="1"/>
  <mergeCells count="25">
    <mergeCell ref="G30:I30"/>
    <mergeCell ref="G13:I13"/>
    <mergeCell ref="B13:D13"/>
    <mergeCell ref="B31:D31"/>
    <mergeCell ref="B30:D30"/>
    <mergeCell ref="G31:I31"/>
    <mergeCell ref="G25:I25"/>
    <mergeCell ref="B25:D25"/>
    <mergeCell ref="G10:I10"/>
    <mergeCell ref="B23:D23"/>
    <mergeCell ref="B24:D24"/>
    <mergeCell ref="B1:I3"/>
    <mergeCell ref="B11:D11"/>
    <mergeCell ref="B12:D12"/>
    <mergeCell ref="G11:I11"/>
    <mergeCell ref="G12:I12"/>
    <mergeCell ref="B10:D10"/>
    <mergeCell ref="D9:I9"/>
    <mergeCell ref="G23:I23"/>
    <mergeCell ref="G24:I24"/>
    <mergeCell ref="F33:J33"/>
    <mergeCell ref="B36:D36"/>
    <mergeCell ref="G36:I36"/>
    <mergeCell ref="J34:L35"/>
    <mergeCell ref="C34:C35"/>
  </mergeCells>
  <phoneticPr fontId="8" type="noConversion"/>
  <pageMargins left="0.27559055118110237" right="0.35433070866141736" top="0.31496062992125984" bottom="0.31496062992125984" header="0.31496062992125984" footer="0.31496062992125984"/>
  <pageSetup paperSize="9" scale="90" orientation="landscape"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DD6BD-D2FE-4D68-BF22-CF1F854DDF9C}">
  <sheetPr codeName="Taul15"/>
  <dimension ref="B2:F48"/>
  <sheetViews>
    <sheetView workbookViewId="0"/>
  </sheetViews>
  <sheetFormatPr defaultRowHeight="12.45"/>
  <cols>
    <col min="2" max="2" width="10.07421875" bestFit="1" customWidth="1"/>
    <col min="3" max="4" width="8.84375" style="93"/>
    <col min="5" max="5" width="20.07421875" customWidth="1"/>
    <col min="6" max="6" width="40.53515625" customWidth="1"/>
  </cols>
  <sheetData>
    <row r="2" spans="2:6">
      <c r="B2" t="s">
        <v>670</v>
      </c>
      <c r="C2" s="93" t="s">
        <v>671</v>
      </c>
      <c r="D2" s="93" t="s">
        <v>672</v>
      </c>
      <c r="E2" t="s">
        <v>673</v>
      </c>
      <c r="F2" t="s">
        <v>674</v>
      </c>
    </row>
    <row r="3" spans="2:6">
      <c r="B3" s="849">
        <v>44438</v>
      </c>
      <c r="C3" s="642" t="s">
        <v>675</v>
      </c>
      <c r="D3" s="900"/>
      <c r="E3" s="255" t="s">
        <v>676</v>
      </c>
      <c r="F3" s="255" t="s">
        <v>677</v>
      </c>
    </row>
    <row r="4" spans="2:6">
      <c r="B4" s="849">
        <v>44438</v>
      </c>
      <c r="C4" s="642" t="s">
        <v>675</v>
      </c>
      <c r="D4" s="900"/>
      <c r="E4" s="255" t="s">
        <v>385</v>
      </c>
      <c r="F4" s="255" t="s">
        <v>678</v>
      </c>
    </row>
    <row r="5" spans="2:6">
      <c r="B5" s="849">
        <v>44438</v>
      </c>
      <c r="C5" s="642" t="s">
        <v>675</v>
      </c>
      <c r="D5" s="900"/>
      <c r="E5" s="255" t="s">
        <v>679</v>
      </c>
      <c r="F5" s="255" t="s">
        <v>680</v>
      </c>
    </row>
    <row r="6" spans="2:6">
      <c r="B6" s="849">
        <v>44448</v>
      </c>
      <c r="C6" s="642" t="s">
        <v>675</v>
      </c>
      <c r="E6" s="255" t="s">
        <v>676</v>
      </c>
      <c r="F6" s="255" t="s">
        <v>681</v>
      </c>
    </row>
    <row r="7" spans="2:6">
      <c r="B7" s="849">
        <v>44448</v>
      </c>
      <c r="C7" s="642" t="s">
        <v>675</v>
      </c>
      <c r="E7" s="255" t="s">
        <v>676</v>
      </c>
      <c r="F7" s="255" t="s">
        <v>683</v>
      </c>
    </row>
    <row r="8" spans="2:6">
      <c r="B8" s="849">
        <v>44448</v>
      </c>
      <c r="C8" s="642" t="s">
        <v>675</v>
      </c>
      <c r="E8" s="255" t="s">
        <v>676</v>
      </c>
      <c r="F8" s="255" t="s">
        <v>682</v>
      </c>
    </row>
    <row r="9" spans="2:6">
      <c r="B9" s="849">
        <v>44448</v>
      </c>
      <c r="C9" s="642" t="s">
        <v>675</v>
      </c>
      <c r="E9" s="255" t="s">
        <v>676</v>
      </c>
      <c r="F9" s="255" t="s">
        <v>684</v>
      </c>
    </row>
    <row r="10" spans="2:6">
      <c r="B10" s="849">
        <v>44448</v>
      </c>
      <c r="C10" s="642" t="s">
        <v>675</v>
      </c>
      <c r="E10" s="255" t="s">
        <v>676</v>
      </c>
      <c r="F10" s="255" t="s">
        <v>685</v>
      </c>
    </row>
    <row r="11" spans="2:6">
      <c r="B11" s="849">
        <v>44448</v>
      </c>
      <c r="C11" s="642" t="s">
        <v>675</v>
      </c>
      <c r="E11" s="255" t="s">
        <v>676</v>
      </c>
      <c r="F11" s="255" t="s">
        <v>686</v>
      </c>
    </row>
    <row r="12" spans="2:6">
      <c r="B12" s="849">
        <v>44448</v>
      </c>
      <c r="C12" s="642" t="s">
        <v>675</v>
      </c>
      <c r="E12" s="255" t="s">
        <v>676</v>
      </c>
      <c r="F12" s="255" t="s">
        <v>687</v>
      </c>
    </row>
    <row r="13" spans="2:6">
      <c r="B13" s="849">
        <v>44448</v>
      </c>
      <c r="C13" s="642" t="s">
        <v>675</v>
      </c>
      <c r="E13" s="255" t="s">
        <v>690</v>
      </c>
      <c r="F13" s="255" t="s">
        <v>691</v>
      </c>
    </row>
    <row r="14" spans="2:6">
      <c r="B14" s="849">
        <v>44455</v>
      </c>
      <c r="C14" s="642" t="s">
        <v>702</v>
      </c>
      <c r="F14" s="255" t="s">
        <v>703</v>
      </c>
    </row>
    <row r="15" spans="2:6">
      <c r="B15" s="29">
        <v>44516</v>
      </c>
      <c r="C15" s="642" t="s">
        <v>702</v>
      </c>
      <c r="F15" s="255" t="s">
        <v>719</v>
      </c>
    </row>
    <row r="16" spans="2:6">
      <c r="B16" s="255" t="s">
        <v>721</v>
      </c>
      <c r="C16" s="642" t="s">
        <v>702</v>
      </c>
      <c r="F16" s="255" t="s">
        <v>720</v>
      </c>
    </row>
    <row r="17" spans="2:6">
      <c r="B17" s="29">
        <v>44543</v>
      </c>
      <c r="C17" s="642" t="s">
        <v>675</v>
      </c>
      <c r="E17" t="s">
        <v>722</v>
      </c>
      <c r="F17" s="255" t="s">
        <v>723</v>
      </c>
    </row>
    <row r="18" spans="2:6">
      <c r="B18" s="29">
        <v>44543</v>
      </c>
      <c r="C18" s="642" t="s">
        <v>675</v>
      </c>
      <c r="E18" t="s">
        <v>724</v>
      </c>
      <c r="F18" s="255" t="s">
        <v>725</v>
      </c>
    </row>
    <row r="19" spans="2:6">
      <c r="B19" s="29">
        <v>44601</v>
      </c>
      <c r="C19" s="642" t="s">
        <v>675</v>
      </c>
      <c r="E19" s="255" t="s">
        <v>728</v>
      </c>
      <c r="F19" s="255" t="s">
        <v>729</v>
      </c>
    </row>
    <row r="20" spans="2:6">
      <c r="F20" s="255" t="s">
        <v>726</v>
      </c>
    </row>
    <row r="21" spans="2:6">
      <c r="F21" s="255" t="s">
        <v>727</v>
      </c>
    </row>
    <row r="22" spans="2:6">
      <c r="B22" s="29">
        <v>44841</v>
      </c>
      <c r="C22" s="642" t="s">
        <v>675</v>
      </c>
      <c r="E22" s="255" t="s">
        <v>788</v>
      </c>
      <c r="F22" s="255" t="s">
        <v>787</v>
      </c>
    </row>
    <row r="23" spans="2:6">
      <c r="E23" s="255" t="s">
        <v>676</v>
      </c>
      <c r="F23" s="255" t="s">
        <v>789</v>
      </c>
    </row>
    <row r="24" spans="2:6">
      <c r="E24" s="255" t="s">
        <v>679</v>
      </c>
      <c r="F24" s="255" t="s">
        <v>790</v>
      </c>
    </row>
    <row r="25" spans="2:6">
      <c r="E25" s="255" t="s">
        <v>679</v>
      </c>
      <c r="F25" s="255" t="s">
        <v>791</v>
      </c>
    </row>
    <row r="26" spans="2:6">
      <c r="B26" s="29">
        <v>44889</v>
      </c>
      <c r="C26" s="642" t="s">
        <v>702</v>
      </c>
      <c r="F26" s="255" t="s">
        <v>816</v>
      </c>
    </row>
    <row r="48" spans="5:5">
      <c r="E48" s="255"/>
    </row>
  </sheetData>
  <sheetProtection algorithmName="SHA-512" hashValue="bJd+s2tJ2I37QVsKeZLAUTkYoZeM3FtigP46O56opR2sTfMa4Nu+rauMp2jU9mG6PA8SWQl8xNgiPdlrMplqeQ==" saltValue="HfiHksJrgxSYuTaIOu106w==" spinCount="100000" sheet="1" objects="1" scenarios="1" selectLockedCells="1" selectUnlockedCells="1"/>
  <phoneticPr fontId="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DD346-525A-468D-9BBF-BB8F81DE9950}">
  <sheetPr>
    <tabColor rgb="FFFFC000"/>
    <pageSetUpPr fitToPage="1"/>
  </sheetPr>
  <dimension ref="B2:AK77"/>
  <sheetViews>
    <sheetView showGridLines="0" showZeros="0" zoomScale="85" zoomScaleNormal="85" workbookViewId="0">
      <selection activeCell="B7" sqref="B7"/>
    </sheetView>
  </sheetViews>
  <sheetFormatPr defaultRowHeight="12.45"/>
  <cols>
    <col min="1" max="1" width="1.3046875" customWidth="1"/>
    <col min="2" max="2" width="5.3046875" style="93" customWidth="1"/>
    <col min="3" max="3" width="47" customWidth="1"/>
    <col min="4" max="4" width="12" customWidth="1"/>
    <col min="5" max="6" width="9.07421875" customWidth="1"/>
    <col min="7" max="7" width="7.84375" customWidth="1"/>
    <col min="8" max="8" width="9.07421875" customWidth="1"/>
    <col min="9" max="9" width="10.3046875" customWidth="1"/>
    <col min="10" max="10" width="11" customWidth="1"/>
    <col min="11" max="11" width="9.3046875" customWidth="1"/>
    <col min="12" max="12" width="1.4609375" customWidth="1"/>
    <col min="13" max="15" width="9.07421875" customWidth="1"/>
    <col min="16" max="16" width="9.84375" customWidth="1"/>
    <col min="17" max="18" width="11" customWidth="1"/>
    <col min="19" max="19" width="10.07421875" customWidth="1"/>
    <col min="20" max="20" width="1.4609375" customWidth="1"/>
    <col min="21" max="23" width="9.07421875" customWidth="1"/>
    <col min="24" max="24" width="9.84375" customWidth="1"/>
    <col min="25" max="26" width="11" customWidth="1"/>
    <col min="27" max="27" width="9.07421875" customWidth="1"/>
    <col min="28" max="28" width="10.84375" customWidth="1"/>
    <col min="29" max="33" width="9.07421875" customWidth="1"/>
  </cols>
  <sheetData>
    <row r="2" spans="2:33" ht="15.9">
      <c r="B2" s="254"/>
      <c r="C2" s="239"/>
      <c r="D2" s="239"/>
      <c r="G2" s="239"/>
      <c r="H2" s="239"/>
      <c r="I2" s="239"/>
      <c r="J2" s="239"/>
      <c r="K2" s="239"/>
      <c r="L2" s="239"/>
      <c r="M2" s="239"/>
      <c r="N2" s="239"/>
      <c r="O2" s="239"/>
      <c r="P2" s="239"/>
      <c r="Q2" s="239"/>
      <c r="R2" s="239"/>
      <c r="S2" s="239"/>
      <c r="T2" s="239"/>
      <c r="U2" s="1680"/>
      <c r="V2" s="1680"/>
      <c r="W2" s="239"/>
      <c r="X2" s="239"/>
      <c r="Y2" s="239"/>
      <c r="Z2" s="239"/>
      <c r="AA2" s="239"/>
      <c r="AC2" s="574"/>
      <c r="AD2" s="2002"/>
      <c r="AE2" s="2002"/>
      <c r="AF2" s="574"/>
    </row>
    <row r="3" spans="2:33" ht="31.95" customHeight="1">
      <c r="B3" s="254"/>
      <c r="C3" s="238"/>
      <c r="D3" s="238"/>
      <c r="E3" s="1997" t="s">
        <v>239</v>
      </c>
      <c r="F3" s="1997"/>
      <c r="G3" s="885"/>
      <c r="I3" s="885" t="s">
        <v>870</v>
      </c>
      <c r="J3" s="885"/>
      <c r="K3" s="885"/>
      <c r="L3" s="885"/>
      <c r="M3" s="885"/>
      <c r="N3" s="885"/>
      <c r="O3" s="885"/>
      <c r="P3" s="885"/>
      <c r="Q3" s="885"/>
      <c r="R3" s="885"/>
      <c r="S3" s="885"/>
      <c r="T3" s="885"/>
      <c r="U3" s="885"/>
      <c r="V3" s="885"/>
      <c r="W3" s="885"/>
      <c r="X3" s="885"/>
      <c r="Y3" s="885"/>
      <c r="Z3" s="885"/>
      <c r="AA3" s="885"/>
      <c r="AB3" s="684"/>
      <c r="AC3" s="684"/>
      <c r="AD3" s="886"/>
      <c r="AE3" s="684"/>
      <c r="AF3" s="684"/>
      <c r="AG3" s="684"/>
    </row>
    <row r="4" spans="2:33" s="2" customFormat="1" ht="15.75" customHeight="1">
      <c r="B4" s="633"/>
      <c r="C4" s="408"/>
      <c r="D4" s="408"/>
      <c r="E4" s="408"/>
      <c r="F4" s="408"/>
      <c r="G4" s="408"/>
      <c r="H4" s="408"/>
      <c r="I4" s="408"/>
      <c r="J4" s="687"/>
      <c r="K4" s="408"/>
      <c r="L4" s="408"/>
      <c r="M4" s="408"/>
      <c r="N4" s="408"/>
      <c r="O4" s="408"/>
      <c r="P4" s="408"/>
      <c r="Q4" s="408"/>
      <c r="R4" s="687"/>
      <c r="S4" s="408"/>
      <c r="T4" s="408"/>
      <c r="U4" s="685"/>
      <c r="V4" s="685"/>
      <c r="W4" s="686"/>
      <c r="X4" s="687"/>
      <c r="Y4" s="687"/>
      <c r="Z4" s="687"/>
      <c r="AA4" s="685"/>
      <c r="AB4" s="685"/>
      <c r="AC4" s="685"/>
      <c r="AD4" s="686"/>
      <c r="AE4" s="687"/>
      <c r="AF4" s="685"/>
      <c r="AG4" s="685"/>
    </row>
    <row r="5" spans="2:33" ht="24.75" customHeight="1">
      <c r="B5" s="254"/>
      <c r="C5" s="238"/>
      <c r="D5" s="238"/>
      <c r="E5" s="1487" t="s">
        <v>0</v>
      </c>
      <c r="F5" s="1488"/>
      <c r="G5" s="1489" t="s">
        <v>590</v>
      </c>
      <c r="H5" s="1490">
        <v>2022</v>
      </c>
      <c r="I5" s="1488"/>
      <c r="J5" s="1608"/>
      <c r="K5" s="1491"/>
      <c r="L5" s="238"/>
      <c r="M5" s="1487" t="s">
        <v>0</v>
      </c>
      <c r="N5" s="1488"/>
      <c r="O5" s="1489" t="s">
        <v>590</v>
      </c>
      <c r="P5" s="1490">
        <v>2021</v>
      </c>
      <c r="Q5" s="1488"/>
      <c r="R5" s="1608"/>
      <c r="S5" s="1491"/>
      <c r="T5" s="707"/>
      <c r="U5" s="1492" t="s">
        <v>0</v>
      </c>
      <c r="V5" s="1493"/>
      <c r="W5" s="1489" t="s">
        <v>590</v>
      </c>
      <c r="X5" s="1493">
        <v>2020</v>
      </c>
      <c r="Y5" s="1493"/>
      <c r="Z5" s="1608"/>
      <c r="AA5" s="1494"/>
      <c r="AB5" s="1998"/>
      <c r="AC5" s="1998"/>
      <c r="AD5" s="1998"/>
      <c r="AE5" s="1998"/>
      <c r="AF5" s="1998"/>
      <c r="AG5" s="1998"/>
    </row>
    <row r="6" spans="2:33" ht="14.7" customHeight="1">
      <c r="B6" s="254"/>
      <c r="C6" s="238"/>
      <c r="D6" s="1999" t="s">
        <v>577</v>
      </c>
      <c r="E6" s="862" t="s">
        <v>152</v>
      </c>
      <c r="F6" s="863" t="s">
        <v>485</v>
      </c>
      <c r="G6" s="1992" t="s">
        <v>582</v>
      </c>
      <c r="H6" s="1992" t="s">
        <v>588</v>
      </c>
      <c r="I6" s="1992" t="s">
        <v>589</v>
      </c>
      <c r="J6" s="1992" t="s">
        <v>869</v>
      </c>
      <c r="K6" s="864" t="s">
        <v>594</v>
      </c>
      <c r="L6" s="238"/>
      <c r="M6" s="862" t="s">
        <v>152</v>
      </c>
      <c r="N6" s="863" t="s">
        <v>485</v>
      </c>
      <c r="O6" s="1992" t="s">
        <v>582</v>
      </c>
      <c r="P6" s="1992" t="s">
        <v>588</v>
      </c>
      <c r="Q6" s="1992" t="s">
        <v>589</v>
      </c>
      <c r="R6" s="1992" t="s">
        <v>869</v>
      </c>
      <c r="S6" s="864" t="s">
        <v>594</v>
      </c>
      <c r="T6" s="699"/>
      <c r="U6" s="862" t="s">
        <v>152</v>
      </c>
      <c r="V6" s="863" t="s">
        <v>485</v>
      </c>
      <c r="W6" s="863" t="s">
        <v>153</v>
      </c>
      <c r="X6" s="863" t="s">
        <v>153</v>
      </c>
      <c r="Y6" s="1992" t="s">
        <v>589</v>
      </c>
      <c r="Z6" s="1992" t="s">
        <v>869</v>
      </c>
      <c r="AA6" s="864" t="s">
        <v>594</v>
      </c>
      <c r="AC6" s="688"/>
      <c r="AD6" s="688"/>
      <c r="AE6" s="688"/>
      <c r="AF6" s="689"/>
      <c r="AG6" s="689"/>
    </row>
    <row r="7" spans="2:33" ht="16.850000000000001" customHeight="1">
      <c r="B7" s="700" t="s">
        <v>294</v>
      </c>
      <c r="C7" s="868" t="s">
        <v>473</v>
      </c>
      <c r="D7" s="2000"/>
      <c r="E7" s="865" t="s">
        <v>154</v>
      </c>
      <c r="F7" s="866" t="s">
        <v>155</v>
      </c>
      <c r="G7" s="1993"/>
      <c r="H7" s="1994"/>
      <c r="I7" s="1994"/>
      <c r="J7" s="2001"/>
      <c r="K7" s="867" t="s">
        <v>569</v>
      </c>
      <c r="L7" s="861"/>
      <c r="M7" s="869" t="s">
        <v>154</v>
      </c>
      <c r="N7" s="866" t="s">
        <v>155</v>
      </c>
      <c r="O7" s="1993"/>
      <c r="P7" s="1994"/>
      <c r="Q7" s="2001"/>
      <c r="R7" s="2001"/>
      <c r="S7" s="870" t="s">
        <v>569</v>
      </c>
      <c r="T7" s="699"/>
      <c r="U7" s="865" t="s">
        <v>154</v>
      </c>
      <c r="V7" s="866" t="s">
        <v>155</v>
      </c>
      <c r="W7" s="866" t="s">
        <v>568</v>
      </c>
      <c r="X7" s="866" t="s">
        <v>571</v>
      </c>
      <c r="Y7" s="1994"/>
      <c r="Z7" s="2001"/>
      <c r="AA7" s="870" t="s">
        <v>569</v>
      </c>
      <c r="AC7" s="688"/>
      <c r="AD7" s="688"/>
      <c r="AE7" s="688"/>
      <c r="AF7" s="689"/>
      <c r="AG7" s="689"/>
    </row>
    <row r="8" spans="2:33" ht="14.6">
      <c r="B8" s="571">
        <v>1</v>
      </c>
      <c r="C8" s="1495" t="s">
        <v>349</v>
      </c>
      <c r="D8" s="1496">
        <v>101</v>
      </c>
      <c r="E8" s="1497">
        <v>3</v>
      </c>
      <c r="F8" s="1498">
        <v>103000</v>
      </c>
      <c r="G8" s="1499">
        <v>4.3999999999999997E-2</v>
      </c>
      <c r="H8" s="1499">
        <v>5.8999999999999997E-2</v>
      </c>
      <c r="I8" s="1507">
        <f t="shared" ref="I8" si="0">F8*H8</f>
        <v>6077</v>
      </c>
      <c r="J8" s="1609">
        <v>9.0999999999999998E-2</v>
      </c>
      <c r="K8" s="1499">
        <v>0.188</v>
      </c>
      <c r="L8" s="1501"/>
      <c r="M8" s="1497">
        <v>4</v>
      </c>
      <c r="N8" s="1498">
        <v>142000</v>
      </c>
      <c r="O8" s="1499">
        <v>5.1999999999999998E-2</v>
      </c>
      <c r="P8" s="1499">
        <v>4.3999999999999997E-2</v>
      </c>
      <c r="Q8" s="1507">
        <f t="shared" ref="Q8" si="1">N8*P8</f>
        <v>6248</v>
      </c>
      <c r="R8" s="1609">
        <v>0.10099999999999999</v>
      </c>
      <c r="S8" s="1499">
        <v>0</v>
      </c>
      <c r="T8" s="1502"/>
      <c r="U8" s="1497">
        <v>5</v>
      </c>
      <c r="V8" s="1498">
        <v>82000</v>
      </c>
      <c r="W8" s="1499">
        <v>7.1999999999999995E-2</v>
      </c>
      <c r="X8" s="1499">
        <v>9.0999999999999998E-2</v>
      </c>
      <c r="Y8" s="1503">
        <v>7462</v>
      </c>
      <c r="Z8" s="1609">
        <v>9.0999999999999998E-2</v>
      </c>
      <c r="AA8" s="1499">
        <v>-0.04</v>
      </c>
      <c r="AC8" s="690"/>
      <c r="AD8" s="712"/>
      <c r="AE8" s="690"/>
      <c r="AF8" s="691"/>
      <c r="AG8" s="692"/>
    </row>
    <row r="9" spans="2:33" ht="14.4" customHeight="1">
      <c r="B9" s="887">
        <v>2</v>
      </c>
      <c r="C9" s="1504" t="s">
        <v>570</v>
      </c>
      <c r="D9" s="1505">
        <v>1071</v>
      </c>
      <c r="E9" s="1506">
        <v>11</v>
      </c>
      <c r="F9" s="1507">
        <v>73000</v>
      </c>
      <c r="G9" s="1508">
        <v>4.8000000000000001E-2</v>
      </c>
      <c r="H9" s="1508">
        <v>3.2000000000000001E-2</v>
      </c>
      <c r="I9" s="1509">
        <f t="shared" ref="I9:I21" si="2">F9*H9</f>
        <v>2336</v>
      </c>
      <c r="J9" s="1610">
        <v>3.7999999999999999E-2</v>
      </c>
      <c r="K9" s="1508">
        <v>0.112</v>
      </c>
      <c r="L9" s="890"/>
      <c r="M9" s="1506">
        <v>13</v>
      </c>
      <c r="N9" s="1507">
        <v>75000</v>
      </c>
      <c r="O9" s="1508">
        <v>6.0999999999999999E-2</v>
      </c>
      <c r="P9" s="1508">
        <v>3.6999999999999998E-2</v>
      </c>
      <c r="Q9" s="1509">
        <v>2775</v>
      </c>
      <c r="R9" s="1610">
        <v>4.4999999999999998E-2</v>
      </c>
      <c r="S9" s="1508">
        <v>2.5000000000000001E-2</v>
      </c>
      <c r="T9" s="759"/>
      <c r="U9" s="1506">
        <v>10</v>
      </c>
      <c r="V9" s="1507">
        <v>75000</v>
      </c>
      <c r="W9" s="1508">
        <v>8.7999999999999995E-2</v>
      </c>
      <c r="X9" s="1508">
        <v>3.1E-2</v>
      </c>
      <c r="Y9" s="1510">
        <v>2325</v>
      </c>
      <c r="Z9" s="1610">
        <v>3.1E-2</v>
      </c>
      <c r="AA9" s="1508">
        <v>-7.0000000000000001E-3</v>
      </c>
      <c r="AC9" s="690"/>
      <c r="AD9" s="712"/>
      <c r="AE9" s="690"/>
      <c r="AF9" s="691"/>
      <c r="AG9" s="692"/>
    </row>
    <row r="10" spans="2:33" ht="14.6">
      <c r="B10" s="571">
        <f t="shared" ref="B10:B23" si="3">B9+1</f>
        <v>3</v>
      </c>
      <c r="C10" s="1511" t="s">
        <v>356</v>
      </c>
      <c r="D10" s="1496">
        <v>139</v>
      </c>
      <c r="E10" s="1512">
        <v>6</v>
      </c>
      <c r="F10" s="1513">
        <v>97000</v>
      </c>
      <c r="G10" s="1514">
        <v>7.9000000000000001E-2</v>
      </c>
      <c r="H10" s="1514">
        <v>0.25700000000000001</v>
      </c>
      <c r="I10" s="1500">
        <v>24929</v>
      </c>
      <c r="J10" s="1611">
        <v>0.27200000000000002</v>
      </c>
      <c r="K10" s="1514">
        <v>0.105</v>
      </c>
      <c r="L10" s="890"/>
      <c r="M10" s="1512">
        <v>6</v>
      </c>
      <c r="N10" s="1513">
        <v>132000</v>
      </c>
      <c r="O10" s="1514">
        <v>0.126</v>
      </c>
      <c r="P10" s="1514">
        <v>0.182</v>
      </c>
      <c r="Q10" s="1500">
        <v>24024</v>
      </c>
      <c r="R10" s="1611">
        <v>0.26700000000000002</v>
      </c>
      <c r="S10" s="1514">
        <v>1.2999999999999999E-2</v>
      </c>
      <c r="T10" s="759"/>
      <c r="U10" s="1512">
        <v>6</v>
      </c>
      <c r="V10" s="1513">
        <v>132000</v>
      </c>
      <c r="W10" s="1514">
        <v>0.126</v>
      </c>
      <c r="X10" s="1514">
        <v>0.182</v>
      </c>
      <c r="Y10" s="1515">
        <v>24024</v>
      </c>
      <c r="Z10" s="1611">
        <v>0.247</v>
      </c>
      <c r="AA10" s="1514">
        <v>1.2999999999999999E-2</v>
      </c>
      <c r="AC10" s="690"/>
      <c r="AD10" s="712"/>
      <c r="AE10" s="690"/>
      <c r="AF10" s="691"/>
      <c r="AG10" s="692"/>
    </row>
    <row r="11" spans="2:33" ht="14.6">
      <c r="B11" s="887">
        <f t="shared" si="3"/>
        <v>4</v>
      </c>
      <c r="C11" s="1504" t="s">
        <v>199</v>
      </c>
      <c r="D11" s="1505">
        <v>14</v>
      </c>
      <c r="E11" s="1506">
        <v>4</v>
      </c>
      <c r="F11" s="1507">
        <v>71000</v>
      </c>
      <c r="G11" s="1508">
        <v>3.7999999999999999E-2</v>
      </c>
      <c r="H11" s="1508">
        <v>0.28999999999999998</v>
      </c>
      <c r="I11" s="1509">
        <f t="shared" si="2"/>
        <v>20590</v>
      </c>
      <c r="J11" s="1610">
        <v>0.29299999999999998</v>
      </c>
      <c r="K11" s="1508">
        <v>0.13300000000000001</v>
      </c>
      <c r="L11" s="890"/>
      <c r="M11" s="1506">
        <v>5</v>
      </c>
      <c r="N11" s="1507">
        <v>112000</v>
      </c>
      <c r="O11" s="1508">
        <v>1.7999999999999999E-2</v>
      </c>
      <c r="P11" s="1508">
        <v>0.26800000000000002</v>
      </c>
      <c r="Q11" s="1509">
        <v>30016</v>
      </c>
      <c r="R11" s="1610">
        <v>0.26300000000000001</v>
      </c>
      <c r="S11" s="1508">
        <v>0.13300000000000001</v>
      </c>
      <c r="T11" s="759"/>
      <c r="U11" s="1506">
        <v>7</v>
      </c>
      <c r="V11" s="1507">
        <v>131000</v>
      </c>
      <c r="W11" s="1508">
        <v>5.3999999999999999E-2</v>
      </c>
      <c r="X11" s="1508">
        <v>0.318</v>
      </c>
      <c r="Y11" s="1510">
        <v>41658</v>
      </c>
      <c r="Z11" s="1610">
        <v>0.25800000000000001</v>
      </c>
      <c r="AA11" s="1508">
        <v>0</v>
      </c>
      <c r="AC11" s="690"/>
      <c r="AD11" s="712"/>
      <c r="AE11" s="690"/>
      <c r="AF11" s="691"/>
      <c r="AG11" s="692"/>
    </row>
    <row r="12" spans="2:33" ht="14.6">
      <c r="B12" s="571">
        <f t="shared" si="3"/>
        <v>5</v>
      </c>
      <c r="C12" s="1511" t="s">
        <v>200</v>
      </c>
      <c r="D12" s="1496">
        <v>16100</v>
      </c>
      <c r="E12" s="1512">
        <v>20</v>
      </c>
      <c r="F12" s="1513">
        <v>457000</v>
      </c>
      <c r="G12" s="1514">
        <v>0.155</v>
      </c>
      <c r="H12" s="1514">
        <v>0.13600000000000001</v>
      </c>
      <c r="I12" s="1500">
        <f t="shared" si="2"/>
        <v>62152.000000000007</v>
      </c>
      <c r="J12" s="1611">
        <v>0.113</v>
      </c>
      <c r="K12" s="1514">
        <v>0.13200000000000001</v>
      </c>
      <c r="L12" s="890"/>
      <c r="M12" s="1512">
        <v>20</v>
      </c>
      <c r="N12" s="1513">
        <v>536000</v>
      </c>
      <c r="O12" s="1514">
        <v>0.13100000000000001</v>
      </c>
      <c r="P12" s="1514">
        <v>0.114</v>
      </c>
      <c r="Q12" s="1500">
        <v>61104</v>
      </c>
      <c r="R12" s="1611">
        <v>0.114</v>
      </c>
      <c r="S12" s="1514">
        <v>0.315</v>
      </c>
      <c r="T12" s="759"/>
      <c r="U12" s="1512">
        <v>20</v>
      </c>
      <c r="V12" s="1513">
        <v>377000</v>
      </c>
      <c r="W12" s="1514">
        <v>4.1000000000000002E-2</v>
      </c>
      <c r="X12" s="1514">
        <v>0.11899999999999999</v>
      </c>
      <c r="Y12" s="1515">
        <v>44863</v>
      </c>
      <c r="Z12" s="1611">
        <v>0.10400000000000001</v>
      </c>
      <c r="AA12" s="1514">
        <v>-8.0000000000000002E-3</v>
      </c>
      <c r="AC12" s="690"/>
      <c r="AD12" s="712"/>
      <c r="AE12" s="690"/>
      <c r="AF12" s="691"/>
      <c r="AG12" s="692"/>
    </row>
    <row r="13" spans="2:33" ht="14.6">
      <c r="B13" s="887">
        <f t="shared" si="3"/>
        <v>6</v>
      </c>
      <c r="C13" s="1504" t="s">
        <v>201</v>
      </c>
      <c r="D13" s="1505">
        <v>16239</v>
      </c>
      <c r="E13" s="1506">
        <v>11</v>
      </c>
      <c r="F13" s="1507">
        <v>145000</v>
      </c>
      <c r="G13" s="1508">
        <v>7.9000000000000001E-2</v>
      </c>
      <c r="H13" s="1508">
        <v>0.13400000000000001</v>
      </c>
      <c r="I13" s="1509">
        <f t="shared" si="2"/>
        <v>19430</v>
      </c>
      <c r="J13" s="1610">
        <v>0.115</v>
      </c>
      <c r="K13" s="1508">
        <v>0.13200000000000001</v>
      </c>
      <c r="L13" s="890"/>
      <c r="M13" s="1506">
        <v>13</v>
      </c>
      <c r="N13" s="1507">
        <v>137000</v>
      </c>
      <c r="O13" s="1508">
        <v>5.3999999999999999E-2</v>
      </c>
      <c r="P13" s="1508">
        <v>0.10299999999999999</v>
      </c>
      <c r="Q13" s="1509">
        <v>14111</v>
      </c>
      <c r="R13" s="1610">
        <v>0.106</v>
      </c>
      <c r="S13" s="1508">
        <v>0.14299999999999999</v>
      </c>
      <c r="T13" s="759"/>
      <c r="U13" s="1506">
        <v>14</v>
      </c>
      <c r="V13" s="1507">
        <v>139000</v>
      </c>
      <c r="W13" s="1508">
        <v>6.6000000000000003E-2</v>
      </c>
      <c r="X13" s="1508">
        <v>0.129</v>
      </c>
      <c r="Y13" s="1510">
        <v>17931</v>
      </c>
      <c r="Z13" s="1610">
        <v>0.1</v>
      </c>
      <c r="AA13" s="1508">
        <v>7.0000000000000001E-3</v>
      </c>
      <c r="AC13" s="690"/>
      <c r="AD13" s="712"/>
      <c r="AE13" s="690"/>
      <c r="AF13" s="691"/>
      <c r="AG13" s="692"/>
    </row>
    <row r="14" spans="2:33" ht="14.6">
      <c r="B14" s="571">
        <f t="shared" si="3"/>
        <v>7</v>
      </c>
      <c r="C14" s="1511" t="s">
        <v>202</v>
      </c>
      <c r="D14" s="1496">
        <v>181</v>
      </c>
      <c r="E14" s="1512">
        <v>5</v>
      </c>
      <c r="F14" s="1513">
        <v>97000</v>
      </c>
      <c r="G14" s="1514">
        <v>6.0999999999999999E-2</v>
      </c>
      <c r="H14" s="1514">
        <v>0.10100000000000001</v>
      </c>
      <c r="I14" s="1500">
        <f t="shared" si="2"/>
        <v>9797</v>
      </c>
      <c r="J14" s="1611">
        <v>5.8000000000000003E-2</v>
      </c>
      <c r="K14" s="1514">
        <v>5.7000000000000002E-2</v>
      </c>
      <c r="L14" s="890"/>
      <c r="M14" s="1512">
        <v>9</v>
      </c>
      <c r="N14" s="1513">
        <v>105000</v>
      </c>
      <c r="O14" s="1514">
        <v>4.8000000000000001E-2</v>
      </c>
      <c r="P14" s="1514">
        <v>9.5000000000000001E-2</v>
      </c>
      <c r="Q14" s="1500">
        <v>9975</v>
      </c>
      <c r="R14" s="1611">
        <v>9.4E-2</v>
      </c>
      <c r="S14" s="1514">
        <v>5.8000000000000003E-2</v>
      </c>
      <c r="T14" s="759"/>
      <c r="U14" s="1512">
        <v>8</v>
      </c>
      <c r="V14" s="1513">
        <v>109000</v>
      </c>
      <c r="W14" s="1514">
        <v>6.5000000000000002E-2</v>
      </c>
      <c r="X14" s="1514">
        <v>9.9000000000000005E-2</v>
      </c>
      <c r="Y14" s="1515">
        <v>10791</v>
      </c>
      <c r="Z14" s="1611">
        <v>6.3E-2</v>
      </c>
      <c r="AA14" s="1514">
        <v>-3.9E-2</v>
      </c>
      <c r="AC14" s="690"/>
      <c r="AD14" s="712"/>
      <c r="AE14" s="690"/>
      <c r="AF14" s="691"/>
      <c r="AG14" s="692"/>
    </row>
    <row r="15" spans="2:33" ht="14.6">
      <c r="B15" s="887">
        <f t="shared" si="3"/>
        <v>8</v>
      </c>
      <c r="C15" s="1504" t="s">
        <v>203</v>
      </c>
      <c r="D15" s="1505">
        <v>222</v>
      </c>
      <c r="E15" s="1506">
        <v>12</v>
      </c>
      <c r="F15" s="1507">
        <v>142000</v>
      </c>
      <c r="G15" s="1508">
        <v>6.0999999999999999E-2</v>
      </c>
      <c r="H15" s="1508">
        <v>0.17399999999999999</v>
      </c>
      <c r="I15" s="1509">
        <f t="shared" si="2"/>
        <v>24708</v>
      </c>
      <c r="J15" s="1610">
        <v>0.153</v>
      </c>
      <c r="K15" s="1508">
        <v>4.7E-2</v>
      </c>
      <c r="L15" s="890"/>
      <c r="M15" s="1506">
        <v>12</v>
      </c>
      <c r="N15" s="1507">
        <v>162000</v>
      </c>
      <c r="O15" s="1508">
        <v>9.5000000000000001E-2</v>
      </c>
      <c r="P15" s="1508">
        <v>0.183</v>
      </c>
      <c r="Q15" s="1509">
        <v>29646</v>
      </c>
      <c r="R15" s="1610">
        <v>0.16</v>
      </c>
      <c r="S15" s="1508">
        <v>7.3999999999999996E-2</v>
      </c>
      <c r="T15" s="759"/>
      <c r="U15" s="1506">
        <v>10</v>
      </c>
      <c r="V15" s="1507">
        <v>131000</v>
      </c>
      <c r="W15" s="1508">
        <v>0.09</v>
      </c>
      <c r="X15" s="1508">
        <v>0.2</v>
      </c>
      <c r="Y15" s="1510">
        <v>26200</v>
      </c>
      <c r="Z15" s="1610">
        <v>0.153</v>
      </c>
      <c r="AA15" s="1508">
        <v>-3.1E-2</v>
      </c>
      <c r="AC15" s="690"/>
      <c r="AD15" s="712"/>
      <c r="AE15" s="690"/>
      <c r="AF15" s="691"/>
      <c r="AG15" s="692"/>
    </row>
    <row r="16" spans="2:33" ht="14.6">
      <c r="B16" s="571">
        <f t="shared" si="3"/>
        <v>9</v>
      </c>
      <c r="C16" s="1495" t="s">
        <v>204</v>
      </c>
      <c r="D16" s="1496">
        <v>251</v>
      </c>
      <c r="E16" s="1497">
        <v>12</v>
      </c>
      <c r="F16" s="1498">
        <v>159000</v>
      </c>
      <c r="G16" s="1499">
        <v>8.2000000000000003E-2</v>
      </c>
      <c r="H16" s="1499">
        <v>0.13100000000000001</v>
      </c>
      <c r="I16" s="1500">
        <f t="shared" si="2"/>
        <v>20829</v>
      </c>
      <c r="J16" s="1611">
        <v>9.7000000000000003E-2</v>
      </c>
      <c r="K16" s="1499">
        <v>0.191</v>
      </c>
      <c r="L16" s="1501"/>
      <c r="M16" s="1497">
        <v>15</v>
      </c>
      <c r="N16" s="1498">
        <v>153000</v>
      </c>
      <c r="O16" s="1499">
        <v>7.6999999999999999E-2</v>
      </c>
      <c r="P16" s="1499">
        <v>0.14000000000000001</v>
      </c>
      <c r="Q16" s="1500">
        <v>21420.000000000004</v>
      </c>
      <c r="R16" s="1611">
        <v>0.114</v>
      </c>
      <c r="S16" s="1499">
        <v>9.5000000000000001E-2</v>
      </c>
      <c r="T16" s="1502"/>
      <c r="U16" s="1497">
        <v>10</v>
      </c>
      <c r="V16" s="1498">
        <v>135000</v>
      </c>
      <c r="W16" s="1499">
        <v>8.5000000000000006E-2</v>
      </c>
      <c r="X16" s="1499">
        <v>0.13900000000000001</v>
      </c>
      <c r="Y16" s="1515">
        <v>18765</v>
      </c>
      <c r="Z16" s="1611">
        <v>8.900000000000001E-2</v>
      </c>
      <c r="AA16" s="1499">
        <v>0</v>
      </c>
      <c r="AC16" s="690"/>
      <c r="AD16" s="712"/>
      <c r="AE16" s="690"/>
      <c r="AF16" s="691"/>
      <c r="AG16" s="692"/>
    </row>
    <row r="17" spans="2:37" ht="14.6">
      <c r="B17" s="887">
        <f t="shared" si="3"/>
        <v>10</v>
      </c>
      <c r="C17" s="1504" t="s">
        <v>573</v>
      </c>
      <c r="D17" s="1505">
        <v>256</v>
      </c>
      <c r="E17" s="1506">
        <v>9</v>
      </c>
      <c r="F17" s="1507">
        <v>136000</v>
      </c>
      <c r="G17" s="1508">
        <v>0.11700000000000001</v>
      </c>
      <c r="H17" s="1508">
        <v>0.14299999999999999</v>
      </c>
      <c r="I17" s="1509">
        <f t="shared" si="2"/>
        <v>19448</v>
      </c>
      <c r="J17" s="1610">
        <v>9.0999999999999998E-2</v>
      </c>
      <c r="K17" s="1508">
        <v>0.187</v>
      </c>
      <c r="L17" s="890"/>
      <c r="M17" s="1506">
        <v>10</v>
      </c>
      <c r="N17" s="1507">
        <v>129000</v>
      </c>
      <c r="O17" s="1508">
        <v>0.11600000000000001</v>
      </c>
      <c r="P17" s="1508">
        <v>0.17</v>
      </c>
      <c r="Q17" s="1509">
        <v>21930</v>
      </c>
      <c r="R17" s="1610">
        <v>0.10199999999999999</v>
      </c>
      <c r="S17" s="1508">
        <v>8.7999999999999995E-2</v>
      </c>
      <c r="T17" s="759"/>
      <c r="U17" s="1506">
        <v>8</v>
      </c>
      <c r="V17" s="1507">
        <v>118000</v>
      </c>
      <c r="W17" s="1508">
        <v>0.108</v>
      </c>
      <c r="X17" s="1508">
        <v>0.14299999999999999</v>
      </c>
      <c r="Y17" s="1510">
        <v>16874</v>
      </c>
      <c r="Z17" s="1610">
        <v>8.6999999999999994E-2</v>
      </c>
      <c r="AA17" s="1508">
        <v>-1.4999999999999999E-2</v>
      </c>
      <c r="AC17" s="690"/>
      <c r="AD17" s="712"/>
      <c r="AE17" s="690"/>
      <c r="AF17" s="691"/>
      <c r="AG17" s="692"/>
    </row>
    <row r="18" spans="2:37" ht="14.6">
      <c r="B18" s="571">
        <f t="shared" si="3"/>
        <v>11</v>
      </c>
      <c r="C18" s="1495" t="s">
        <v>205</v>
      </c>
      <c r="D18" s="1496">
        <v>28</v>
      </c>
      <c r="E18" s="1497">
        <v>12</v>
      </c>
      <c r="F18" s="1498">
        <v>173000</v>
      </c>
      <c r="G18" s="1499">
        <v>0.06</v>
      </c>
      <c r="H18" s="1499">
        <v>0.189</v>
      </c>
      <c r="I18" s="1500">
        <f t="shared" si="2"/>
        <v>32697</v>
      </c>
      <c r="J18" s="1611">
        <v>0.188</v>
      </c>
      <c r="K18" s="1499">
        <v>0.10199999999999999</v>
      </c>
      <c r="L18" s="1501"/>
      <c r="M18" s="1497">
        <v>13</v>
      </c>
      <c r="N18" s="1498">
        <v>169000</v>
      </c>
      <c r="O18" s="1499">
        <v>7.3999999999999996E-2</v>
      </c>
      <c r="P18" s="1499">
        <v>0.20899999999999999</v>
      </c>
      <c r="Q18" s="1500">
        <v>35321</v>
      </c>
      <c r="R18" s="1611">
        <v>0.17</v>
      </c>
      <c r="S18" s="1499">
        <v>7.6999999999999999E-2</v>
      </c>
      <c r="T18" s="1502"/>
      <c r="U18" s="1497">
        <v>11</v>
      </c>
      <c r="V18" s="1498">
        <v>146000</v>
      </c>
      <c r="W18" s="1499">
        <v>5.6000000000000001E-2</v>
      </c>
      <c r="X18" s="1499">
        <v>0.21099999999999999</v>
      </c>
      <c r="Y18" s="1515">
        <v>30806</v>
      </c>
      <c r="Z18" s="1611">
        <v>0.16699999999999998</v>
      </c>
      <c r="AA18" s="1499">
        <v>-1.2E-2</v>
      </c>
      <c r="AC18" s="690"/>
      <c r="AD18" s="712"/>
      <c r="AE18" s="690"/>
      <c r="AF18" s="691"/>
      <c r="AG18" s="692"/>
    </row>
    <row r="19" spans="2:37" ht="14.6">
      <c r="B19" s="887">
        <f t="shared" si="3"/>
        <v>12</v>
      </c>
      <c r="C19" s="1504" t="s">
        <v>295</v>
      </c>
      <c r="D19" s="1505">
        <v>282</v>
      </c>
      <c r="E19" s="1506">
        <v>20</v>
      </c>
      <c r="F19" s="1507">
        <v>202000</v>
      </c>
      <c r="G19" s="1508">
        <v>5.3999999999999999E-2</v>
      </c>
      <c r="H19" s="1508">
        <v>0.191</v>
      </c>
      <c r="I19" s="1509">
        <f t="shared" si="2"/>
        <v>38582</v>
      </c>
      <c r="J19" s="1610">
        <v>0.189</v>
      </c>
      <c r="K19" s="1508">
        <v>9.7000000000000003E-2</v>
      </c>
      <c r="L19" s="890"/>
      <c r="M19" s="1506">
        <v>19</v>
      </c>
      <c r="N19" s="1507">
        <v>195000</v>
      </c>
      <c r="O19" s="1508">
        <v>5.3999999999999999E-2</v>
      </c>
      <c r="P19" s="1508">
        <v>0.18099999999999999</v>
      </c>
      <c r="Q19" s="1509">
        <v>35295</v>
      </c>
      <c r="R19" s="1610">
        <v>0.17199999999999999</v>
      </c>
      <c r="S19" s="1508">
        <v>0</v>
      </c>
      <c r="T19" s="759"/>
      <c r="U19" s="1506">
        <v>12</v>
      </c>
      <c r="V19" s="1507">
        <v>148000</v>
      </c>
      <c r="W19" s="1508">
        <v>4.4999999999999998E-2</v>
      </c>
      <c r="X19" s="1508">
        <v>0.158</v>
      </c>
      <c r="Y19" s="1510">
        <v>23384</v>
      </c>
      <c r="Z19" s="1610">
        <v>0.13100000000000001</v>
      </c>
      <c r="AA19" s="1508">
        <v>-6.6000000000000003E-2</v>
      </c>
      <c r="AC19" s="690"/>
      <c r="AD19" s="712"/>
      <c r="AE19" s="690"/>
      <c r="AF19" s="691"/>
      <c r="AG19" s="692"/>
    </row>
    <row r="20" spans="2:37" ht="14.6">
      <c r="B20" s="571">
        <f t="shared" si="3"/>
        <v>13</v>
      </c>
      <c r="C20" s="1495" t="s">
        <v>709</v>
      </c>
      <c r="D20" s="1496">
        <v>283</v>
      </c>
      <c r="E20" s="1497">
        <v>12</v>
      </c>
      <c r="F20" s="1498">
        <v>187000</v>
      </c>
      <c r="G20" s="1499">
        <v>7.0999999999999994E-2</v>
      </c>
      <c r="H20" s="1499">
        <v>0.28999999999999998</v>
      </c>
      <c r="I20" s="1500">
        <f t="shared" si="2"/>
        <v>54229.999999999993</v>
      </c>
      <c r="J20" s="1611">
        <v>0.3</v>
      </c>
      <c r="K20" s="1499">
        <v>6.7000000000000004E-2</v>
      </c>
      <c r="L20" s="1501"/>
      <c r="M20" s="1497">
        <v>24</v>
      </c>
      <c r="N20" s="1498">
        <v>186000</v>
      </c>
      <c r="O20" s="1499">
        <v>6.6000000000000003E-2</v>
      </c>
      <c r="P20" s="1499">
        <v>0.32</v>
      </c>
      <c r="Q20" s="1500">
        <v>59520</v>
      </c>
      <c r="R20" s="1611">
        <v>0.31900000000000001</v>
      </c>
      <c r="S20" s="1499">
        <v>0.13600000000000001</v>
      </c>
      <c r="T20" s="1502"/>
      <c r="U20" s="1497">
        <v>13</v>
      </c>
      <c r="V20" s="1498">
        <v>162000</v>
      </c>
      <c r="W20" s="1499">
        <v>8.4000000000000005E-2</v>
      </c>
      <c r="X20" s="1499">
        <v>0.36099999999999999</v>
      </c>
      <c r="Y20" s="1515">
        <v>58482</v>
      </c>
      <c r="Z20" s="1611">
        <v>0.28800000000000003</v>
      </c>
      <c r="AA20" s="1499">
        <v>0</v>
      </c>
      <c r="AC20" s="690"/>
      <c r="AD20" s="712"/>
      <c r="AE20" s="690"/>
      <c r="AF20" s="691"/>
      <c r="AG20" s="692"/>
    </row>
    <row r="21" spans="2:37" ht="14.6">
      <c r="B21" s="887">
        <f t="shared" si="3"/>
        <v>14</v>
      </c>
      <c r="C21" s="1504" t="s">
        <v>574</v>
      </c>
      <c r="D21" s="1505">
        <v>29</v>
      </c>
      <c r="E21" s="1506">
        <v>19</v>
      </c>
      <c r="F21" s="1507">
        <v>163000</v>
      </c>
      <c r="G21" s="1508">
        <v>0.05</v>
      </c>
      <c r="H21" s="1508">
        <v>0.219</v>
      </c>
      <c r="I21" s="1509">
        <f t="shared" si="2"/>
        <v>35697</v>
      </c>
      <c r="J21" s="1610">
        <v>0.20799999999999999</v>
      </c>
      <c r="K21" s="1508">
        <v>0.106</v>
      </c>
      <c r="L21" s="890"/>
      <c r="M21" s="1506">
        <v>19</v>
      </c>
      <c r="N21" s="1507">
        <v>191000</v>
      </c>
      <c r="O21" s="1508">
        <v>4.2000000000000003E-2</v>
      </c>
      <c r="P21" s="1508">
        <v>0.21299999999999999</v>
      </c>
      <c r="Q21" s="1509">
        <v>40683</v>
      </c>
      <c r="R21" s="1610">
        <v>0.187</v>
      </c>
      <c r="S21" s="1508">
        <v>-7.0000000000000001E-3</v>
      </c>
      <c r="T21" s="759"/>
      <c r="U21" s="1506">
        <v>18</v>
      </c>
      <c r="V21" s="1507">
        <v>163000</v>
      </c>
      <c r="W21" s="1508">
        <v>0.06</v>
      </c>
      <c r="X21" s="1508">
        <v>0.219</v>
      </c>
      <c r="Y21" s="1510">
        <v>35697</v>
      </c>
      <c r="Z21" s="1610">
        <v>0.17100000000000001</v>
      </c>
      <c r="AA21" s="1508">
        <v>-7.1999999999999995E-2</v>
      </c>
      <c r="AC21" s="690"/>
      <c r="AD21" s="712"/>
      <c r="AE21" s="690"/>
      <c r="AF21" s="691"/>
      <c r="AG21" s="692"/>
    </row>
    <row r="22" spans="2:37" ht="14.6">
      <c r="B22" s="571">
        <f t="shared" si="3"/>
        <v>15</v>
      </c>
      <c r="C22" s="1495" t="s">
        <v>206</v>
      </c>
      <c r="D22" s="1496">
        <v>310</v>
      </c>
      <c r="E22" s="1497">
        <v>9</v>
      </c>
      <c r="F22" s="1498">
        <v>118000</v>
      </c>
      <c r="G22" s="1499">
        <v>5.3999999999999999E-2</v>
      </c>
      <c r="H22" s="1499">
        <v>0.14199999999999999</v>
      </c>
      <c r="I22" s="1515">
        <f t="shared" ref="I22" si="4">H22*F22</f>
        <v>16756</v>
      </c>
      <c r="J22" s="1611">
        <v>0.11799999999999999</v>
      </c>
      <c r="K22" s="1499">
        <v>0.10199999999999999</v>
      </c>
      <c r="L22" s="1501"/>
      <c r="M22" s="1497">
        <v>8</v>
      </c>
      <c r="N22" s="1498">
        <v>144000</v>
      </c>
      <c r="O22" s="1499">
        <v>4.4999999999999998E-2</v>
      </c>
      <c r="P22" s="1499">
        <v>0.16800000000000001</v>
      </c>
      <c r="Q22" s="1500">
        <v>24192</v>
      </c>
      <c r="R22" s="1611">
        <v>0.129</v>
      </c>
      <c r="S22" s="1499">
        <v>3.6999999999999998E-2</v>
      </c>
      <c r="T22" s="1502"/>
      <c r="U22" s="1497">
        <v>8</v>
      </c>
      <c r="V22" s="1498">
        <v>137000</v>
      </c>
      <c r="W22" s="1499">
        <v>6.3E-2</v>
      </c>
      <c r="X22" s="1499">
        <v>0.14099999999999999</v>
      </c>
      <c r="Y22" s="1515">
        <v>19316.999999999996</v>
      </c>
      <c r="Z22" s="1611">
        <v>0.105</v>
      </c>
      <c r="AA22" s="1499">
        <v>1.6E-2</v>
      </c>
      <c r="AC22" s="690"/>
      <c r="AD22" s="712"/>
      <c r="AE22" s="690"/>
      <c r="AF22" s="691"/>
      <c r="AG22" s="692"/>
    </row>
    <row r="23" spans="2:37" ht="14.6">
      <c r="B23" s="894">
        <f t="shared" si="3"/>
        <v>16</v>
      </c>
      <c r="C23" s="1504" t="s">
        <v>207</v>
      </c>
      <c r="D23" s="1505">
        <v>3102</v>
      </c>
      <c r="E23" s="1506">
        <v>9</v>
      </c>
      <c r="F23" s="1507">
        <v>146000</v>
      </c>
      <c r="G23" s="1508">
        <v>7.0999999999999994E-2</v>
      </c>
      <c r="H23" s="1508">
        <v>8.7999999999999995E-2</v>
      </c>
      <c r="I23" s="1507">
        <f t="shared" ref="I23" si="5">F23*H23</f>
        <v>12848</v>
      </c>
      <c r="J23" s="1610">
        <v>7.0000000000000007E-2</v>
      </c>
      <c r="K23" s="1508">
        <v>8.5999999999999993E-2</v>
      </c>
      <c r="L23" s="890"/>
      <c r="M23" s="1506">
        <v>9</v>
      </c>
      <c r="N23" s="1507">
        <v>159000</v>
      </c>
      <c r="O23" s="1508">
        <v>7.9000000000000001E-2</v>
      </c>
      <c r="P23" s="1508">
        <v>0.11700000000000001</v>
      </c>
      <c r="Q23" s="1507">
        <f t="shared" ref="Q23" si="6">N23*P23</f>
        <v>18603</v>
      </c>
      <c r="R23" s="1610">
        <v>6.4000000000000001E-2</v>
      </c>
      <c r="S23" s="1508">
        <v>8.5999999999999993E-2</v>
      </c>
      <c r="T23" s="759"/>
      <c r="U23" s="1506">
        <v>12</v>
      </c>
      <c r="V23" s="1507">
        <v>147000</v>
      </c>
      <c r="W23" s="1508">
        <v>5.6000000000000001E-2</v>
      </c>
      <c r="X23" s="1508">
        <v>0.10100000000000001</v>
      </c>
      <c r="Y23" s="1510">
        <v>14847.000000000002</v>
      </c>
      <c r="Z23" s="1610">
        <v>6.2E-2</v>
      </c>
      <c r="AA23" s="1508">
        <v>2E-3</v>
      </c>
      <c r="AC23" s="690"/>
      <c r="AD23" s="712"/>
      <c r="AE23" s="690"/>
      <c r="AF23" s="691"/>
      <c r="AG23" s="692"/>
    </row>
    <row r="24" spans="2:37" ht="21" customHeight="1">
      <c r="B24" s="571"/>
      <c r="C24" s="702"/>
      <c r="D24" s="713"/>
      <c r="E24" s="702"/>
      <c r="F24" s="702"/>
      <c r="G24" s="702"/>
      <c r="H24" s="702"/>
      <c r="I24" s="702"/>
      <c r="J24" s="1612" t="s">
        <v>0</v>
      </c>
      <c r="K24" s="702"/>
      <c r="L24" s="702"/>
      <c r="M24" s="571"/>
      <c r="N24" s="705"/>
      <c r="O24" s="704"/>
      <c r="P24" s="704"/>
      <c r="Q24" s="753" t="s">
        <v>0</v>
      </c>
      <c r="R24" s="1612" t="s">
        <v>0</v>
      </c>
      <c r="S24" s="704"/>
      <c r="T24" s="708"/>
      <c r="U24" s="690"/>
      <c r="V24" s="711"/>
      <c r="W24" s="690"/>
      <c r="X24" s="690"/>
      <c r="Y24" s="690"/>
      <c r="Z24" s="1612" t="s">
        <v>0</v>
      </c>
      <c r="AA24" s="709"/>
      <c r="AC24" s="690"/>
      <c r="AD24" s="708"/>
      <c r="AE24" s="690"/>
      <c r="AF24" s="691"/>
      <c r="AG24" s="692"/>
    </row>
    <row r="25" spans="2:37" ht="19.5" customHeight="1">
      <c r="B25" s="572"/>
      <c r="C25" s="573"/>
      <c r="D25" s="693"/>
      <c r="E25" s="1487" t="s">
        <v>0</v>
      </c>
      <c r="F25" s="1488"/>
      <c r="G25" s="1489" t="s">
        <v>590</v>
      </c>
      <c r="H25" s="1490">
        <f>H5</f>
        <v>2022</v>
      </c>
      <c r="I25" s="1488"/>
      <c r="J25" s="1608"/>
      <c r="K25" s="1488"/>
      <c r="L25" s="573"/>
      <c r="M25" s="1490" t="s">
        <v>0</v>
      </c>
      <c r="N25" s="1490"/>
      <c r="O25" s="1489" t="s">
        <v>590</v>
      </c>
      <c r="P25" s="1490">
        <f>P5</f>
        <v>2021</v>
      </c>
      <c r="Q25" s="1490"/>
      <c r="R25" s="1608"/>
      <c r="S25" s="1516"/>
      <c r="T25" s="573"/>
      <c r="U25" s="1492" t="s">
        <v>0</v>
      </c>
      <c r="V25" s="1493"/>
      <c r="W25" s="1489" t="s">
        <v>590</v>
      </c>
      <c r="X25" s="1517">
        <f>X5</f>
        <v>2020</v>
      </c>
      <c r="Y25" s="1493"/>
      <c r="Z25" s="1608"/>
      <c r="AA25" s="1494"/>
      <c r="AC25" s="693"/>
      <c r="AD25" s="686"/>
      <c r="AE25" s="694"/>
      <c r="AF25" s="693"/>
      <c r="AG25" s="693"/>
    </row>
    <row r="26" spans="2:37" ht="14.4" customHeight="1">
      <c r="B26" s="572"/>
      <c r="C26" s="573"/>
      <c r="D26" s="1995" t="s">
        <v>577</v>
      </c>
      <c r="E26" s="862" t="s">
        <v>152</v>
      </c>
      <c r="F26" s="863" t="s">
        <v>485</v>
      </c>
      <c r="G26" s="1992" t="s">
        <v>582</v>
      </c>
      <c r="H26" s="1992" t="s">
        <v>588</v>
      </c>
      <c r="I26" s="1992" t="s">
        <v>589</v>
      </c>
      <c r="J26" s="1992" t="s">
        <v>869</v>
      </c>
      <c r="K26" s="880" t="s">
        <v>594</v>
      </c>
      <c r="L26" s="573"/>
      <c r="M26" s="873" t="s">
        <v>152</v>
      </c>
      <c r="N26" s="863" t="s">
        <v>485</v>
      </c>
      <c r="O26" s="863" t="s">
        <v>153</v>
      </c>
      <c r="P26" s="863" t="s">
        <v>153</v>
      </c>
      <c r="Q26" s="873" t="s">
        <v>153</v>
      </c>
      <c r="R26" s="1992" t="s">
        <v>869</v>
      </c>
      <c r="S26" s="864" t="s">
        <v>594</v>
      </c>
      <c r="T26" s="706"/>
      <c r="U26" s="871" t="s">
        <v>152</v>
      </c>
      <c r="V26" s="872" t="s">
        <v>485</v>
      </c>
      <c r="W26" s="872" t="s">
        <v>153</v>
      </c>
      <c r="X26" s="872" t="s">
        <v>153</v>
      </c>
      <c r="Y26" s="873" t="s">
        <v>153</v>
      </c>
      <c r="Z26" s="1992" t="s">
        <v>869</v>
      </c>
      <c r="AA26" s="864" t="s">
        <v>594</v>
      </c>
      <c r="AC26" s="688"/>
      <c r="AD26" s="688"/>
      <c r="AE26" s="688"/>
      <c r="AF26" s="689"/>
      <c r="AG26" s="689"/>
    </row>
    <row r="27" spans="2:37" ht="16.399999999999999" customHeight="1">
      <c r="B27" s="1574"/>
      <c r="C27" s="868" t="s">
        <v>713</v>
      </c>
      <c r="D27" s="1996"/>
      <c r="E27" s="865" t="s">
        <v>154</v>
      </c>
      <c r="F27" s="866" t="s">
        <v>155</v>
      </c>
      <c r="G27" s="1993"/>
      <c r="H27" s="1994"/>
      <c r="I27" s="1994"/>
      <c r="J27" s="2001"/>
      <c r="K27" s="867" t="s">
        <v>569</v>
      </c>
      <c r="L27" s="861"/>
      <c r="M27" s="869" t="s">
        <v>154</v>
      </c>
      <c r="N27" s="866" t="s">
        <v>155</v>
      </c>
      <c r="O27" s="866" t="s">
        <v>575</v>
      </c>
      <c r="P27" s="866" t="s">
        <v>571</v>
      </c>
      <c r="Q27" s="869" t="s">
        <v>572</v>
      </c>
      <c r="R27" s="2001"/>
      <c r="S27" s="870" t="s">
        <v>569</v>
      </c>
      <c r="T27" s="706"/>
      <c r="U27" s="874" t="s">
        <v>154</v>
      </c>
      <c r="V27" s="875" t="s">
        <v>155</v>
      </c>
      <c r="W27" s="875" t="s">
        <v>575</v>
      </c>
      <c r="X27" s="875" t="s">
        <v>571</v>
      </c>
      <c r="Y27" s="869" t="s">
        <v>572</v>
      </c>
      <c r="Z27" s="2001"/>
      <c r="AA27" s="870" t="s">
        <v>569</v>
      </c>
      <c r="AC27" s="688"/>
      <c r="AD27" s="688"/>
      <c r="AE27" s="688"/>
      <c r="AF27" s="689"/>
      <c r="AG27" s="689"/>
    </row>
    <row r="28" spans="2:37" ht="14.6">
      <c r="B28" s="887">
        <v>17</v>
      </c>
      <c r="C28" s="1504" t="s">
        <v>576</v>
      </c>
      <c r="D28" s="1627">
        <v>412</v>
      </c>
      <c r="E28" s="1628">
        <v>7</v>
      </c>
      <c r="F28" s="1621">
        <v>121000</v>
      </c>
      <c r="G28" s="1629">
        <v>0.05</v>
      </c>
      <c r="H28" s="1629">
        <v>4.9000000000000002E-2</v>
      </c>
      <c r="I28" s="1621">
        <f t="shared" ref="I28:I34" si="7">F28*H28</f>
        <v>5929</v>
      </c>
      <c r="J28" s="1630">
        <v>1.7000000000000001E-2</v>
      </c>
      <c r="K28" s="1629">
        <v>0.115</v>
      </c>
      <c r="L28" s="702"/>
      <c r="M28" s="1520">
        <v>10</v>
      </c>
      <c r="N28" s="1521">
        <v>163000</v>
      </c>
      <c r="O28" s="1522">
        <v>4.2999999999999997E-2</v>
      </c>
      <c r="P28" s="1522">
        <v>6.0999999999999999E-2</v>
      </c>
      <c r="Q28" s="1507">
        <f t="shared" ref="Q28" si="8">N28*P28</f>
        <v>9943</v>
      </c>
      <c r="R28" s="1613">
        <v>1.9E-2</v>
      </c>
      <c r="S28" s="1522">
        <v>0.13700000000000001</v>
      </c>
      <c r="T28" s="893"/>
      <c r="U28" s="1520">
        <v>9</v>
      </c>
      <c r="V28" s="1521">
        <v>145000</v>
      </c>
      <c r="W28" s="1522">
        <v>5.0999999999999997E-2</v>
      </c>
      <c r="X28" s="1522">
        <v>5.8000000000000003E-2</v>
      </c>
      <c r="Y28" s="1523">
        <v>8410</v>
      </c>
      <c r="Z28" s="1613">
        <v>1.3000000000000001E-2</v>
      </c>
      <c r="AA28" s="1522">
        <v>8.0000000000000002E-3</v>
      </c>
      <c r="AC28" s="571"/>
      <c r="AD28" s="572"/>
      <c r="AE28" s="571"/>
      <c r="AF28" s="697"/>
      <c r="AG28" s="692"/>
    </row>
    <row r="29" spans="2:37" ht="14.6">
      <c r="B29" s="1524">
        <v>18</v>
      </c>
      <c r="C29" s="1511" t="s">
        <v>296</v>
      </c>
      <c r="D29" s="1525">
        <v>4312</v>
      </c>
      <c r="E29" s="1526">
        <v>5</v>
      </c>
      <c r="F29" s="1513">
        <v>160000</v>
      </c>
      <c r="G29" s="1514">
        <v>0.108</v>
      </c>
      <c r="H29" s="1514">
        <v>3.6999999999999998E-2</v>
      </c>
      <c r="I29" s="1513">
        <f>F29*H29</f>
        <v>5920</v>
      </c>
      <c r="J29" s="1625">
        <v>1.2E-2</v>
      </c>
      <c r="K29" s="1514">
        <v>0.156</v>
      </c>
      <c r="L29" s="702"/>
      <c r="M29" s="1527">
        <v>4</v>
      </c>
      <c r="N29" s="1528">
        <v>132000</v>
      </c>
      <c r="O29" s="1529">
        <v>0.10299999999999999</v>
      </c>
      <c r="P29" s="1529">
        <v>3.9E-2</v>
      </c>
      <c r="Q29" s="1530">
        <v>5148</v>
      </c>
      <c r="R29" s="1614">
        <v>0</v>
      </c>
      <c r="S29" s="1529">
        <v>6.9000000000000006E-2</v>
      </c>
      <c r="T29" s="893"/>
      <c r="U29" s="1527">
        <v>5</v>
      </c>
      <c r="V29" s="1528">
        <v>173000</v>
      </c>
      <c r="W29" s="1529">
        <v>0.112</v>
      </c>
      <c r="X29" s="1529">
        <v>4.5999999999999999E-2</v>
      </c>
      <c r="Y29" s="1530">
        <v>7958</v>
      </c>
      <c r="Z29" s="1614">
        <v>0</v>
      </c>
      <c r="AA29" s="1529">
        <v>0.11700000000000001</v>
      </c>
      <c r="AC29" s="571"/>
      <c r="AD29" s="572"/>
      <c r="AE29" s="571"/>
      <c r="AF29" s="697"/>
      <c r="AG29" s="692"/>
    </row>
    <row r="30" spans="2:37" ht="14.6">
      <c r="B30" s="887">
        <v>19</v>
      </c>
      <c r="C30" s="1504" t="s">
        <v>208</v>
      </c>
      <c r="D30" s="1518">
        <v>4321</v>
      </c>
      <c r="E30" s="1519">
        <v>9</v>
      </c>
      <c r="F30" s="1507">
        <v>136000</v>
      </c>
      <c r="G30" s="1508">
        <v>0.06</v>
      </c>
      <c r="H30" s="1508">
        <v>9.7000000000000003E-2</v>
      </c>
      <c r="I30" s="1507">
        <f>F30*H30</f>
        <v>13192</v>
      </c>
      <c r="J30" s="1631">
        <v>0.05</v>
      </c>
      <c r="K30" s="1508">
        <v>0.217</v>
      </c>
      <c r="L30" s="702"/>
      <c r="M30" s="1520">
        <v>8</v>
      </c>
      <c r="N30" s="1521">
        <v>125000</v>
      </c>
      <c r="O30" s="1522">
        <v>4.9000000000000002E-2</v>
      </c>
      <c r="P30" s="1522">
        <v>9.8000000000000004E-2</v>
      </c>
      <c r="Q30" s="1507">
        <f t="shared" ref="Q30" si="9">N30*P30</f>
        <v>12250</v>
      </c>
      <c r="R30" s="1613">
        <v>4.7E-2</v>
      </c>
      <c r="S30" s="1522">
        <v>0.14000000000000001</v>
      </c>
      <c r="T30" s="893"/>
      <c r="U30" s="1520">
        <v>8</v>
      </c>
      <c r="V30" s="1521">
        <v>120000</v>
      </c>
      <c r="W30" s="1522">
        <v>6.4000000000000001E-2</v>
      </c>
      <c r="X30" s="1522">
        <v>0.105</v>
      </c>
      <c r="Y30" s="1523">
        <v>12600</v>
      </c>
      <c r="Z30" s="1613">
        <v>4.8000000000000001E-2</v>
      </c>
      <c r="AA30" s="1522">
        <v>9.7000000000000003E-2</v>
      </c>
      <c r="AC30" s="571"/>
      <c r="AD30" s="572"/>
      <c r="AE30" s="571"/>
      <c r="AF30" s="697"/>
      <c r="AG30" s="692"/>
    </row>
    <row r="31" spans="2:37" ht="14.6">
      <c r="B31" s="701">
        <v>20</v>
      </c>
      <c r="C31" s="1531" t="s">
        <v>209</v>
      </c>
      <c r="D31" s="1525">
        <v>4322</v>
      </c>
      <c r="E31" s="1532">
        <v>5</v>
      </c>
      <c r="F31" s="1533">
        <v>156000</v>
      </c>
      <c r="G31" s="1534">
        <v>5.3999999999999999E-2</v>
      </c>
      <c r="H31" s="1534">
        <v>7.4999999999999997E-2</v>
      </c>
      <c r="I31" s="1513">
        <f>F31*H31</f>
        <v>11700</v>
      </c>
      <c r="J31" s="1626">
        <v>5.3999999999999999E-2</v>
      </c>
      <c r="K31" s="1534">
        <v>0.17699999999999999</v>
      </c>
      <c r="L31" s="702"/>
      <c r="M31" s="1535">
        <v>9</v>
      </c>
      <c r="N31" s="1536">
        <v>146000</v>
      </c>
      <c r="O31" s="1537">
        <v>4.8000000000000001E-2</v>
      </c>
      <c r="P31" s="1537">
        <v>6.8000000000000005E-2</v>
      </c>
      <c r="Q31" s="1538">
        <v>9928</v>
      </c>
      <c r="R31" s="1615">
        <v>4.5999999999999999E-2</v>
      </c>
      <c r="S31" s="1539">
        <v>0.10199999999999999</v>
      </c>
      <c r="T31" s="893"/>
      <c r="U31" s="1535">
        <v>6</v>
      </c>
      <c r="V31" s="1536">
        <v>134000</v>
      </c>
      <c r="W31" s="1537">
        <v>4.5999999999999999E-2</v>
      </c>
      <c r="X31" s="1537">
        <v>6.3E-2</v>
      </c>
      <c r="Y31" s="1538">
        <v>8442</v>
      </c>
      <c r="Z31" s="1615">
        <v>4.7E-2</v>
      </c>
      <c r="AA31" s="1539">
        <v>0</v>
      </c>
      <c r="AC31" s="571"/>
      <c r="AD31" s="572"/>
      <c r="AE31" s="571"/>
      <c r="AF31" s="697"/>
      <c r="AG31" s="692"/>
    </row>
    <row r="32" spans="2:37" ht="14.4" customHeight="1">
      <c r="B32" s="887">
        <f t="shared" ref="B32" si="10">B31+1</f>
        <v>21</v>
      </c>
      <c r="C32" s="1504" t="s">
        <v>210</v>
      </c>
      <c r="D32" s="1518">
        <v>4332</v>
      </c>
      <c r="E32" s="1519">
        <v>3</v>
      </c>
      <c r="F32" s="1507">
        <v>103000</v>
      </c>
      <c r="G32" s="1508">
        <v>5.6000000000000001E-2</v>
      </c>
      <c r="H32" s="1508">
        <v>6.3E-2</v>
      </c>
      <c r="I32" s="1507">
        <v>6489</v>
      </c>
      <c r="J32" s="1632">
        <v>8.8999999999999996E-2</v>
      </c>
      <c r="K32" s="1508">
        <v>0.17699999999999999</v>
      </c>
      <c r="L32" s="702"/>
      <c r="M32" s="1520">
        <v>5</v>
      </c>
      <c r="N32" s="1521">
        <v>98000</v>
      </c>
      <c r="O32" s="1522">
        <v>0.06</v>
      </c>
      <c r="P32" s="1522">
        <v>7.2999999999999995E-2</v>
      </c>
      <c r="Q32" s="1523">
        <v>7154</v>
      </c>
      <c r="R32" s="1616">
        <v>7.9000000000000001E-2</v>
      </c>
      <c r="S32" s="1540">
        <v>0.114</v>
      </c>
      <c r="T32" s="893"/>
      <c r="U32" s="1520">
        <v>4</v>
      </c>
      <c r="V32" s="1521">
        <v>88000</v>
      </c>
      <c r="W32" s="1522">
        <v>5.8999999999999997E-2</v>
      </c>
      <c r="X32" s="1522">
        <v>6.8000000000000005E-2</v>
      </c>
      <c r="Y32" s="1523">
        <v>5984</v>
      </c>
      <c r="Z32" s="1616">
        <v>0.13</v>
      </c>
      <c r="AA32" s="1540">
        <v>-9.1999999999999998E-2</v>
      </c>
      <c r="AC32" s="571"/>
      <c r="AD32" s="572"/>
      <c r="AE32" s="571"/>
      <c r="AF32" s="697"/>
      <c r="AG32" s="692"/>
      <c r="AK32" s="255" t="s">
        <v>0</v>
      </c>
    </row>
    <row r="33" spans="2:37" ht="14.6">
      <c r="B33" s="1638">
        <v>22</v>
      </c>
      <c r="C33" s="1511" t="s">
        <v>211</v>
      </c>
      <c r="D33" s="1525">
        <v>43341</v>
      </c>
      <c r="E33" s="1526">
        <v>7</v>
      </c>
      <c r="F33" s="1513">
        <v>96000</v>
      </c>
      <c r="G33" s="1514">
        <v>5.6000000000000001E-2</v>
      </c>
      <c r="H33" s="1514">
        <v>4.4999999999999998E-2</v>
      </c>
      <c r="I33" s="1513">
        <f>F33*H33</f>
        <v>4320</v>
      </c>
      <c r="J33" s="1622">
        <v>8.9999999999999993E-3</v>
      </c>
      <c r="K33" s="1514">
        <v>0.13500000000000001</v>
      </c>
      <c r="L33" s="702"/>
      <c r="M33" s="1527">
        <v>8</v>
      </c>
      <c r="N33" s="1528">
        <v>95000</v>
      </c>
      <c r="O33" s="1529">
        <v>4.5999999999999999E-2</v>
      </c>
      <c r="P33" s="1529">
        <v>8.2000000000000003E-2</v>
      </c>
      <c r="Q33" s="1513">
        <f t="shared" ref="Q33" si="11">N33*P33</f>
        <v>7790</v>
      </c>
      <c r="R33" s="1622">
        <v>3.9E-2</v>
      </c>
      <c r="S33" s="1623">
        <v>0</v>
      </c>
      <c r="T33" s="1624"/>
      <c r="U33" s="1527">
        <v>5</v>
      </c>
      <c r="V33" s="1528">
        <v>97000</v>
      </c>
      <c r="W33" s="1529">
        <v>0.107</v>
      </c>
      <c r="X33" s="1529">
        <v>5.8999999999999997E-2</v>
      </c>
      <c r="Y33" s="1530">
        <v>5723</v>
      </c>
      <c r="Z33" s="1622">
        <v>9.0000000000000011E-3</v>
      </c>
      <c r="AA33" s="1623">
        <v>1.4999999999999999E-2</v>
      </c>
      <c r="AC33" s="571"/>
      <c r="AD33" s="572"/>
      <c r="AE33" s="571"/>
      <c r="AF33" s="697"/>
      <c r="AG33" s="692"/>
      <c r="AK33" s="255" t="s">
        <v>0</v>
      </c>
    </row>
    <row r="34" spans="2:37" ht="14.6">
      <c r="B34" s="1639">
        <v>23</v>
      </c>
      <c r="C34" s="1633" t="s">
        <v>578</v>
      </c>
      <c r="D34" s="1627">
        <v>4391</v>
      </c>
      <c r="E34" s="1628">
        <v>5</v>
      </c>
      <c r="F34" s="1621">
        <v>134000</v>
      </c>
      <c r="G34" s="1629">
        <v>6.4000000000000001E-2</v>
      </c>
      <c r="H34" s="1629">
        <v>5.6000000000000001E-2</v>
      </c>
      <c r="I34" s="1621">
        <f t="shared" si="7"/>
        <v>7504</v>
      </c>
      <c r="J34" s="1632">
        <v>3.5999999999999997E-2</v>
      </c>
      <c r="K34" s="1629">
        <v>0.14399999999999999</v>
      </c>
      <c r="L34" s="702"/>
      <c r="M34" s="1634">
        <v>7</v>
      </c>
      <c r="N34" s="1635">
        <v>164000</v>
      </c>
      <c r="O34" s="1636">
        <v>0.06</v>
      </c>
      <c r="P34" s="1636">
        <v>5.5E-2</v>
      </c>
      <c r="Q34" s="1637">
        <v>9020</v>
      </c>
      <c r="R34" s="1616">
        <v>0</v>
      </c>
      <c r="S34" s="1636">
        <v>0.09</v>
      </c>
      <c r="T34" s="893"/>
      <c r="U34" s="1634">
        <v>5</v>
      </c>
      <c r="V34" s="1635">
        <v>116000</v>
      </c>
      <c r="W34" s="1636">
        <v>5.6000000000000001E-2</v>
      </c>
      <c r="X34" s="1636">
        <v>6.4000000000000001E-2</v>
      </c>
      <c r="Y34" s="1637">
        <v>7487.9999999999991</v>
      </c>
      <c r="Z34" s="1616">
        <v>0</v>
      </c>
      <c r="AA34" s="1636">
        <v>0.11</v>
      </c>
      <c r="AC34" s="571"/>
      <c r="AD34" s="572"/>
      <c r="AE34" s="571"/>
      <c r="AF34" s="697"/>
      <c r="AG34" s="692"/>
    </row>
    <row r="35" spans="2:37" ht="21" customHeight="1">
      <c r="B35" s="572"/>
      <c r="C35" s="573"/>
      <c r="D35" s="693"/>
      <c r="E35" s="573"/>
      <c r="F35" s="573"/>
      <c r="G35" s="573"/>
      <c r="H35" s="573"/>
      <c r="I35" s="573"/>
      <c r="J35" s="694"/>
      <c r="K35" s="573"/>
      <c r="L35" s="573"/>
      <c r="M35" s="573"/>
      <c r="N35" s="573"/>
      <c r="O35" s="573"/>
      <c r="P35" s="573"/>
      <c r="Q35" s="573"/>
      <c r="R35" s="694"/>
      <c r="S35" s="573"/>
      <c r="T35" s="573"/>
      <c r="U35" s="693"/>
      <c r="V35" s="693"/>
      <c r="W35" s="686"/>
      <c r="X35" s="694"/>
      <c r="Y35" s="694"/>
      <c r="Z35" s="694"/>
      <c r="AA35" s="693"/>
      <c r="AC35" s="693"/>
      <c r="AD35" s="686"/>
      <c r="AE35" s="694"/>
      <c r="AF35" s="693"/>
      <c r="AG35" s="693"/>
    </row>
    <row r="36" spans="2:37" ht="19.5" customHeight="1">
      <c r="B36" s="572"/>
      <c r="C36" s="573"/>
      <c r="D36" s="693"/>
      <c r="E36" s="1487" t="s">
        <v>0</v>
      </c>
      <c r="F36" s="1488"/>
      <c r="G36" s="1489" t="s">
        <v>590</v>
      </c>
      <c r="H36" s="1490">
        <f>H5</f>
        <v>2022</v>
      </c>
      <c r="I36" s="1488"/>
      <c r="J36" s="1608"/>
      <c r="K36" s="1488"/>
      <c r="L36" s="573"/>
      <c r="M36" s="1490" t="s">
        <v>0</v>
      </c>
      <c r="N36" s="1490"/>
      <c r="O36" s="1489" t="s">
        <v>590</v>
      </c>
      <c r="P36" s="1490">
        <f>P5</f>
        <v>2021</v>
      </c>
      <c r="Q36" s="1490"/>
      <c r="R36" s="1608"/>
      <c r="S36" s="1516"/>
      <c r="T36" s="573"/>
      <c r="U36" s="1492" t="s">
        <v>0</v>
      </c>
      <c r="V36" s="1493"/>
      <c r="W36" s="1489" t="s">
        <v>590</v>
      </c>
      <c r="X36" s="1490">
        <f>X5</f>
        <v>2020</v>
      </c>
      <c r="Y36" s="1493"/>
      <c r="Z36" s="1608"/>
      <c r="AA36" s="1494"/>
      <c r="AC36" s="693"/>
      <c r="AD36" s="686"/>
      <c r="AE36" s="694"/>
      <c r="AF36" s="693"/>
      <c r="AG36" s="693"/>
    </row>
    <row r="37" spans="2:37" ht="14.4" customHeight="1">
      <c r="B37" s="572"/>
      <c r="C37" s="573"/>
      <c r="D37" s="1995" t="s">
        <v>577</v>
      </c>
      <c r="E37" s="862" t="s">
        <v>152</v>
      </c>
      <c r="F37" s="863" t="s">
        <v>485</v>
      </c>
      <c r="G37" s="1992" t="s">
        <v>582</v>
      </c>
      <c r="H37" s="1992" t="s">
        <v>588</v>
      </c>
      <c r="I37" s="1992" t="s">
        <v>589</v>
      </c>
      <c r="J37" s="1992" t="s">
        <v>869</v>
      </c>
      <c r="K37" s="880" t="s">
        <v>594</v>
      </c>
      <c r="L37" s="573"/>
      <c r="M37" s="876" t="s">
        <v>152</v>
      </c>
      <c r="N37" s="872" t="s">
        <v>485</v>
      </c>
      <c r="O37" s="872" t="s">
        <v>153</v>
      </c>
      <c r="P37" s="872" t="s">
        <v>153</v>
      </c>
      <c r="Q37" s="877" t="s">
        <v>153</v>
      </c>
      <c r="R37" s="1992" t="s">
        <v>869</v>
      </c>
      <c r="S37" s="864" t="s">
        <v>594</v>
      </c>
      <c r="T37" s="706"/>
      <c r="U37" s="881" t="s">
        <v>152</v>
      </c>
      <c r="V37" s="882" t="s">
        <v>485</v>
      </c>
      <c r="W37" s="882" t="s">
        <v>153</v>
      </c>
      <c r="X37" s="882" t="s">
        <v>153</v>
      </c>
      <c r="Y37" s="873" t="s">
        <v>153</v>
      </c>
      <c r="Z37" s="1992" t="s">
        <v>869</v>
      </c>
      <c r="AA37" s="864" t="s">
        <v>594</v>
      </c>
      <c r="AC37" s="688"/>
      <c r="AD37" s="688"/>
      <c r="AE37" s="688"/>
      <c r="AF37" s="689"/>
      <c r="AG37" s="689"/>
    </row>
    <row r="38" spans="2:37" ht="16.399999999999999" customHeight="1">
      <c r="B38" s="572"/>
      <c r="C38" s="868" t="s">
        <v>711</v>
      </c>
      <c r="D38" s="1996"/>
      <c r="E38" s="865" t="s">
        <v>154</v>
      </c>
      <c r="F38" s="866" t="s">
        <v>155</v>
      </c>
      <c r="G38" s="1993"/>
      <c r="H38" s="1994"/>
      <c r="I38" s="1994"/>
      <c r="J38" s="2001"/>
      <c r="K38" s="867" t="s">
        <v>569</v>
      </c>
      <c r="L38" s="861"/>
      <c r="M38" s="878" t="s">
        <v>154</v>
      </c>
      <c r="N38" s="875" t="s">
        <v>155</v>
      </c>
      <c r="O38" s="875" t="s">
        <v>575</v>
      </c>
      <c r="P38" s="875" t="s">
        <v>571</v>
      </c>
      <c r="Q38" s="879" t="s">
        <v>572</v>
      </c>
      <c r="R38" s="2001"/>
      <c r="S38" s="870" t="s">
        <v>569</v>
      </c>
      <c r="T38" s="706"/>
      <c r="U38" s="883" t="s">
        <v>154</v>
      </c>
      <c r="V38" s="884" t="s">
        <v>155</v>
      </c>
      <c r="W38" s="884" t="s">
        <v>157</v>
      </c>
      <c r="X38" s="884" t="s">
        <v>156</v>
      </c>
      <c r="Y38" s="869" t="s">
        <v>572</v>
      </c>
      <c r="Z38" s="2001"/>
      <c r="AA38" s="870" t="s">
        <v>569</v>
      </c>
      <c r="AC38" s="688"/>
      <c r="AD38" s="688"/>
      <c r="AE38" s="688"/>
      <c r="AF38" s="689"/>
      <c r="AG38" s="689"/>
    </row>
    <row r="39" spans="2:37" ht="14.6">
      <c r="B39" s="1524">
        <v>24</v>
      </c>
      <c r="C39" s="1511" t="s">
        <v>804</v>
      </c>
      <c r="D39" s="1525">
        <v>45112</v>
      </c>
      <c r="E39" s="1512">
        <v>3</v>
      </c>
      <c r="F39" s="1513">
        <v>431000</v>
      </c>
      <c r="G39" s="1514">
        <v>1.7999999999999999E-2</v>
      </c>
      <c r="H39" s="1514">
        <v>0.13600000000000001</v>
      </c>
      <c r="I39" s="1513">
        <f>F39*H39</f>
        <v>58616.000000000007</v>
      </c>
      <c r="J39" s="1617">
        <v>0.159</v>
      </c>
      <c r="K39" s="1514">
        <v>2.4E-2</v>
      </c>
      <c r="L39" s="702"/>
      <c r="M39" s="1512">
        <v>3</v>
      </c>
      <c r="N39" s="1513">
        <v>604000</v>
      </c>
      <c r="O39" s="1514">
        <v>3.1E-2</v>
      </c>
      <c r="P39" s="1514">
        <v>0.11899999999999999</v>
      </c>
      <c r="Q39" s="1513">
        <f t="shared" ref="Q39" si="12">N39*P39</f>
        <v>71876</v>
      </c>
      <c r="R39" s="1617">
        <v>0.127</v>
      </c>
      <c r="S39" s="1514">
        <v>0.222</v>
      </c>
      <c r="T39" s="708"/>
      <c r="U39" s="1512">
        <v>2</v>
      </c>
      <c r="V39" s="1513">
        <v>432000</v>
      </c>
      <c r="W39" s="1514">
        <v>2.7E-2</v>
      </c>
      <c r="X39" s="1514">
        <v>0.124</v>
      </c>
      <c r="Y39" s="1513">
        <v>52542</v>
      </c>
      <c r="Z39" s="1617">
        <v>0.127</v>
      </c>
      <c r="AA39" s="1514">
        <v>0</v>
      </c>
      <c r="AC39" s="571"/>
      <c r="AD39" s="710"/>
      <c r="AE39" s="571"/>
      <c r="AF39" s="697"/>
      <c r="AG39" s="692"/>
    </row>
    <row r="40" spans="2:37" ht="14.6">
      <c r="B40" s="887">
        <f>B39+1</f>
        <v>25</v>
      </c>
      <c r="C40" s="1504" t="s">
        <v>579</v>
      </c>
      <c r="D40" s="1518">
        <v>452</v>
      </c>
      <c r="E40" s="1506">
        <v>3</v>
      </c>
      <c r="F40" s="1507">
        <v>108000</v>
      </c>
      <c r="G40" s="1508">
        <v>0.06</v>
      </c>
      <c r="H40" s="1508">
        <v>5.0999999999999997E-2</v>
      </c>
      <c r="I40" s="1507">
        <f t="shared" ref="I40:I49" si="13">F40*H40</f>
        <v>5508</v>
      </c>
      <c r="J40" s="1618">
        <v>5.1999999999999998E-2</v>
      </c>
      <c r="K40" s="1508">
        <v>3.7999999999999999E-2</v>
      </c>
      <c r="L40" s="702"/>
      <c r="M40" s="892">
        <v>3</v>
      </c>
      <c r="N40" s="888">
        <v>112000</v>
      </c>
      <c r="O40" s="889">
        <v>7.0999999999999994E-2</v>
      </c>
      <c r="P40" s="889">
        <v>7.5999999999999998E-2</v>
      </c>
      <c r="Q40" s="888">
        <v>8512</v>
      </c>
      <c r="R40" s="1618">
        <v>5.2999999999999999E-2</v>
      </c>
      <c r="S40" s="889">
        <v>6.8000000000000005E-2</v>
      </c>
      <c r="T40" s="708"/>
      <c r="U40" s="892">
        <v>2</v>
      </c>
      <c r="V40" s="888">
        <v>98000</v>
      </c>
      <c r="W40" s="889">
        <v>6.8000000000000005E-2</v>
      </c>
      <c r="X40" s="889">
        <v>5.8999999999999997E-2</v>
      </c>
      <c r="Y40" s="888">
        <v>6313</v>
      </c>
      <c r="Z40" s="1618">
        <v>5.2999999999999999E-2</v>
      </c>
      <c r="AA40" s="889">
        <v>0</v>
      </c>
      <c r="AC40" s="571"/>
      <c r="AD40" s="710"/>
      <c r="AE40" s="571"/>
      <c r="AF40" s="697"/>
      <c r="AG40" s="692"/>
    </row>
    <row r="41" spans="2:37" ht="14.6">
      <c r="B41" s="701">
        <f t="shared" ref="B41:B49" si="14">B40+1</f>
        <v>26</v>
      </c>
      <c r="C41" s="1531" t="s">
        <v>805</v>
      </c>
      <c r="D41" s="1541">
        <v>4532</v>
      </c>
      <c r="E41" s="1542">
        <v>4</v>
      </c>
      <c r="F41" s="1533">
        <v>164000</v>
      </c>
      <c r="G41" s="1534">
        <v>5.2999999999999999E-2</v>
      </c>
      <c r="H41" s="1534">
        <v>0.157</v>
      </c>
      <c r="I41" s="1533">
        <f t="shared" si="13"/>
        <v>25748</v>
      </c>
      <c r="J41" s="1619">
        <v>0.17599999999999999</v>
      </c>
      <c r="K41" s="1534">
        <v>2.7E-2</v>
      </c>
      <c r="L41" s="702"/>
      <c r="M41" s="1542">
        <v>4</v>
      </c>
      <c r="N41" s="1533">
        <v>178000</v>
      </c>
      <c r="O41" s="1534">
        <v>0.04</v>
      </c>
      <c r="P41" s="1534">
        <v>0.19600000000000001</v>
      </c>
      <c r="Q41" s="1533">
        <v>34888</v>
      </c>
      <c r="R41" s="1619">
        <v>0.17499999999999999</v>
      </c>
      <c r="S41" s="1534">
        <v>5.8999999999999997E-2</v>
      </c>
      <c r="T41" s="708"/>
      <c r="U41" s="1542">
        <v>4</v>
      </c>
      <c r="V41" s="1533">
        <v>182000</v>
      </c>
      <c r="W41" s="1534">
        <v>5.7000000000000002E-2</v>
      </c>
      <c r="X41" s="1534">
        <v>0.159</v>
      </c>
      <c r="Y41" s="1533">
        <v>27984</v>
      </c>
      <c r="Z41" s="1619">
        <v>0.17499999999999999</v>
      </c>
      <c r="AA41" s="1534">
        <v>1.4999999999999999E-2</v>
      </c>
      <c r="AC41" s="571"/>
      <c r="AD41" s="710"/>
      <c r="AE41" s="571"/>
      <c r="AF41" s="697"/>
      <c r="AG41" s="692"/>
    </row>
    <row r="42" spans="2:37" ht="14.6">
      <c r="B42" s="887">
        <f t="shared" si="14"/>
        <v>27</v>
      </c>
      <c r="C42" s="1504" t="s">
        <v>806</v>
      </c>
      <c r="D42" s="1518">
        <v>47113</v>
      </c>
      <c r="E42" s="1506">
        <v>4</v>
      </c>
      <c r="F42" s="1507">
        <v>250000</v>
      </c>
      <c r="G42" s="1508">
        <v>2.5000000000000001E-2</v>
      </c>
      <c r="H42" s="1508">
        <v>2.3E-2</v>
      </c>
      <c r="I42" s="1507">
        <f t="shared" si="13"/>
        <v>5750</v>
      </c>
      <c r="J42" s="1620">
        <v>6.6000000000000003E-2</v>
      </c>
      <c r="K42" s="1508">
        <v>8.0000000000000002E-3</v>
      </c>
      <c r="L42" s="702"/>
      <c r="M42" s="1506">
        <v>4</v>
      </c>
      <c r="N42" s="1507">
        <v>201000</v>
      </c>
      <c r="O42" s="1508">
        <v>3.6999999999999998E-2</v>
      </c>
      <c r="P42" s="1508">
        <v>3.9E-2</v>
      </c>
      <c r="Q42" s="1507">
        <v>22752</v>
      </c>
      <c r="R42" s="1620">
        <v>7.3999999999999996E-2</v>
      </c>
      <c r="S42" s="1508">
        <v>4.4999999999999998E-2</v>
      </c>
      <c r="T42" s="708"/>
      <c r="U42" s="1506">
        <v>4</v>
      </c>
      <c r="V42" s="1507">
        <v>201000</v>
      </c>
      <c r="W42" s="1508">
        <v>0.04</v>
      </c>
      <c r="X42" s="1508">
        <v>3.5000000000000003E-2</v>
      </c>
      <c r="Y42" s="1507">
        <v>14756</v>
      </c>
      <c r="Z42" s="1620">
        <v>7.8E-2</v>
      </c>
      <c r="AA42" s="1508">
        <v>2.7E-2</v>
      </c>
      <c r="AC42" s="571"/>
      <c r="AD42" s="710"/>
      <c r="AE42" s="571"/>
      <c r="AF42" s="697"/>
      <c r="AG42" s="692"/>
    </row>
    <row r="43" spans="2:37" ht="14.6">
      <c r="B43" s="701">
        <f t="shared" si="14"/>
        <v>28</v>
      </c>
      <c r="C43" s="1531" t="s">
        <v>807</v>
      </c>
      <c r="D43" s="1541">
        <v>47301</v>
      </c>
      <c r="E43" s="1542">
        <v>7</v>
      </c>
      <c r="F43" s="1533">
        <v>153000</v>
      </c>
      <c r="G43" s="1534">
        <v>0.02</v>
      </c>
      <c r="H43" s="1534">
        <v>0.01</v>
      </c>
      <c r="I43" s="1533">
        <f t="shared" si="13"/>
        <v>1530</v>
      </c>
      <c r="J43" s="1619">
        <v>4.2000000000000003E-2</v>
      </c>
      <c r="K43" s="1534">
        <v>0.106</v>
      </c>
      <c r="L43" s="890"/>
      <c r="M43" s="1542">
        <v>6</v>
      </c>
      <c r="N43" s="1533">
        <v>189000</v>
      </c>
      <c r="O43" s="1534">
        <v>0.02</v>
      </c>
      <c r="P43" s="1534">
        <v>0.06</v>
      </c>
      <c r="Q43" s="1533">
        <v>11340</v>
      </c>
      <c r="R43" s="1619">
        <v>0.04</v>
      </c>
      <c r="S43" s="1534">
        <v>5.6000000000000001E-2</v>
      </c>
      <c r="T43" s="759"/>
      <c r="U43" s="1542">
        <v>4</v>
      </c>
      <c r="V43" s="1533">
        <v>156000</v>
      </c>
      <c r="W43" s="1534">
        <v>3.6999999999999998E-2</v>
      </c>
      <c r="X43" s="1534">
        <v>5.0000000000000001E-3</v>
      </c>
      <c r="Y43" s="1533">
        <v>54992</v>
      </c>
      <c r="Z43" s="1619">
        <v>0.04</v>
      </c>
      <c r="AA43" s="1534">
        <v>-0.105</v>
      </c>
      <c r="AC43" s="571"/>
      <c r="AD43" s="710"/>
      <c r="AE43" s="571"/>
      <c r="AF43" s="697"/>
      <c r="AG43" s="692"/>
    </row>
    <row r="44" spans="2:37" ht="14.6">
      <c r="B44" s="887">
        <f t="shared" si="14"/>
        <v>29</v>
      </c>
      <c r="C44" s="1504" t="s">
        <v>811</v>
      </c>
      <c r="D44" s="1518">
        <v>474</v>
      </c>
      <c r="E44" s="1506">
        <v>4</v>
      </c>
      <c r="F44" s="1507">
        <v>154000</v>
      </c>
      <c r="G44" s="1508">
        <v>4.2000000000000003E-2</v>
      </c>
      <c r="H44" s="1508">
        <v>7.2999999999999995E-2</v>
      </c>
      <c r="I44" s="1507">
        <f t="shared" si="13"/>
        <v>11242</v>
      </c>
      <c r="J44" s="1620">
        <v>7.0000000000000007E-2</v>
      </c>
      <c r="K44" s="1508">
        <v>-9.0999999999999998E-2</v>
      </c>
      <c r="L44" s="702"/>
      <c r="M44" s="1506">
        <v>4</v>
      </c>
      <c r="N44" s="1507">
        <v>275000</v>
      </c>
      <c r="O44" s="1508">
        <v>4.8000000000000001E-2</v>
      </c>
      <c r="P44" s="1508">
        <v>0.06</v>
      </c>
      <c r="Q44" s="1507">
        <v>16500</v>
      </c>
      <c r="R44" s="1620">
        <v>6.3E-2</v>
      </c>
      <c r="S44" s="1508">
        <v>0.06</v>
      </c>
      <c r="T44" s="708"/>
      <c r="U44" s="1506">
        <v>4</v>
      </c>
      <c r="V44" s="1507">
        <v>155000</v>
      </c>
      <c r="W44" s="1508">
        <v>4.7E-2</v>
      </c>
      <c r="X44" s="1508">
        <v>6.7000000000000004E-2</v>
      </c>
      <c r="Y44" s="1507">
        <v>10385</v>
      </c>
      <c r="Z44" s="1620">
        <v>6.3E-2</v>
      </c>
      <c r="AA44" s="1508">
        <v>2.1999999999999999E-2</v>
      </c>
      <c r="AC44" s="571"/>
      <c r="AD44" s="710"/>
      <c r="AE44" s="571"/>
      <c r="AF44" s="697"/>
      <c r="AG44" s="692"/>
    </row>
    <row r="45" spans="2:37" ht="14.6">
      <c r="B45" s="701">
        <f t="shared" si="14"/>
        <v>30</v>
      </c>
      <c r="C45" s="1531" t="s">
        <v>580</v>
      </c>
      <c r="D45" s="1541">
        <v>47521</v>
      </c>
      <c r="E45" s="1542">
        <v>5</v>
      </c>
      <c r="F45" s="1533">
        <v>202000</v>
      </c>
      <c r="G45" s="1534">
        <v>4.1000000000000002E-2</v>
      </c>
      <c r="H45" s="1534">
        <v>0.17699999999999999</v>
      </c>
      <c r="I45" s="1533">
        <f t="shared" si="13"/>
        <v>35754</v>
      </c>
      <c r="J45" s="1619">
        <v>0.193</v>
      </c>
      <c r="K45" s="1534">
        <v>-1.9E-2</v>
      </c>
      <c r="L45" s="890"/>
      <c r="M45" s="1542">
        <v>4</v>
      </c>
      <c r="N45" s="1533">
        <v>284000</v>
      </c>
      <c r="O45" s="1534">
        <v>6.0999999999999999E-2</v>
      </c>
      <c r="P45" s="1534">
        <v>0.219</v>
      </c>
      <c r="Q45" s="1533">
        <v>62196</v>
      </c>
      <c r="R45" s="1619">
        <v>0.191</v>
      </c>
      <c r="S45" s="1534">
        <v>0.12</v>
      </c>
      <c r="T45" s="759"/>
      <c r="U45" s="1542">
        <v>4</v>
      </c>
      <c r="V45" s="1533">
        <v>253000</v>
      </c>
      <c r="W45" s="1534">
        <v>6.0999999999999999E-2</v>
      </c>
      <c r="X45" s="1534">
        <v>0.18099999999999999</v>
      </c>
      <c r="Y45" s="1533">
        <v>45793</v>
      </c>
      <c r="Z45" s="1619">
        <v>0.191</v>
      </c>
      <c r="AA45" s="1534">
        <v>7.0999999999999994E-2</v>
      </c>
      <c r="AC45" s="571"/>
      <c r="AD45" s="710"/>
      <c r="AE45" s="571"/>
      <c r="AF45" s="697"/>
      <c r="AG45" s="692"/>
    </row>
    <row r="46" spans="2:37" ht="14.6">
      <c r="B46" s="887">
        <f t="shared" si="14"/>
        <v>31</v>
      </c>
      <c r="C46" s="1504" t="s">
        <v>808</v>
      </c>
      <c r="D46" s="1518">
        <v>47641</v>
      </c>
      <c r="E46" s="1506">
        <v>3</v>
      </c>
      <c r="F46" s="1507">
        <v>152000</v>
      </c>
      <c r="G46" s="1508">
        <v>5.0999999999999997E-2</v>
      </c>
      <c r="H46" s="1508">
        <v>0.252</v>
      </c>
      <c r="I46" s="1507">
        <f t="shared" si="13"/>
        <v>38304</v>
      </c>
      <c r="J46" s="1620">
        <v>0.34100000000000003</v>
      </c>
      <c r="K46" s="1508">
        <v>0</v>
      </c>
      <c r="L46" s="702"/>
      <c r="M46" s="1506">
        <v>3</v>
      </c>
      <c r="N46" s="1507">
        <v>263000</v>
      </c>
      <c r="O46" s="1508">
        <v>7.2999999999999995E-2</v>
      </c>
      <c r="P46" s="1508">
        <v>0.23200000000000001</v>
      </c>
      <c r="Q46" s="1507">
        <v>61016</v>
      </c>
      <c r="R46" s="1620">
        <v>0.27399999999999997</v>
      </c>
      <c r="S46" s="1508" t="s">
        <v>809</v>
      </c>
      <c r="T46" s="708"/>
      <c r="U46" s="1506">
        <v>3</v>
      </c>
      <c r="V46" s="1507">
        <v>215000</v>
      </c>
      <c r="W46" s="1508">
        <v>7.0999999999999994E-2</v>
      </c>
      <c r="X46" s="1508">
        <v>0.21</v>
      </c>
      <c r="Y46" s="1507">
        <v>45150</v>
      </c>
      <c r="Z46" s="1620">
        <v>0.27399999999999997</v>
      </c>
      <c r="AA46" s="1508">
        <v>0.13500000000000001</v>
      </c>
      <c r="AC46" s="571"/>
      <c r="AD46" s="710"/>
      <c r="AE46" s="571"/>
      <c r="AF46" s="697"/>
      <c r="AG46" s="692"/>
    </row>
    <row r="47" spans="2:37" ht="14.6">
      <c r="B47" s="701">
        <f t="shared" si="14"/>
        <v>32</v>
      </c>
      <c r="C47" s="1511" t="s">
        <v>581</v>
      </c>
      <c r="D47" s="1525">
        <v>4771</v>
      </c>
      <c r="E47" s="1512">
        <v>3</v>
      </c>
      <c r="F47" s="1513">
        <v>123000</v>
      </c>
      <c r="G47" s="1514">
        <v>3.6999999999999998E-2</v>
      </c>
      <c r="H47" s="1514">
        <v>0.19900000000000001</v>
      </c>
      <c r="I47" s="1513">
        <f t="shared" si="13"/>
        <v>24477</v>
      </c>
      <c r="J47" s="1617">
        <v>0.27</v>
      </c>
      <c r="K47" s="1514">
        <v>0.123</v>
      </c>
      <c r="L47" s="702"/>
      <c r="M47" s="1512">
        <v>3</v>
      </c>
      <c r="N47" s="1513">
        <v>148000</v>
      </c>
      <c r="O47" s="1514">
        <v>5.1999999999999998E-2</v>
      </c>
      <c r="P47" s="1514">
        <v>0.24</v>
      </c>
      <c r="Q47" s="1513">
        <f t="shared" ref="Q47" si="15">N47*P47</f>
        <v>35520</v>
      </c>
      <c r="R47" s="1617">
        <v>0.32299999999999995</v>
      </c>
      <c r="S47" s="1514">
        <v>0.13</v>
      </c>
      <c r="T47" s="708"/>
      <c r="U47" s="1512">
        <v>2</v>
      </c>
      <c r="V47" s="1513">
        <v>102000</v>
      </c>
      <c r="W47" s="1514">
        <v>3.4000000000000002E-2</v>
      </c>
      <c r="X47" s="1514">
        <v>0.27900000000000003</v>
      </c>
      <c r="Y47" s="1513">
        <v>26505.000000000004</v>
      </c>
      <c r="Z47" s="1617">
        <v>0.32299999999999995</v>
      </c>
      <c r="AA47" s="1514">
        <v>-7.6999999999999999E-2</v>
      </c>
      <c r="AC47" s="571"/>
      <c r="AD47" s="710"/>
      <c r="AE47" s="571"/>
      <c r="AF47" s="697"/>
      <c r="AG47" s="692"/>
    </row>
    <row r="48" spans="2:37" ht="14.6">
      <c r="B48" s="887">
        <f t="shared" si="14"/>
        <v>33</v>
      </c>
      <c r="C48" s="1504" t="s">
        <v>212</v>
      </c>
      <c r="D48" s="1518">
        <v>47761</v>
      </c>
      <c r="E48" s="1506">
        <v>3</v>
      </c>
      <c r="F48" s="1507">
        <v>98000</v>
      </c>
      <c r="G48" s="1508">
        <v>4.5999999999999999E-2</v>
      </c>
      <c r="H48" s="1508">
        <v>3.2000000000000001E-2</v>
      </c>
      <c r="I48" s="1507">
        <f t="shared" si="13"/>
        <v>3136</v>
      </c>
      <c r="J48" s="1620">
        <v>4.2000000000000003E-2</v>
      </c>
      <c r="K48" s="1508">
        <v>0</v>
      </c>
      <c r="L48" s="702"/>
      <c r="M48" s="1506">
        <v>2</v>
      </c>
      <c r="N48" s="1507">
        <v>84000</v>
      </c>
      <c r="O48" s="1508">
        <v>6.2E-2</v>
      </c>
      <c r="P48" s="1508">
        <v>-0.01</v>
      </c>
      <c r="Q48" s="1507">
        <v>-840</v>
      </c>
      <c r="R48" s="1620">
        <v>3.9E-2</v>
      </c>
      <c r="S48" s="1508">
        <v>0.10299999999999999</v>
      </c>
      <c r="T48" s="708"/>
      <c r="U48" s="1506">
        <v>2</v>
      </c>
      <c r="V48" s="1507">
        <v>95000</v>
      </c>
      <c r="W48" s="1508">
        <v>9.6000000000000002E-2</v>
      </c>
      <c r="X48" s="1508">
        <v>7.0000000000000001E-3</v>
      </c>
      <c r="Y48" s="1507">
        <v>0</v>
      </c>
      <c r="Z48" s="1620">
        <v>3.9E-2</v>
      </c>
      <c r="AA48" s="1508">
        <v>9.1999999999999998E-2</v>
      </c>
      <c r="AC48" s="571"/>
      <c r="AD48" s="710"/>
      <c r="AE48" s="571"/>
      <c r="AF48" s="697"/>
      <c r="AG48" s="692"/>
    </row>
    <row r="49" spans="2:33" ht="14.6">
      <c r="B49" s="895">
        <f t="shared" si="14"/>
        <v>34</v>
      </c>
      <c r="C49" s="1531" t="s">
        <v>859</v>
      </c>
      <c r="D49" s="1541">
        <v>47785</v>
      </c>
      <c r="E49" s="1542">
        <v>3</v>
      </c>
      <c r="F49" s="1533">
        <v>53000</v>
      </c>
      <c r="G49" s="1534">
        <v>7.0999999999999994E-2</v>
      </c>
      <c r="H49" s="1534">
        <v>0.35299999999999998</v>
      </c>
      <c r="I49" s="1513">
        <f t="shared" si="13"/>
        <v>18709</v>
      </c>
      <c r="J49" s="1619">
        <v>0.312</v>
      </c>
      <c r="K49" s="1534">
        <v>0.125</v>
      </c>
      <c r="L49" s="702"/>
      <c r="M49" s="1542">
        <v>2</v>
      </c>
      <c r="N49" s="1533">
        <v>90000</v>
      </c>
      <c r="O49" s="1534">
        <v>0.06</v>
      </c>
      <c r="P49" s="1534">
        <v>0.35</v>
      </c>
      <c r="Q49" s="1533">
        <v>31499.999999999996</v>
      </c>
      <c r="R49" s="1619">
        <v>0.27800000000000002</v>
      </c>
      <c r="S49" s="1534">
        <v>6.5000000000000002E-2</v>
      </c>
      <c r="T49" s="708"/>
      <c r="U49" s="1542">
        <v>1</v>
      </c>
      <c r="V49" s="1533">
        <v>65000</v>
      </c>
      <c r="W49" s="1534">
        <v>3.2000000000000001E-2</v>
      </c>
      <c r="X49" s="1534">
        <v>0.28599999999999998</v>
      </c>
      <c r="Y49" s="1533">
        <v>8957</v>
      </c>
      <c r="Z49" s="1619">
        <v>0.27800000000000002</v>
      </c>
      <c r="AA49" s="1534">
        <v>-0.05</v>
      </c>
      <c r="AC49" s="571"/>
      <c r="AD49" s="710"/>
      <c r="AE49" s="571"/>
      <c r="AF49" s="697"/>
      <c r="AG49" s="698"/>
    </row>
    <row r="50" spans="2:33" ht="21" customHeight="1">
      <c r="B50" s="571"/>
      <c r="C50" s="702"/>
      <c r="D50" s="571"/>
      <c r="E50" s="702"/>
      <c r="F50" s="702"/>
      <c r="G50" s="702"/>
      <c r="H50" s="702"/>
      <c r="I50" s="702"/>
      <c r="J50" s="704"/>
      <c r="K50" s="702"/>
      <c r="L50" s="702"/>
      <c r="M50" s="571"/>
      <c r="N50" s="703"/>
      <c r="O50" s="704"/>
      <c r="P50" s="704"/>
      <c r="Q50" s="703"/>
      <c r="R50" s="704"/>
      <c r="S50" s="571"/>
      <c r="T50" s="571"/>
      <c r="U50" s="571"/>
      <c r="V50" s="705"/>
      <c r="W50" s="704"/>
      <c r="X50" s="704"/>
      <c r="Y50" s="704"/>
      <c r="Z50" s="704"/>
      <c r="AA50" s="697"/>
      <c r="AC50" s="571"/>
      <c r="AD50" s="571"/>
      <c r="AE50" s="571"/>
      <c r="AF50" s="697"/>
      <c r="AG50" s="692"/>
    </row>
    <row r="51" spans="2:33" ht="19.5" customHeight="1">
      <c r="B51" s="572"/>
      <c r="C51" s="573"/>
      <c r="D51" s="693"/>
      <c r="E51" s="1487" t="s">
        <v>0</v>
      </c>
      <c r="F51" s="1488"/>
      <c r="G51" s="1489" t="s">
        <v>590</v>
      </c>
      <c r="H51" s="1490">
        <f>H36</f>
        <v>2022</v>
      </c>
      <c r="I51" s="1488"/>
      <c r="J51" s="1608"/>
      <c r="K51" s="1488"/>
      <c r="L51" s="573"/>
      <c r="M51" s="1490" t="s">
        <v>0</v>
      </c>
      <c r="N51" s="1490"/>
      <c r="O51" s="1489" t="s">
        <v>590</v>
      </c>
      <c r="P51" s="1490">
        <f>P5</f>
        <v>2021</v>
      </c>
      <c r="Q51" s="1490"/>
      <c r="R51" s="1608"/>
      <c r="S51" s="1516"/>
      <c r="T51" s="573"/>
      <c r="U51" s="1492" t="s">
        <v>0</v>
      </c>
      <c r="V51" s="1493"/>
      <c r="W51" s="1489" t="s">
        <v>590</v>
      </c>
      <c r="X51" s="1490">
        <f>X5</f>
        <v>2020</v>
      </c>
      <c r="Y51" s="1493"/>
      <c r="Z51" s="1608"/>
      <c r="AA51" s="1494"/>
      <c r="AC51" s="693"/>
      <c r="AD51" s="686"/>
      <c r="AE51" s="694"/>
      <c r="AF51" s="693"/>
      <c r="AG51" s="693"/>
    </row>
    <row r="52" spans="2:33" ht="14.4" customHeight="1">
      <c r="B52" s="572"/>
      <c r="C52" s="573"/>
      <c r="D52" s="1990" t="s">
        <v>577</v>
      </c>
      <c r="E52" s="862" t="s">
        <v>152</v>
      </c>
      <c r="F52" s="863" t="s">
        <v>485</v>
      </c>
      <c r="G52" s="1992" t="s">
        <v>582</v>
      </c>
      <c r="H52" s="1992" t="s">
        <v>588</v>
      </c>
      <c r="I52" s="1992" t="s">
        <v>589</v>
      </c>
      <c r="J52" s="1992" t="s">
        <v>869</v>
      </c>
      <c r="K52" s="880" t="s">
        <v>594</v>
      </c>
      <c r="L52" s="573"/>
      <c r="M52" s="876" t="s">
        <v>152</v>
      </c>
      <c r="N52" s="872" t="s">
        <v>485</v>
      </c>
      <c r="O52" s="872" t="s">
        <v>153</v>
      </c>
      <c r="P52" s="872" t="s">
        <v>153</v>
      </c>
      <c r="Q52" s="877" t="s">
        <v>153</v>
      </c>
      <c r="R52" s="1992" t="s">
        <v>869</v>
      </c>
      <c r="S52" s="864" t="s">
        <v>594</v>
      </c>
      <c r="T52" s="706"/>
      <c r="U52" s="871" t="s">
        <v>152</v>
      </c>
      <c r="V52" s="872" t="s">
        <v>485</v>
      </c>
      <c r="W52" s="872" t="s">
        <v>153</v>
      </c>
      <c r="X52" s="872" t="s">
        <v>153</v>
      </c>
      <c r="Y52" s="873" t="s">
        <v>153</v>
      </c>
      <c r="Z52" s="1992" t="s">
        <v>869</v>
      </c>
      <c r="AA52" s="864" t="s">
        <v>594</v>
      </c>
      <c r="AC52" s="688"/>
      <c r="AD52" s="688"/>
      <c r="AE52" s="688"/>
      <c r="AF52" s="689"/>
      <c r="AG52" s="689"/>
    </row>
    <row r="53" spans="2:33" ht="15.9">
      <c r="B53" s="1574"/>
      <c r="C53" s="868" t="s">
        <v>712</v>
      </c>
      <c r="D53" s="1991"/>
      <c r="E53" s="865" t="s">
        <v>154</v>
      </c>
      <c r="F53" s="866" t="s">
        <v>155</v>
      </c>
      <c r="G53" s="1993"/>
      <c r="H53" s="1994"/>
      <c r="I53" s="1994"/>
      <c r="J53" s="2001"/>
      <c r="K53" s="867" t="s">
        <v>569</v>
      </c>
      <c r="L53" s="1087"/>
      <c r="M53" s="878" t="s">
        <v>154</v>
      </c>
      <c r="N53" s="875" t="s">
        <v>155</v>
      </c>
      <c r="O53" s="875" t="s">
        <v>575</v>
      </c>
      <c r="P53" s="875" t="s">
        <v>571</v>
      </c>
      <c r="Q53" s="879" t="s">
        <v>572</v>
      </c>
      <c r="R53" s="2001"/>
      <c r="S53" s="870" t="s">
        <v>569</v>
      </c>
      <c r="T53" s="706"/>
      <c r="U53" s="874" t="s">
        <v>154</v>
      </c>
      <c r="V53" s="875" t="s">
        <v>155</v>
      </c>
      <c r="W53" s="875" t="s">
        <v>575</v>
      </c>
      <c r="X53" s="875" t="s">
        <v>571</v>
      </c>
      <c r="Y53" s="869" t="s">
        <v>572</v>
      </c>
      <c r="Z53" s="2001"/>
      <c r="AA53" s="870" t="s">
        <v>569</v>
      </c>
      <c r="AC53" s="688"/>
      <c r="AD53" s="688"/>
      <c r="AE53" s="688"/>
      <c r="AF53" s="689"/>
      <c r="AG53" s="689"/>
    </row>
    <row r="54" spans="2:33" ht="14.6">
      <c r="B54" s="895">
        <v>35</v>
      </c>
      <c r="C54" s="1531" t="s">
        <v>688</v>
      </c>
      <c r="D54" s="1543" t="s">
        <v>689</v>
      </c>
      <c r="E54" s="1532">
        <v>3</v>
      </c>
      <c r="F54" s="1533">
        <v>129000</v>
      </c>
      <c r="G54" s="1534">
        <v>0.16400000000000001</v>
      </c>
      <c r="H54" s="1534">
        <v>2.1000000000000001E-2</v>
      </c>
      <c r="I54" s="1533">
        <f t="shared" ref="I54:I74" si="16">F54*H54</f>
        <v>2709</v>
      </c>
      <c r="J54" s="1619">
        <v>1.0999999999999999E-2</v>
      </c>
      <c r="K54" s="1534">
        <v>0.13900000000000001</v>
      </c>
      <c r="L54" s="890"/>
      <c r="M54" s="1542">
        <v>3</v>
      </c>
      <c r="N54" s="1533">
        <v>118000</v>
      </c>
      <c r="O54" s="1534">
        <v>0.159</v>
      </c>
      <c r="P54" s="1534">
        <v>2.8000000000000001E-2</v>
      </c>
      <c r="Q54" s="1533">
        <f t="shared" ref="Q54:Q74" si="17">N54*P54</f>
        <v>3304</v>
      </c>
      <c r="R54" s="1619">
        <v>0</v>
      </c>
      <c r="S54" s="1534">
        <v>6.3E-2</v>
      </c>
      <c r="T54" s="1086"/>
      <c r="U54" s="1542">
        <v>2</v>
      </c>
      <c r="V54" s="1533">
        <v>90000</v>
      </c>
      <c r="W54" s="1534">
        <v>0.156</v>
      </c>
      <c r="X54" s="1534">
        <v>0.03</v>
      </c>
      <c r="Y54" s="1533">
        <f t="shared" ref="Y54:Y74" si="18">V54*X54</f>
        <v>2700</v>
      </c>
      <c r="Z54" s="1619">
        <v>0</v>
      </c>
      <c r="AA54" s="1534">
        <v>1.0999999999999999E-2</v>
      </c>
      <c r="AC54" s="571"/>
      <c r="AD54" s="571"/>
      <c r="AE54" s="571"/>
      <c r="AF54" s="697"/>
      <c r="AG54" s="692"/>
    </row>
    <row r="55" spans="2:33" ht="14.6">
      <c r="B55" s="894">
        <f>1+B54</f>
        <v>36</v>
      </c>
      <c r="C55" s="1504" t="s">
        <v>803</v>
      </c>
      <c r="D55" s="1084">
        <v>4932</v>
      </c>
      <c r="E55" s="1519">
        <v>3</v>
      </c>
      <c r="F55" s="1507">
        <v>62000</v>
      </c>
      <c r="G55" s="1508">
        <v>0.11</v>
      </c>
      <c r="H55" s="1508">
        <v>0.01</v>
      </c>
      <c r="I55" s="1621">
        <f t="shared" si="16"/>
        <v>620</v>
      </c>
      <c r="J55" s="1620">
        <v>0</v>
      </c>
      <c r="K55" s="1508">
        <v>0.217</v>
      </c>
      <c r="L55" s="890"/>
      <c r="M55" s="1506">
        <v>2</v>
      </c>
      <c r="N55" s="1507">
        <v>47000</v>
      </c>
      <c r="O55" s="1508">
        <v>0.113</v>
      </c>
      <c r="P55" s="1508">
        <v>1.2E-2</v>
      </c>
      <c r="Q55" s="1507">
        <f t="shared" si="17"/>
        <v>564</v>
      </c>
      <c r="R55" s="1620">
        <v>0</v>
      </c>
      <c r="S55" s="1508">
        <v>1.7000000000000001E-2</v>
      </c>
      <c r="T55" s="1086"/>
      <c r="U55" s="1506">
        <v>1</v>
      </c>
      <c r="V55" s="1507">
        <v>41000</v>
      </c>
      <c r="W55" s="1508">
        <v>0.08</v>
      </c>
      <c r="X55" s="1508">
        <v>1.4999999999999999E-2</v>
      </c>
      <c r="Y55" s="1507">
        <f t="shared" si="18"/>
        <v>615</v>
      </c>
      <c r="Z55" s="1620">
        <v>0</v>
      </c>
      <c r="AA55" s="1508">
        <v>0</v>
      </c>
      <c r="AC55" s="571"/>
      <c r="AD55" s="571"/>
      <c r="AE55" s="571"/>
      <c r="AF55" s="697"/>
      <c r="AG55" s="692"/>
    </row>
    <row r="56" spans="2:33" ht="14.6">
      <c r="B56" s="895">
        <f t="shared" ref="B56:B74" si="19">1+B55</f>
        <v>37</v>
      </c>
      <c r="C56" s="1531" t="s">
        <v>213</v>
      </c>
      <c r="D56" s="1541">
        <v>4941</v>
      </c>
      <c r="E56" s="1532">
        <v>5</v>
      </c>
      <c r="F56" s="1533">
        <v>127000</v>
      </c>
      <c r="G56" s="1534">
        <v>8.7999999999999995E-2</v>
      </c>
      <c r="H56" s="1534">
        <v>4.1000000000000002E-2</v>
      </c>
      <c r="I56" s="1533">
        <f t="shared" si="16"/>
        <v>5207</v>
      </c>
      <c r="J56" s="1619">
        <v>0</v>
      </c>
      <c r="K56" s="1534">
        <v>0.13300000000000001</v>
      </c>
      <c r="L56" s="890"/>
      <c r="M56" s="1542">
        <v>6</v>
      </c>
      <c r="N56" s="1533">
        <v>125000</v>
      </c>
      <c r="O56" s="1534">
        <v>0.09</v>
      </c>
      <c r="P56" s="1534">
        <v>4.4999999999999998E-2</v>
      </c>
      <c r="Q56" s="1533">
        <f t="shared" si="17"/>
        <v>5625</v>
      </c>
      <c r="R56" s="1619">
        <v>0</v>
      </c>
      <c r="S56" s="1534">
        <v>9.0999999999999998E-2</v>
      </c>
      <c r="T56" s="1086"/>
      <c r="U56" s="1542">
        <v>5</v>
      </c>
      <c r="V56" s="1533">
        <v>114000</v>
      </c>
      <c r="W56" s="1534">
        <v>0.1</v>
      </c>
      <c r="X56" s="1534">
        <v>3.6999999999999998E-2</v>
      </c>
      <c r="Y56" s="1533">
        <f t="shared" si="18"/>
        <v>4218</v>
      </c>
      <c r="Z56" s="1619">
        <v>0</v>
      </c>
      <c r="AA56" s="1534">
        <v>3.0000000000000001E-3</v>
      </c>
      <c r="AC56" s="571"/>
      <c r="AD56" s="571"/>
      <c r="AE56" s="571"/>
      <c r="AF56" s="697"/>
      <c r="AG56" s="692"/>
    </row>
    <row r="57" spans="2:33" ht="14.6">
      <c r="B57" s="894">
        <f t="shared" si="19"/>
        <v>38</v>
      </c>
      <c r="C57" s="1504" t="s">
        <v>563</v>
      </c>
      <c r="D57" s="1518">
        <v>551</v>
      </c>
      <c r="E57" s="1519">
        <v>5</v>
      </c>
      <c r="F57" s="1507">
        <v>106000</v>
      </c>
      <c r="G57" s="1508">
        <v>0.105</v>
      </c>
      <c r="H57" s="1508">
        <v>-1.0999999999999999E-2</v>
      </c>
      <c r="I57" s="1621">
        <f t="shared" si="16"/>
        <v>-1166</v>
      </c>
      <c r="J57" s="1620">
        <v>8.0000000000000002E-3</v>
      </c>
      <c r="K57" s="1508">
        <v>0.38200000000000001</v>
      </c>
      <c r="L57" s="890"/>
      <c r="M57" s="1506">
        <v>3</v>
      </c>
      <c r="N57" s="1507">
        <v>72000</v>
      </c>
      <c r="O57" s="1508">
        <v>8.8999999999999996E-2</v>
      </c>
      <c r="P57" s="1508">
        <v>-1.9E-2</v>
      </c>
      <c r="Q57" s="1507">
        <f t="shared" si="17"/>
        <v>-1368</v>
      </c>
      <c r="R57" s="1620">
        <v>0.01</v>
      </c>
      <c r="S57" s="1508">
        <v>0.114</v>
      </c>
      <c r="T57" s="1086"/>
      <c r="U57" s="1506">
        <v>5</v>
      </c>
      <c r="V57" s="1507">
        <v>75000</v>
      </c>
      <c r="W57" s="1508">
        <v>0.06</v>
      </c>
      <c r="X57" s="1508">
        <v>-5.0000000000000001E-3</v>
      </c>
      <c r="Y57" s="1507">
        <f t="shared" si="18"/>
        <v>-375</v>
      </c>
      <c r="Z57" s="1620">
        <v>0.01</v>
      </c>
      <c r="AA57" s="1508">
        <v>-0.16900000000000001</v>
      </c>
      <c r="AC57" s="571"/>
      <c r="AD57" s="571"/>
      <c r="AE57" s="571"/>
      <c r="AF57" s="697"/>
      <c r="AG57" s="692"/>
    </row>
    <row r="58" spans="2:33" ht="14.6">
      <c r="B58" s="895">
        <f t="shared" si="19"/>
        <v>39</v>
      </c>
      <c r="C58" s="1531" t="s">
        <v>564</v>
      </c>
      <c r="D58" s="1541">
        <v>561</v>
      </c>
      <c r="E58" s="1532">
        <v>4</v>
      </c>
      <c r="F58" s="1533">
        <v>71000</v>
      </c>
      <c r="G58" s="1534">
        <v>7.6999999999999999E-2</v>
      </c>
      <c r="H58" s="1534">
        <v>1.6E-2</v>
      </c>
      <c r="I58" s="1533">
        <f t="shared" si="16"/>
        <v>1136</v>
      </c>
      <c r="J58" s="1619">
        <v>1.2E-2</v>
      </c>
      <c r="K58" s="1534">
        <v>0.29799999999999999</v>
      </c>
      <c r="L58" s="890"/>
      <c r="M58" s="1542">
        <v>5</v>
      </c>
      <c r="N58" s="1533">
        <v>70000</v>
      </c>
      <c r="O58" s="1534">
        <v>6.0999999999999999E-2</v>
      </c>
      <c r="P58" s="1534">
        <v>-2E-3</v>
      </c>
      <c r="Q58" s="1533">
        <f t="shared" si="17"/>
        <v>-140</v>
      </c>
      <c r="R58" s="1619">
        <v>1.4999999999999999E-2</v>
      </c>
      <c r="S58" s="1534">
        <v>4.2000000000000003E-2</v>
      </c>
      <c r="T58" s="1086"/>
      <c r="U58" s="1542">
        <v>4</v>
      </c>
      <c r="V58" s="1533">
        <v>62000</v>
      </c>
      <c r="W58" s="1534">
        <v>5.5E-2</v>
      </c>
      <c r="X58" s="1534">
        <v>0</v>
      </c>
      <c r="Y58" s="1533">
        <f t="shared" si="18"/>
        <v>0</v>
      </c>
      <c r="Z58" s="1619">
        <v>1.4999999999999999E-2</v>
      </c>
      <c r="AA58" s="1534">
        <v>0</v>
      </c>
      <c r="AC58" s="571"/>
      <c r="AD58" s="571"/>
      <c r="AE58" s="571"/>
      <c r="AF58" s="697"/>
      <c r="AG58" s="692"/>
    </row>
    <row r="59" spans="2:33" ht="14.6">
      <c r="B59" s="894">
        <f t="shared" si="19"/>
        <v>40</v>
      </c>
      <c r="C59" s="1504" t="s">
        <v>513</v>
      </c>
      <c r="D59" s="1518">
        <v>562</v>
      </c>
      <c r="E59" s="1519">
        <v>7</v>
      </c>
      <c r="F59" s="1507">
        <v>53000</v>
      </c>
      <c r="G59" s="1508">
        <v>3.2000000000000001E-2</v>
      </c>
      <c r="H59" s="1508">
        <v>0</v>
      </c>
      <c r="I59" s="1621">
        <f t="shared" si="16"/>
        <v>0</v>
      </c>
      <c r="J59" s="1620">
        <v>1.3999999999999999E-2</v>
      </c>
      <c r="K59" s="1508">
        <v>0</v>
      </c>
      <c r="L59" s="890"/>
      <c r="M59" s="1506">
        <v>7</v>
      </c>
      <c r="N59" s="1507">
        <v>53000</v>
      </c>
      <c r="O59" s="1508">
        <v>3.2000000000000001E-2</v>
      </c>
      <c r="P59" s="1508">
        <v>0</v>
      </c>
      <c r="Q59" s="1507">
        <f t="shared" si="17"/>
        <v>0</v>
      </c>
      <c r="R59" s="1620">
        <v>1.3999999999999999E-2</v>
      </c>
      <c r="S59" s="1508">
        <v>0</v>
      </c>
      <c r="T59" s="1086"/>
      <c r="U59" s="1506">
        <v>4</v>
      </c>
      <c r="V59" s="1507">
        <v>48000</v>
      </c>
      <c r="W59" s="1508">
        <v>4.5999999999999999E-2</v>
      </c>
      <c r="X59" s="1508">
        <v>0</v>
      </c>
      <c r="Y59" s="1507">
        <f t="shared" si="18"/>
        <v>0</v>
      </c>
      <c r="Z59" s="1620">
        <v>1.3999999999999999E-2</v>
      </c>
      <c r="AA59" s="1508">
        <v>-0.10100000000000001</v>
      </c>
      <c r="AC59" s="571"/>
      <c r="AD59" s="571"/>
      <c r="AE59" s="571"/>
      <c r="AF59" s="697"/>
      <c r="AG59" s="692"/>
    </row>
    <row r="60" spans="2:33" ht="14.6">
      <c r="B60" s="895">
        <f t="shared" si="19"/>
        <v>41</v>
      </c>
      <c r="C60" s="1531" t="s">
        <v>583</v>
      </c>
      <c r="D60" s="1541">
        <v>56302</v>
      </c>
      <c r="E60" s="1532">
        <v>4</v>
      </c>
      <c r="F60" s="1533">
        <v>52000</v>
      </c>
      <c r="G60" s="1534">
        <v>3.2000000000000001E-2</v>
      </c>
      <c r="H60" s="1534">
        <v>2E-3</v>
      </c>
      <c r="I60" s="1533">
        <f t="shared" si="16"/>
        <v>104</v>
      </c>
      <c r="J60" s="1619">
        <v>1.7000000000000001E-2</v>
      </c>
      <c r="K60" s="1534">
        <v>0.185</v>
      </c>
      <c r="L60" s="890"/>
      <c r="M60" s="1542">
        <v>5</v>
      </c>
      <c r="N60" s="1533">
        <v>53000</v>
      </c>
      <c r="O60" s="1534">
        <v>4.2000000000000003E-2</v>
      </c>
      <c r="P60" s="1534">
        <v>8.0000000000000002E-3</v>
      </c>
      <c r="Q60" s="1533">
        <f t="shared" si="17"/>
        <v>424</v>
      </c>
      <c r="R60" s="1619">
        <v>2.1000000000000001E-2</v>
      </c>
      <c r="S60" s="1534">
        <v>0.11899999999999999</v>
      </c>
      <c r="T60" s="1086"/>
      <c r="U60" s="1542">
        <v>2</v>
      </c>
      <c r="V60" s="1533">
        <v>52000</v>
      </c>
      <c r="W60" s="1534">
        <v>3.5000000000000003E-2</v>
      </c>
      <c r="X60" s="1534">
        <v>-3.0000000000000001E-3</v>
      </c>
      <c r="Y60" s="1533">
        <f t="shared" si="18"/>
        <v>-156</v>
      </c>
      <c r="Z60" s="1619">
        <v>2.1000000000000001E-2</v>
      </c>
      <c r="AA60" s="1534">
        <v>0</v>
      </c>
      <c r="AC60" s="571"/>
      <c r="AD60" s="571"/>
      <c r="AE60" s="571"/>
      <c r="AF60" s="697"/>
      <c r="AG60" s="692"/>
    </row>
    <row r="61" spans="2:33" ht="14.6">
      <c r="B61" s="1640">
        <f t="shared" si="19"/>
        <v>42</v>
      </c>
      <c r="C61" s="1504" t="s">
        <v>216</v>
      </c>
      <c r="D61" s="1518">
        <v>62</v>
      </c>
      <c r="E61" s="1519">
        <v>6</v>
      </c>
      <c r="F61" s="1507">
        <v>62000</v>
      </c>
      <c r="G61" s="1508">
        <v>4.2999999999999997E-2</v>
      </c>
      <c r="H61" s="1508">
        <v>5.3999999999999999E-2</v>
      </c>
      <c r="I61" s="1621">
        <f t="shared" si="16"/>
        <v>3348</v>
      </c>
      <c r="J61" s="1620">
        <v>0</v>
      </c>
      <c r="K61" s="1508">
        <v>0.123</v>
      </c>
      <c r="L61" s="890"/>
      <c r="M61" s="1506">
        <v>6</v>
      </c>
      <c r="N61" s="1507">
        <v>67000</v>
      </c>
      <c r="O61" s="1508">
        <v>4.4999999999999998E-2</v>
      </c>
      <c r="P61" s="1508">
        <v>4.2999999999999997E-2</v>
      </c>
      <c r="Q61" s="1507">
        <f t="shared" si="17"/>
        <v>2880.9999999999995</v>
      </c>
      <c r="R61" s="1620">
        <v>0</v>
      </c>
      <c r="S61" s="1508">
        <v>0.13500000000000001</v>
      </c>
      <c r="T61" s="1086"/>
      <c r="U61" s="1506">
        <v>5</v>
      </c>
      <c r="V61" s="1507">
        <v>61000</v>
      </c>
      <c r="W61" s="1508">
        <v>5.2999999999999999E-2</v>
      </c>
      <c r="X61" s="1508">
        <v>4.8000000000000001E-2</v>
      </c>
      <c r="Y61" s="1507">
        <f t="shared" si="18"/>
        <v>2928</v>
      </c>
      <c r="Z61" s="1620">
        <v>0</v>
      </c>
      <c r="AA61" s="1508">
        <v>3.7999999999999999E-2</v>
      </c>
      <c r="AC61" s="571"/>
      <c r="AD61" s="571"/>
      <c r="AE61" s="571"/>
      <c r="AF61" s="697"/>
      <c r="AG61" s="692"/>
    </row>
    <row r="62" spans="2:33" s="240" customFormat="1" ht="14.6">
      <c r="B62" s="895">
        <f t="shared" si="19"/>
        <v>43</v>
      </c>
      <c r="C62" s="1531" t="s">
        <v>810</v>
      </c>
      <c r="D62" s="1541">
        <v>6831</v>
      </c>
      <c r="E62" s="1532">
        <v>2</v>
      </c>
      <c r="F62" s="1533">
        <v>75000</v>
      </c>
      <c r="G62" s="1534">
        <v>5.0000000000000001E-3</v>
      </c>
      <c r="H62" s="1534">
        <v>-3.0000000000000001E-3</v>
      </c>
      <c r="I62" s="1533">
        <f t="shared" si="16"/>
        <v>-225</v>
      </c>
      <c r="J62" s="1619">
        <v>0</v>
      </c>
      <c r="K62" s="1534">
        <v>-3.5999999999999997E-2</v>
      </c>
      <c r="L62" s="890"/>
      <c r="M62" s="1542">
        <v>1</v>
      </c>
      <c r="N62" s="1533">
        <v>65000</v>
      </c>
      <c r="O62" s="1534">
        <v>5.8000000000000003E-2</v>
      </c>
      <c r="P62" s="1534">
        <v>0</v>
      </c>
      <c r="Q62" s="1533">
        <f t="shared" si="17"/>
        <v>0</v>
      </c>
      <c r="R62" s="1619">
        <v>0</v>
      </c>
      <c r="S62" s="1534">
        <v>0</v>
      </c>
      <c r="T62" s="1086"/>
      <c r="U62" s="1542">
        <v>3</v>
      </c>
      <c r="V62" s="1533">
        <v>64000</v>
      </c>
      <c r="W62" s="1534">
        <v>6.6000000000000003E-2</v>
      </c>
      <c r="X62" s="1534">
        <v>-3.0000000000000001E-3</v>
      </c>
      <c r="Y62" s="1533">
        <f t="shared" si="18"/>
        <v>-192</v>
      </c>
      <c r="Z62" s="1619">
        <v>0</v>
      </c>
      <c r="AA62" s="1534">
        <v>0</v>
      </c>
      <c r="AC62" s="571"/>
      <c r="AD62" s="571"/>
      <c r="AE62" s="571"/>
      <c r="AF62" s="697"/>
      <c r="AG62" s="698"/>
    </row>
    <row r="63" spans="2:33" ht="14.6">
      <c r="B63" s="1640">
        <f t="shared" si="19"/>
        <v>44</v>
      </c>
      <c r="C63" s="1504" t="s">
        <v>217</v>
      </c>
      <c r="D63" s="1518">
        <v>69201</v>
      </c>
      <c r="E63" s="1519">
        <v>3</v>
      </c>
      <c r="F63" s="1507">
        <v>71000</v>
      </c>
      <c r="G63" s="1508">
        <v>9.5000000000000001E-2</v>
      </c>
      <c r="H63" s="1508">
        <v>6.2E-2</v>
      </c>
      <c r="I63" s="1621">
        <f t="shared" si="16"/>
        <v>4402</v>
      </c>
      <c r="J63" s="1620">
        <v>0</v>
      </c>
      <c r="K63" s="1508">
        <v>0.109</v>
      </c>
      <c r="L63" s="890"/>
      <c r="M63" s="1506">
        <v>3</v>
      </c>
      <c r="N63" s="1507">
        <v>70000</v>
      </c>
      <c r="O63" s="1508">
        <v>0.106</v>
      </c>
      <c r="P63" s="1508">
        <v>0.05</v>
      </c>
      <c r="Q63" s="1507">
        <f t="shared" si="17"/>
        <v>3500</v>
      </c>
      <c r="R63" s="1620">
        <v>0</v>
      </c>
      <c r="S63" s="1508">
        <v>8.5000000000000006E-2</v>
      </c>
      <c r="T63" s="1086"/>
      <c r="U63" s="1506">
        <v>2</v>
      </c>
      <c r="V63" s="1507">
        <v>64000</v>
      </c>
      <c r="W63" s="1508">
        <v>9.4E-2</v>
      </c>
      <c r="X63" s="1508">
        <v>7.3999999999999996E-2</v>
      </c>
      <c r="Y63" s="1507">
        <f t="shared" si="18"/>
        <v>4736</v>
      </c>
      <c r="Z63" s="1620">
        <v>0</v>
      </c>
      <c r="AA63" s="1508">
        <v>3.5999999999999997E-2</v>
      </c>
      <c r="AC63" s="571"/>
      <c r="AD63" s="571"/>
      <c r="AE63" s="571"/>
      <c r="AF63" s="697"/>
      <c r="AG63" s="698"/>
    </row>
    <row r="64" spans="2:33" ht="14.6">
      <c r="B64" s="895">
        <f t="shared" si="19"/>
        <v>45</v>
      </c>
      <c r="C64" s="1531" t="s">
        <v>587</v>
      </c>
      <c r="D64" s="1541">
        <v>7112</v>
      </c>
      <c r="E64" s="1532">
        <v>4</v>
      </c>
      <c r="F64" s="1533">
        <v>112000</v>
      </c>
      <c r="G64" s="1534">
        <v>7.9000000000000001E-2</v>
      </c>
      <c r="H64" s="1534">
        <v>0.108</v>
      </c>
      <c r="I64" s="1533">
        <f t="shared" si="16"/>
        <v>12096</v>
      </c>
      <c r="J64" s="1619">
        <v>4.7E-2</v>
      </c>
      <c r="K64" s="1534">
        <v>0.12</v>
      </c>
      <c r="L64" s="890"/>
      <c r="M64" s="1542">
        <v>5</v>
      </c>
      <c r="N64" s="1533">
        <v>104000</v>
      </c>
      <c r="O64" s="1534">
        <v>6.6000000000000003E-2</v>
      </c>
      <c r="P64" s="1534">
        <v>0.115</v>
      </c>
      <c r="Q64" s="1533">
        <f t="shared" si="17"/>
        <v>11960</v>
      </c>
      <c r="R64" s="1619">
        <v>0</v>
      </c>
      <c r="S64" s="1534">
        <v>4.1000000000000002E-2</v>
      </c>
      <c r="T64" s="1086"/>
      <c r="U64" s="1542">
        <v>5</v>
      </c>
      <c r="V64" s="1533">
        <v>101000</v>
      </c>
      <c r="W64" s="1534">
        <v>7.8E-2</v>
      </c>
      <c r="X64" s="1534">
        <v>0.105</v>
      </c>
      <c r="Y64" s="1533">
        <f t="shared" si="18"/>
        <v>10605</v>
      </c>
      <c r="Z64" s="1619">
        <v>0</v>
      </c>
      <c r="AA64" s="1534">
        <v>0</v>
      </c>
      <c r="AC64" s="571"/>
      <c r="AD64" s="571"/>
      <c r="AE64" s="571"/>
      <c r="AF64" s="697"/>
      <c r="AG64" s="692"/>
    </row>
    <row r="65" spans="2:33" ht="14.6">
      <c r="B65" s="1640">
        <f t="shared" si="19"/>
        <v>46</v>
      </c>
      <c r="C65" s="1504" t="s">
        <v>218</v>
      </c>
      <c r="D65" s="1518">
        <v>7311</v>
      </c>
      <c r="E65" s="1519">
        <v>4</v>
      </c>
      <c r="F65" s="1507">
        <v>78000</v>
      </c>
      <c r="G65" s="1508">
        <v>0.05</v>
      </c>
      <c r="H65" s="1508">
        <v>9.2999999999999999E-2</v>
      </c>
      <c r="I65" s="1621">
        <f t="shared" si="16"/>
        <v>7254</v>
      </c>
      <c r="J65" s="1620">
        <v>2.1999999999999999E-2</v>
      </c>
      <c r="K65" s="1508">
        <v>7.6999999999999999E-2</v>
      </c>
      <c r="L65" s="890"/>
      <c r="M65" s="1506">
        <v>4</v>
      </c>
      <c r="N65" s="1507">
        <v>81000</v>
      </c>
      <c r="O65" s="1508">
        <v>7.0000000000000007E-2</v>
      </c>
      <c r="P65" s="1508">
        <v>0.09</v>
      </c>
      <c r="Q65" s="1507">
        <f t="shared" si="17"/>
        <v>7290</v>
      </c>
      <c r="R65" s="1620">
        <v>0</v>
      </c>
      <c r="S65" s="1508">
        <v>9.4E-2</v>
      </c>
      <c r="T65" s="1086"/>
      <c r="U65" s="1506">
        <v>5</v>
      </c>
      <c r="V65" s="1507">
        <v>81000</v>
      </c>
      <c r="W65" s="1508">
        <v>7.1999999999999995E-2</v>
      </c>
      <c r="X65" s="1508">
        <v>6.6000000000000003E-2</v>
      </c>
      <c r="Y65" s="1507">
        <f t="shared" si="18"/>
        <v>5346</v>
      </c>
      <c r="Z65" s="1620">
        <v>0</v>
      </c>
      <c r="AA65" s="1508">
        <v>0</v>
      </c>
      <c r="AC65" s="571"/>
      <c r="AD65" s="571"/>
      <c r="AE65" s="571"/>
      <c r="AF65" s="697"/>
      <c r="AG65" s="698"/>
    </row>
    <row r="66" spans="2:33" ht="14.6">
      <c r="B66" s="895">
        <f t="shared" si="19"/>
        <v>47</v>
      </c>
      <c r="C66" s="1531" t="s">
        <v>214</v>
      </c>
      <c r="D66" s="1541">
        <v>811</v>
      </c>
      <c r="E66" s="1532">
        <v>5</v>
      </c>
      <c r="F66" s="1533">
        <v>64000</v>
      </c>
      <c r="G66" s="1534">
        <v>9.9000000000000005E-2</v>
      </c>
      <c r="H66" s="1534">
        <v>2.3E-2</v>
      </c>
      <c r="I66" s="1533">
        <f t="shared" si="16"/>
        <v>1472</v>
      </c>
      <c r="J66" s="1619">
        <v>4.0000000000000001E-3</v>
      </c>
      <c r="K66" s="1534">
        <v>0.128</v>
      </c>
      <c r="L66" s="890"/>
      <c r="M66" s="1542">
        <v>4</v>
      </c>
      <c r="N66" s="1533">
        <v>61000</v>
      </c>
      <c r="O66" s="1534">
        <v>0.109</v>
      </c>
      <c r="P66" s="1534">
        <v>1.4E-2</v>
      </c>
      <c r="Q66" s="1533">
        <f t="shared" si="17"/>
        <v>854</v>
      </c>
      <c r="R66" s="1619">
        <v>0</v>
      </c>
      <c r="S66" s="1534">
        <v>5.8999999999999997E-2</v>
      </c>
      <c r="T66" s="1086"/>
      <c r="U66" s="1542">
        <v>2</v>
      </c>
      <c r="V66" s="1533">
        <v>58000</v>
      </c>
      <c r="W66" s="1534">
        <v>0.14699999999999999</v>
      </c>
      <c r="X66" s="1534">
        <v>2.4E-2</v>
      </c>
      <c r="Y66" s="1533">
        <f t="shared" si="18"/>
        <v>1392</v>
      </c>
      <c r="Z66" s="1619">
        <v>0</v>
      </c>
      <c r="AA66" s="1534">
        <v>0</v>
      </c>
      <c r="AC66" s="571"/>
      <c r="AD66" s="571"/>
      <c r="AE66" s="571"/>
      <c r="AF66" s="697"/>
      <c r="AG66" s="692"/>
    </row>
    <row r="67" spans="2:33" ht="14.6">
      <c r="B67" s="1640">
        <f t="shared" si="19"/>
        <v>48</v>
      </c>
      <c r="C67" s="1504" t="s">
        <v>215</v>
      </c>
      <c r="D67" s="1518">
        <v>812</v>
      </c>
      <c r="E67" s="1519">
        <v>4</v>
      </c>
      <c r="F67" s="1507">
        <v>49000</v>
      </c>
      <c r="G67" s="1508">
        <v>6.4000000000000001E-2</v>
      </c>
      <c r="H67" s="1508">
        <v>5.2999999999999999E-2</v>
      </c>
      <c r="I67" s="1621">
        <f t="shared" si="16"/>
        <v>2597</v>
      </c>
      <c r="J67" s="1620">
        <v>5.0000000000000001E-3</v>
      </c>
      <c r="K67" s="1508">
        <v>0.122</v>
      </c>
      <c r="L67" s="890"/>
      <c r="M67" s="1506">
        <v>10</v>
      </c>
      <c r="N67" s="1507">
        <v>41000</v>
      </c>
      <c r="O67" s="1508">
        <v>8.1000000000000003E-2</v>
      </c>
      <c r="P67" s="1508">
        <v>7.2999999999999995E-2</v>
      </c>
      <c r="Q67" s="1507">
        <f t="shared" si="17"/>
        <v>2993</v>
      </c>
      <c r="R67" s="1620">
        <v>0</v>
      </c>
      <c r="S67" s="1508">
        <v>0.124</v>
      </c>
      <c r="T67" s="1086"/>
      <c r="U67" s="1506">
        <v>6</v>
      </c>
      <c r="V67" s="1507">
        <v>44000</v>
      </c>
      <c r="W67" s="1508">
        <v>9.1999999999999998E-2</v>
      </c>
      <c r="X67" s="1508">
        <v>7.2999999999999995E-2</v>
      </c>
      <c r="Y67" s="1507">
        <f t="shared" si="18"/>
        <v>3212</v>
      </c>
      <c r="Z67" s="1620">
        <v>0</v>
      </c>
      <c r="AA67" s="1508">
        <v>0</v>
      </c>
      <c r="AC67" s="571"/>
      <c r="AD67" s="571"/>
      <c r="AE67" s="571"/>
      <c r="AF67" s="697"/>
      <c r="AG67" s="698"/>
    </row>
    <row r="68" spans="2:33" ht="14.6">
      <c r="B68" s="895">
        <f t="shared" si="19"/>
        <v>49</v>
      </c>
      <c r="C68" s="1531" t="s">
        <v>584</v>
      </c>
      <c r="D68" s="1541">
        <v>8622</v>
      </c>
      <c r="E68" s="1532">
        <v>5</v>
      </c>
      <c r="F68" s="1533">
        <v>96000</v>
      </c>
      <c r="G68" s="1534">
        <v>1.7999999999999999E-2</v>
      </c>
      <c r="H68" s="1534">
        <v>2.1000000000000001E-2</v>
      </c>
      <c r="I68" s="1533">
        <f t="shared" si="16"/>
        <v>2016.0000000000002</v>
      </c>
      <c r="J68" s="1619">
        <v>4.0000000000000001E-3</v>
      </c>
      <c r="K68" s="1534">
        <v>0.13500000000000001</v>
      </c>
      <c r="L68" s="890"/>
      <c r="M68" s="1542">
        <v>5</v>
      </c>
      <c r="N68" s="1533">
        <v>94000</v>
      </c>
      <c r="O68" s="1534">
        <v>3.5999999999999997E-2</v>
      </c>
      <c r="P68" s="1534">
        <v>3.2000000000000001E-2</v>
      </c>
      <c r="Q68" s="1533">
        <f t="shared" si="17"/>
        <v>3008</v>
      </c>
      <c r="R68" s="1619">
        <v>8.0000000000000002E-3</v>
      </c>
      <c r="S68" s="1534">
        <v>1.4999999999999999E-2</v>
      </c>
      <c r="T68" s="1086"/>
      <c r="U68" s="1542">
        <v>5</v>
      </c>
      <c r="V68" s="1533">
        <v>107000</v>
      </c>
      <c r="W68" s="1534">
        <v>4.1000000000000002E-2</v>
      </c>
      <c r="X68" s="1534">
        <v>3.5999999999999997E-2</v>
      </c>
      <c r="Y68" s="1533">
        <f t="shared" si="18"/>
        <v>3851.9999999999995</v>
      </c>
      <c r="Z68" s="1619">
        <v>8.9999999999999993E-3</v>
      </c>
      <c r="AA68" s="1534">
        <v>0</v>
      </c>
      <c r="AC68" s="571"/>
      <c r="AD68" s="571"/>
      <c r="AE68" s="571"/>
      <c r="AF68" s="697"/>
      <c r="AG68" s="698"/>
    </row>
    <row r="69" spans="2:33" ht="14.6">
      <c r="B69" s="1640">
        <f t="shared" si="19"/>
        <v>50</v>
      </c>
      <c r="C69" s="1504" t="s">
        <v>514</v>
      </c>
      <c r="D69" s="1518">
        <v>8623</v>
      </c>
      <c r="E69" s="1519">
        <v>4</v>
      </c>
      <c r="F69" s="1507">
        <v>119000</v>
      </c>
      <c r="G69" s="1508">
        <v>8.5999999999999993E-2</v>
      </c>
      <c r="H69" s="1508">
        <v>0.01</v>
      </c>
      <c r="I69" s="1621">
        <f t="shared" si="16"/>
        <v>1190</v>
      </c>
      <c r="J69" s="1620">
        <v>2E-3</v>
      </c>
      <c r="K69" s="1508">
        <v>3.1E-2</v>
      </c>
      <c r="L69" s="890"/>
      <c r="M69" s="1506">
        <v>3</v>
      </c>
      <c r="N69" s="1507">
        <v>105000</v>
      </c>
      <c r="O69" s="1508">
        <v>0.104</v>
      </c>
      <c r="P69" s="1508">
        <v>1.7000000000000001E-2</v>
      </c>
      <c r="Q69" s="1507">
        <f t="shared" si="17"/>
        <v>1785.0000000000002</v>
      </c>
      <c r="R69" s="1620">
        <v>3.2000000000000001E-2</v>
      </c>
      <c r="S69" s="1508">
        <v>5.8000000000000003E-2</v>
      </c>
      <c r="T69" s="1086"/>
      <c r="U69" s="1506">
        <v>3</v>
      </c>
      <c r="V69" s="1507">
        <v>115000</v>
      </c>
      <c r="W69" s="1508">
        <v>0.122</v>
      </c>
      <c r="X69" s="1508">
        <v>8.9999999999999993E-3</v>
      </c>
      <c r="Y69" s="1507">
        <f t="shared" si="18"/>
        <v>1035</v>
      </c>
      <c r="Z69" s="1620">
        <v>1.9E-2</v>
      </c>
      <c r="AA69" s="1508">
        <v>0</v>
      </c>
      <c r="AC69" s="571"/>
      <c r="AD69" s="571"/>
      <c r="AE69" s="571"/>
      <c r="AF69" s="697"/>
      <c r="AG69" s="692"/>
    </row>
    <row r="70" spans="2:33" ht="14.6">
      <c r="B70" s="895">
        <f t="shared" si="19"/>
        <v>51</v>
      </c>
      <c r="C70" s="1531" t="s">
        <v>317</v>
      </c>
      <c r="D70" s="1541">
        <v>86901</v>
      </c>
      <c r="E70" s="1532">
        <v>3</v>
      </c>
      <c r="F70" s="1533">
        <v>50000</v>
      </c>
      <c r="G70" s="1534">
        <v>8.4000000000000005E-2</v>
      </c>
      <c r="H70" s="1534">
        <v>2.5999999999999999E-2</v>
      </c>
      <c r="I70" s="1533">
        <f t="shared" si="16"/>
        <v>1300</v>
      </c>
      <c r="J70" s="1619">
        <v>2E-3</v>
      </c>
      <c r="K70" s="1534">
        <v>4.2999999999999997E-2</v>
      </c>
      <c r="L70" s="890"/>
      <c r="M70" s="1542">
        <v>3</v>
      </c>
      <c r="N70" s="1533">
        <v>61000</v>
      </c>
      <c r="O70" s="1534">
        <v>0.14299999999999999</v>
      </c>
      <c r="P70" s="1534">
        <v>3.2000000000000001E-2</v>
      </c>
      <c r="Q70" s="1533">
        <f t="shared" si="17"/>
        <v>1952</v>
      </c>
      <c r="R70" s="1619">
        <v>7.0000000000000001E-3</v>
      </c>
      <c r="S70" s="1534">
        <v>0.14799999999999999</v>
      </c>
      <c r="T70" s="1086"/>
      <c r="U70" s="1542">
        <v>3</v>
      </c>
      <c r="V70" s="1533">
        <v>54000</v>
      </c>
      <c r="W70" s="1534">
        <v>0.11899999999999999</v>
      </c>
      <c r="X70" s="1534">
        <v>4.8000000000000001E-2</v>
      </c>
      <c r="Y70" s="1533">
        <f t="shared" si="18"/>
        <v>2592</v>
      </c>
      <c r="Z70" s="1619">
        <v>4.0000000000000001E-3</v>
      </c>
      <c r="AA70" s="1534">
        <v>2.5999999999999999E-2</v>
      </c>
      <c r="AC70" s="696"/>
      <c r="AD70" s="695"/>
      <c r="AE70" s="695"/>
      <c r="AF70" s="695"/>
      <c r="AG70" s="695"/>
    </row>
    <row r="71" spans="2:33" ht="14.6">
      <c r="B71" s="1640">
        <f t="shared" si="19"/>
        <v>52</v>
      </c>
      <c r="C71" s="1504" t="s">
        <v>585</v>
      </c>
      <c r="D71" s="1518">
        <v>8891</v>
      </c>
      <c r="E71" s="1519">
        <v>11</v>
      </c>
      <c r="F71" s="1507">
        <v>47000</v>
      </c>
      <c r="G71" s="1508">
        <v>0.04</v>
      </c>
      <c r="H71" s="1508">
        <v>0.03</v>
      </c>
      <c r="I71" s="1621">
        <f t="shared" si="16"/>
        <v>1410</v>
      </c>
      <c r="J71" s="1620">
        <v>0</v>
      </c>
      <c r="K71" s="1508">
        <v>2.5999999999999999E-2</v>
      </c>
      <c r="L71" s="890"/>
      <c r="M71" s="1506">
        <v>12</v>
      </c>
      <c r="N71" s="1507">
        <v>48000</v>
      </c>
      <c r="O71" s="1508">
        <v>3.7999999999999999E-2</v>
      </c>
      <c r="P71" s="1508">
        <v>2.3E-2</v>
      </c>
      <c r="Q71" s="1507">
        <f t="shared" si="17"/>
        <v>1104</v>
      </c>
      <c r="R71" s="1620">
        <v>0</v>
      </c>
      <c r="S71" s="1508">
        <v>8.1000000000000003E-2</v>
      </c>
      <c r="T71" s="1086"/>
      <c r="U71" s="1506">
        <v>6</v>
      </c>
      <c r="V71" s="1507">
        <v>46000</v>
      </c>
      <c r="W71" s="1508">
        <v>7.5999999999999998E-2</v>
      </c>
      <c r="X71" s="1508">
        <v>8.0000000000000002E-3</v>
      </c>
      <c r="Y71" s="1507">
        <f t="shared" si="18"/>
        <v>368</v>
      </c>
      <c r="Z71" s="1620">
        <v>0</v>
      </c>
      <c r="AA71" s="1508">
        <v>5.8999999999999997E-2</v>
      </c>
      <c r="AC71" s="571"/>
      <c r="AD71" s="571"/>
      <c r="AE71" s="571"/>
      <c r="AF71" s="697"/>
      <c r="AG71" s="698"/>
    </row>
    <row r="72" spans="2:33" s="240" customFormat="1" ht="14.6">
      <c r="B72" s="895">
        <f t="shared" si="19"/>
        <v>53</v>
      </c>
      <c r="C72" s="1531" t="s">
        <v>515</v>
      </c>
      <c r="D72" s="1541">
        <v>9313</v>
      </c>
      <c r="E72" s="1532">
        <v>2</v>
      </c>
      <c r="F72" s="1533">
        <v>63000</v>
      </c>
      <c r="G72" s="1534">
        <v>8.1000000000000003E-2</v>
      </c>
      <c r="H72" s="1534">
        <v>1.6E-2</v>
      </c>
      <c r="I72" s="1533">
        <f t="shared" si="16"/>
        <v>1008</v>
      </c>
      <c r="J72" s="1619">
        <v>0</v>
      </c>
      <c r="K72" s="1534">
        <v>0</v>
      </c>
      <c r="L72" s="890"/>
      <c r="M72" s="1542">
        <v>2</v>
      </c>
      <c r="N72" s="1533">
        <v>58000</v>
      </c>
      <c r="O72" s="1534">
        <v>7.1999999999999995E-2</v>
      </c>
      <c r="P72" s="1534">
        <v>0.02</v>
      </c>
      <c r="Q72" s="1533">
        <f t="shared" si="17"/>
        <v>1160</v>
      </c>
      <c r="R72" s="1619">
        <v>0</v>
      </c>
      <c r="S72" s="1534">
        <v>0.01</v>
      </c>
      <c r="T72" s="1086"/>
      <c r="U72" s="1542">
        <v>2</v>
      </c>
      <c r="V72" s="1533">
        <v>55000</v>
      </c>
      <c r="W72" s="1534">
        <v>9.5000000000000001E-2</v>
      </c>
      <c r="X72" s="1534">
        <v>0.01</v>
      </c>
      <c r="Y72" s="1533">
        <f t="shared" si="18"/>
        <v>550</v>
      </c>
      <c r="Z72" s="1619">
        <v>0</v>
      </c>
      <c r="AA72" s="1534">
        <v>-4.8000000000000001E-2</v>
      </c>
      <c r="AC72" s="571"/>
      <c r="AD72" s="571"/>
      <c r="AE72" s="571"/>
      <c r="AF72" s="697"/>
      <c r="AG72" s="692"/>
    </row>
    <row r="73" spans="2:33" ht="14.6">
      <c r="B73" s="1640">
        <f t="shared" si="19"/>
        <v>54</v>
      </c>
      <c r="C73" s="891" t="s">
        <v>710</v>
      </c>
      <c r="D73" s="1518">
        <v>96021</v>
      </c>
      <c r="E73" s="1519">
        <v>1</v>
      </c>
      <c r="F73" s="1507">
        <v>52000</v>
      </c>
      <c r="G73" s="1508">
        <v>0.05</v>
      </c>
      <c r="H73" s="1508">
        <v>3.7999999999999999E-2</v>
      </c>
      <c r="I73" s="1621">
        <f t="shared" si="16"/>
        <v>1976</v>
      </c>
      <c r="J73" s="1620">
        <v>5.6000000000000001E-2</v>
      </c>
      <c r="K73" s="1508">
        <v>0.14299999999999999</v>
      </c>
      <c r="L73" s="890"/>
      <c r="M73" s="1506">
        <v>1</v>
      </c>
      <c r="N73" s="1507">
        <v>51000</v>
      </c>
      <c r="O73" s="1508">
        <v>3.4000000000000002E-2</v>
      </c>
      <c r="P73" s="1508">
        <v>3.6999999999999998E-2</v>
      </c>
      <c r="Q73" s="1507">
        <f t="shared" si="17"/>
        <v>1887</v>
      </c>
      <c r="R73" s="1620">
        <v>7.0000000000000007E-2</v>
      </c>
      <c r="S73" s="1508">
        <v>5.2999999999999999E-2</v>
      </c>
      <c r="T73" s="1086"/>
      <c r="U73" s="1506">
        <v>1</v>
      </c>
      <c r="V73" s="1507">
        <v>52000</v>
      </c>
      <c r="W73" s="1508">
        <v>5.1999999999999998E-2</v>
      </c>
      <c r="X73" s="1508">
        <v>3.7999999999999999E-2</v>
      </c>
      <c r="Y73" s="1507">
        <f t="shared" si="18"/>
        <v>1976</v>
      </c>
      <c r="Z73" s="1620">
        <v>4.9000000000000002E-2</v>
      </c>
      <c r="AA73" s="1508">
        <v>0</v>
      </c>
      <c r="AC73" s="571"/>
      <c r="AD73" s="571"/>
      <c r="AE73" s="571"/>
      <c r="AF73" s="697"/>
      <c r="AG73" s="692"/>
    </row>
    <row r="74" spans="2:33" ht="14.6">
      <c r="B74" s="895">
        <f t="shared" si="19"/>
        <v>55</v>
      </c>
      <c r="C74" s="1531" t="s">
        <v>586</v>
      </c>
      <c r="D74" s="1541">
        <v>96022</v>
      </c>
      <c r="E74" s="1532">
        <v>1</v>
      </c>
      <c r="F74" s="1533">
        <v>54000</v>
      </c>
      <c r="G74" s="1534">
        <v>5.2999999999999999E-2</v>
      </c>
      <c r="H74" s="1534">
        <v>5.3999999999999999E-2</v>
      </c>
      <c r="I74" s="1533">
        <f t="shared" si="16"/>
        <v>2916</v>
      </c>
      <c r="J74" s="1619">
        <v>6.4000000000000001E-2</v>
      </c>
      <c r="K74" s="1534">
        <v>9.6000000000000002E-2</v>
      </c>
      <c r="L74" s="890"/>
      <c r="M74" s="1542">
        <v>1</v>
      </c>
      <c r="N74" s="1533">
        <v>69000</v>
      </c>
      <c r="O74" s="1534">
        <v>6.3E-2</v>
      </c>
      <c r="P74" s="1534">
        <v>5.3999999999999999E-2</v>
      </c>
      <c r="Q74" s="1533">
        <f t="shared" si="17"/>
        <v>3726</v>
      </c>
      <c r="R74" s="1619">
        <v>7.4999999999999997E-2</v>
      </c>
      <c r="S74" s="1534">
        <v>0.10199999999999999</v>
      </c>
      <c r="T74" s="1086"/>
      <c r="U74" s="1542">
        <v>1</v>
      </c>
      <c r="V74" s="1533">
        <v>51000</v>
      </c>
      <c r="W74" s="1534">
        <v>6.3E-2</v>
      </c>
      <c r="X74" s="1534">
        <v>5.2999999999999999E-2</v>
      </c>
      <c r="Y74" s="1533">
        <f t="shared" si="18"/>
        <v>2703</v>
      </c>
      <c r="Z74" s="1619">
        <v>5.3999999999999999E-2</v>
      </c>
      <c r="AA74" s="1534">
        <v>0</v>
      </c>
      <c r="AC74" s="571"/>
      <c r="AD74" s="571"/>
      <c r="AE74" s="571"/>
      <c r="AF74" s="697"/>
      <c r="AG74" s="692"/>
    </row>
    <row r="75" spans="2:33" ht="14.6">
      <c r="B75" s="571"/>
      <c r="AC75" s="571"/>
      <c r="AD75" s="571"/>
      <c r="AE75" s="571"/>
      <c r="AF75" s="697"/>
      <c r="AG75" s="692"/>
    </row>
    <row r="76" spans="2:33" ht="14.6">
      <c r="B76" s="571"/>
      <c r="AC76" s="571"/>
      <c r="AD76" s="571"/>
      <c r="AE76" s="571"/>
      <c r="AF76" s="697"/>
      <c r="AG76" s="692"/>
    </row>
    <row r="77" spans="2:33" ht="14.6">
      <c r="B77" s="571"/>
      <c r="AC77" s="571"/>
      <c r="AD77" s="571"/>
      <c r="AE77" s="571"/>
      <c r="AF77" s="697"/>
      <c r="AG77" s="698"/>
    </row>
  </sheetData>
  <sheetProtection algorithmName="SHA-512" hashValue="Qc8mrIYJBRsgDZg7cyx6ttPWXE8iKhFPq9dHBDS869LRERTQuQk6Qt/uSq8feg+6Ttv5PNdShWQiF4oLoTwGXA==" saltValue="6FeCZIXPdIguauf8AzlYcw==" spinCount="100000" sheet="1" objects="1" scenarios="1"/>
  <mergeCells count="36">
    <mergeCell ref="U2:V2"/>
    <mergeCell ref="J26:J27"/>
    <mergeCell ref="J37:J38"/>
    <mergeCell ref="J52:J53"/>
    <mergeCell ref="AD2:AE2"/>
    <mergeCell ref="Z26:Z27"/>
    <mergeCell ref="Z37:Z38"/>
    <mergeCell ref="Z52:Z53"/>
    <mergeCell ref="R26:R27"/>
    <mergeCell ref="R37:R38"/>
    <mergeCell ref="R52:R53"/>
    <mergeCell ref="E3:F3"/>
    <mergeCell ref="AB5:AG5"/>
    <mergeCell ref="D6:D7"/>
    <mergeCell ref="G6:G7"/>
    <mergeCell ref="H6:H7"/>
    <mergeCell ref="I6:I7"/>
    <mergeCell ref="O6:O7"/>
    <mergeCell ref="P6:P7"/>
    <mergeCell ref="Q6:Q7"/>
    <mergeCell ref="Y6:Y7"/>
    <mergeCell ref="Z6:Z7"/>
    <mergeCell ref="J6:J7"/>
    <mergeCell ref="R6:R7"/>
    <mergeCell ref="D52:D53"/>
    <mergeCell ref="G52:G53"/>
    <mergeCell ref="H52:H53"/>
    <mergeCell ref="I52:I53"/>
    <mergeCell ref="D26:D27"/>
    <mergeCell ref="G26:G27"/>
    <mergeCell ref="H26:H27"/>
    <mergeCell ref="I26:I27"/>
    <mergeCell ref="D37:D38"/>
    <mergeCell ref="G37:G38"/>
    <mergeCell ref="H37:H38"/>
    <mergeCell ref="I37:I38"/>
  </mergeCells>
  <printOptions horizontalCentered="1"/>
  <pageMargins left="0.23622047244094491" right="0.23622047244094491" top="0.35433070866141736" bottom="0.35433070866141736" header="0.31496062992125984" footer="0.31496062992125984"/>
  <pageSetup paperSize="9" scale="44" orientation="landscape" verticalDpi="4"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ul5"/>
  <dimension ref="A2:AT222"/>
  <sheetViews>
    <sheetView workbookViewId="0"/>
  </sheetViews>
  <sheetFormatPr defaultRowHeight="12.45"/>
  <cols>
    <col min="1" max="1" width="19.84375" customWidth="1"/>
    <col min="2" max="2" width="13" customWidth="1"/>
    <col min="3" max="4" width="9.3046875" customWidth="1"/>
    <col min="5" max="5" width="11.23046875" customWidth="1"/>
    <col min="6" max="38" width="9.3046875" customWidth="1"/>
  </cols>
  <sheetData>
    <row r="2" spans="1:10">
      <c r="A2" s="53"/>
      <c r="B2" s="53"/>
      <c r="C2" s="53"/>
      <c r="D2" s="2006" t="s">
        <v>785</v>
      </c>
      <c r="E2" s="2006"/>
      <c r="F2" s="91">
        <f>F5+F9+F13+F17</f>
        <v>0</v>
      </c>
      <c r="G2" s="91">
        <f t="shared" ref="G2" si="0">G5+G9+G13+G17</f>
        <v>0</v>
      </c>
      <c r="H2" s="91">
        <f>H5+H9+H13+H17</f>
        <v>0</v>
      </c>
      <c r="I2" s="53"/>
    </row>
    <row r="3" spans="1:10">
      <c r="A3" s="53"/>
      <c r="B3" s="56"/>
      <c r="C3" s="1049" t="s">
        <v>776</v>
      </c>
      <c r="D3" s="1050"/>
      <c r="E3" s="1051"/>
      <c r="F3" s="1052">
        <f>G47+G48</f>
        <v>0</v>
      </c>
      <c r="G3" s="1052">
        <f>F3-F5</f>
        <v>0</v>
      </c>
      <c r="H3" s="1052">
        <f>G3-G5</f>
        <v>0</v>
      </c>
      <c r="I3" s="64"/>
    </row>
    <row r="4" spans="1:10">
      <c r="A4" s="53"/>
      <c r="B4" s="56"/>
      <c r="C4" s="60" t="s">
        <v>31</v>
      </c>
      <c r="D4" s="58"/>
      <c r="E4" s="59"/>
      <c r="F4" s="67">
        <f>'Rahoitus K3'!F55</f>
        <v>7.0000000000000007E-2</v>
      </c>
      <c r="G4" s="67">
        <f>'Rahoitus K3'!H55</f>
        <v>7.0000000000000007E-2</v>
      </c>
      <c r="H4" s="67">
        <f>'Rahoitus K3'!K55</f>
        <v>7.0000000000000007E-2</v>
      </c>
      <c r="I4" s="623"/>
    </row>
    <row r="5" spans="1:10">
      <c r="A5" s="53"/>
      <c r="B5" s="56"/>
      <c r="C5" s="60" t="s">
        <v>777</v>
      </c>
      <c r="D5" s="58"/>
      <c r="E5" s="59"/>
      <c r="F5" s="57">
        <f>F3*F4</f>
        <v>0</v>
      </c>
      <c r="G5" s="57">
        <f>G3*G4</f>
        <v>0</v>
      </c>
      <c r="H5" s="57">
        <f>H3*H4</f>
        <v>0</v>
      </c>
      <c r="I5" s="64"/>
    </row>
    <row r="6" spans="1:10">
      <c r="A6" s="53"/>
      <c r="B6" s="56"/>
      <c r="C6" s="60" t="s">
        <v>36</v>
      </c>
      <c r="D6" s="58"/>
      <c r="E6" s="59"/>
      <c r="F6" s="57">
        <f>F3-F5</f>
        <v>0</v>
      </c>
      <c r="G6" s="57">
        <f>G3-G5</f>
        <v>0</v>
      </c>
      <c r="H6" s="57">
        <f>H3-H5</f>
        <v>0</v>
      </c>
      <c r="I6" s="64"/>
      <c r="J6">
        <v>0</v>
      </c>
    </row>
    <row r="7" spans="1:10">
      <c r="A7" s="53"/>
      <c r="B7" s="56"/>
      <c r="C7" s="1049" t="s">
        <v>780</v>
      </c>
      <c r="D7" s="1050"/>
      <c r="E7" s="1051"/>
      <c r="F7" s="1052">
        <f>IF(G60&lt;0,0,G60)</f>
        <v>0</v>
      </c>
      <c r="G7" s="1052">
        <f>F7-F9</f>
        <v>0</v>
      </c>
      <c r="H7" s="1052">
        <f>G7-G9</f>
        <v>0</v>
      </c>
      <c r="I7" s="64"/>
    </row>
    <row r="8" spans="1:10">
      <c r="A8" s="53"/>
      <c r="B8" s="56"/>
      <c r="C8" s="60" t="s">
        <v>32</v>
      </c>
      <c r="D8" s="58"/>
      <c r="E8" s="59"/>
      <c r="F8" s="67">
        <f>'Rahoitus K3'!F56</f>
        <v>0.2</v>
      </c>
      <c r="G8" s="67">
        <f>'Rahoitus K3'!H56</f>
        <v>0.2</v>
      </c>
      <c r="H8" s="67">
        <f>'Rahoitus K3'!K56</f>
        <v>0.2</v>
      </c>
      <c r="I8" s="623"/>
    </row>
    <row r="9" spans="1:10">
      <c r="A9" s="53"/>
      <c r="B9" s="56"/>
      <c r="C9" s="60" t="s">
        <v>778</v>
      </c>
      <c r="D9" s="58"/>
      <c r="E9" s="59"/>
      <c r="F9" s="57">
        <f>F7*F8</f>
        <v>0</v>
      </c>
      <c r="G9" s="57">
        <f>G7*G8</f>
        <v>0</v>
      </c>
      <c r="H9" s="57">
        <f>H7*H8</f>
        <v>0</v>
      </c>
      <c r="I9" s="64"/>
    </row>
    <row r="10" spans="1:10">
      <c r="A10" s="53"/>
      <c r="B10" s="56"/>
      <c r="C10" s="60" t="s">
        <v>37</v>
      </c>
      <c r="D10" s="58"/>
      <c r="E10" s="59"/>
      <c r="F10" s="57">
        <f>F7-F9</f>
        <v>0</v>
      </c>
      <c r="G10" s="57">
        <f>G7-G9</f>
        <v>0</v>
      </c>
      <c r="H10" s="57">
        <f>H7-H9</f>
        <v>0</v>
      </c>
      <c r="I10" s="64"/>
    </row>
    <row r="11" spans="1:10">
      <c r="A11" s="53"/>
      <c r="B11" s="61"/>
      <c r="C11" s="1049" t="s">
        <v>783</v>
      </c>
      <c r="D11" s="1050"/>
      <c r="E11" s="1051"/>
      <c r="F11" s="1052">
        <f>'Rahoitus K3'!E30/1.24</f>
        <v>0</v>
      </c>
      <c r="G11" s="1052">
        <f>F11-F13</f>
        <v>0</v>
      </c>
      <c r="H11" s="1052">
        <f>G11-G13</f>
        <v>0</v>
      </c>
      <c r="I11" s="64"/>
    </row>
    <row r="12" spans="1:10">
      <c r="A12" s="53"/>
      <c r="B12" s="53"/>
      <c r="C12" s="60" t="s">
        <v>779</v>
      </c>
      <c r="D12" s="58"/>
      <c r="E12" s="59"/>
      <c r="F12" s="67">
        <f>'Rahoitus K3'!F57</f>
        <v>0.2</v>
      </c>
      <c r="G12" s="67">
        <f>'Rahoitus K3'!H57</f>
        <v>0.2</v>
      </c>
      <c r="H12" s="67">
        <f>'Rahoitus K3'!K57</f>
        <v>0.2</v>
      </c>
      <c r="I12" s="53"/>
    </row>
    <row r="13" spans="1:10">
      <c r="A13" s="53"/>
      <c r="B13" s="53"/>
      <c r="C13" s="60" t="s">
        <v>781</v>
      </c>
      <c r="D13" s="58"/>
      <c r="E13" s="59"/>
      <c r="F13" s="57">
        <f>F11*F12</f>
        <v>0</v>
      </c>
      <c r="G13" s="57">
        <f>G11*G12</f>
        <v>0</v>
      </c>
      <c r="H13" s="57">
        <f>H11*H12</f>
        <v>0</v>
      </c>
      <c r="I13" s="53"/>
    </row>
    <row r="14" spans="1:10">
      <c r="A14" s="53"/>
      <c r="B14" s="53"/>
      <c r="C14" s="60" t="s">
        <v>782</v>
      </c>
      <c r="D14" s="58"/>
      <c r="E14" s="59"/>
      <c r="F14" s="57">
        <f>F11-F13</f>
        <v>0</v>
      </c>
      <c r="G14" s="57">
        <f>G11-G13</f>
        <v>0</v>
      </c>
      <c r="H14" s="57">
        <f>H11-H13</f>
        <v>0</v>
      </c>
      <c r="I14" s="53"/>
    </row>
    <row r="15" spans="1:10">
      <c r="A15" s="53"/>
      <c r="B15" s="53"/>
      <c r="C15" s="62" t="s">
        <v>784</v>
      </c>
      <c r="D15" s="62"/>
      <c r="E15" s="62"/>
      <c r="F15" s="1052">
        <f>'Rahoitus K3'!E31</f>
        <v>0</v>
      </c>
      <c r="G15" s="1052">
        <f>F15-F17</f>
        <v>0</v>
      </c>
      <c r="H15" s="1052">
        <f>G15-G17</f>
        <v>0</v>
      </c>
      <c r="I15" s="53"/>
    </row>
    <row r="16" spans="1:10">
      <c r="A16" s="53"/>
      <c r="B16" s="53"/>
      <c r="C16" s="60" t="s">
        <v>779</v>
      </c>
      <c r="D16" s="61"/>
      <c r="E16" s="61"/>
      <c r="F16" s="67">
        <f>'Rahoitus K3'!F58</f>
        <v>0.2</v>
      </c>
      <c r="G16" s="67">
        <f>'Rahoitus K3'!H58</f>
        <v>0.2</v>
      </c>
      <c r="H16" s="67">
        <f>'Rahoitus K3'!K58</f>
        <v>0.2</v>
      </c>
      <c r="I16" s="53"/>
    </row>
    <row r="17" spans="1:41">
      <c r="A17" s="53"/>
      <c r="B17" s="53"/>
      <c r="C17" s="60" t="s">
        <v>781</v>
      </c>
      <c r="D17" s="61"/>
      <c r="E17" s="61"/>
      <c r="F17" s="57">
        <f>F15*F16</f>
        <v>0</v>
      </c>
      <c r="G17" s="57">
        <f>G15*G16</f>
        <v>0</v>
      </c>
      <c r="H17" s="57">
        <f>H15*H16</f>
        <v>0</v>
      </c>
      <c r="I17" s="53"/>
    </row>
    <row r="18" spans="1:41">
      <c r="A18" s="53"/>
      <c r="B18" s="53"/>
      <c r="C18" s="60" t="s">
        <v>782</v>
      </c>
      <c r="D18" s="61"/>
      <c r="E18" s="61"/>
      <c r="F18" s="1062">
        <f>F15-F17</f>
        <v>0</v>
      </c>
      <c r="G18" s="1062">
        <f>G15-G17</f>
        <v>0</v>
      </c>
      <c r="H18" s="1062">
        <f>H15-H17</f>
        <v>0</v>
      </c>
      <c r="I18" s="53"/>
    </row>
    <row r="19" spans="1:41" ht="15.45">
      <c r="A19" s="53"/>
      <c r="B19" s="53"/>
      <c r="F19" s="1063"/>
      <c r="G19" s="2007" t="s">
        <v>50</v>
      </c>
      <c r="H19" s="2007"/>
      <c r="I19" s="2008"/>
      <c r="J19" s="123"/>
      <c r="K19" s="124" t="s">
        <v>91</v>
      </c>
      <c r="L19" s="125"/>
      <c r="M19" s="125"/>
      <c r="N19" s="125"/>
      <c r="O19" s="125"/>
      <c r="P19" s="126"/>
    </row>
    <row r="20" spans="1:41">
      <c r="C20" s="89"/>
      <c r="D20" s="89"/>
      <c r="E20" s="89"/>
      <c r="F20" s="137" t="s">
        <v>47</v>
      </c>
      <c r="G20" s="89" t="s">
        <v>4</v>
      </c>
      <c r="H20" s="89" t="s">
        <v>51</v>
      </c>
      <c r="I20" s="1053" t="s">
        <v>23</v>
      </c>
      <c r="J20" s="127"/>
      <c r="K20" s="89" t="s">
        <v>92</v>
      </c>
      <c r="L20" s="128">
        <f>'Rahoitus K3'!H22/12</f>
        <v>0</v>
      </c>
      <c r="P20" s="129"/>
    </row>
    <row r="21" spans="1:41">
      <c r="C21" s="88"/>
      <c r="D21" s="88"/>
      <c r="E21" s="88"/>
      <c r="F21" s="137" t="s">
        <v>46</v>
      </c>
      <c r="G21" s="90">
        <f>IF('Rahoitus K3'!$I18=2,'Rahoitus K3'!$K18*'Rahoitus K3'!$H18,IF('Rahoitus K3'!$I18=1,'Rahoitus K3'!$K18*'Rahoitus K3'!$H18,('1Kauppa AT lainat ja avustukset'!$B30-0.5*'1Kauppa AT lainat ja avustukset'!$E30)*'Rahoitus K3'!$H18))</f>
        <v>0</v>
      </c>
      <c r="H21" s="90">
        <f>IF('Rahoitus K3'!$I18=2,'Rahoitus K3'!$K18*'Rahoitus K3'!$H18,IF('Rahoitus K3'!$I18=1,('Rahoitus K3'!$K18-0.5*C30)*'Rahoitus K3'!$H18,('1Kauppa AT lainat ja avustukset'!$B30-1.5*'1Kauppa AT lainat ja avustukset'!$E30)*'Rahoitus K3'!$H18))</f>
        <v>0</v>
      </c>
      <c r="I21" s="1064">
        <f>IF('Rahoitus K3'!$I18=2,('Rahoitus K3'!$K18-0.5*D30)*'Rahoitus K3'!$H18,IF('Rahoitus K3'!$I18=1,('Rahoitus K3'!$K18-1.5*C30)*'Rahoitus K3'!$H18,('1Kauppa AT lainat ja avustukset'!$B30-2.5*'1Kauppa AT lainat ja avustukset'!$E30)*'Rahoitus K3'!$H18))</f>
        <v>0</v>
      </c>
      <c r="J21" s="127"/>
      <c r="K21" s="1" t="s">
        <v>93</v>
      </c>
      <c r="L21">
        <f>'Rahoitus K3'!I22*12</f>
        <v>0</v>
      </c>
      <c r="P21" s="129"/>
    </row>
    <row r="22" spans="1:41">
      <c r="C22" s="88"/>
      <c r="D22" s="88"/>
      <c r="E22" s="88"/>
      <c r="F22" s="137" t="s">
        <v>48</v>
      </c>
      <c r="G22" s="90">
        <f>IF('Rahoitus K3'!$I19=2,'Rahoitus K3'!$K19*'Rahoitus K3'!$H19,IF('Rahoitus K3'!$I19=1,'Rahoitus K3'!$K19*'Rahoitus K3'!$H19,('1Kauppa AT lainat ja avustukset'!$B31-0.5*'1Kauppa AT lainat ja avustukset'!$E31)*'Rahoitus K3'!$H19))</f>
        <v>0</v>
      </c>
      <c r="H22" s="90">
        <f>IF('Rahoitus K3'!$I19=2,'Rahoitus K3'!$K19*'Rahoitus K3'!$H19,IF('Rahoitus K3'!$I19=1,('Rahoitus K3'!$K19-0.5*C31)*'Rahoitus K3'!$H19,('1Kauppa AT lainat ja avustukset'!$B31-1.5*'1Kauppa AT lainat ja avustukset'!$E31)*'Rahoitus K3'!$H19))</f>
        <v>0</v>
      </c>
      <c r="I22" s="1064">
        <f>IF('Rahoitus K3'!$I19=2,('Rahoitus K3'!$K19-0.5*D31)*'Rahoitus K3'!$H19,IF('Rahoitus K3'!$I19=1,('Rahoitus K3'!$K19-1.5*C31)*'Rahoitus K3'!$H19,('1Kauppa AT lainat ja avustukset'!$B31-2.5*'1Kauppa AT lainat ja avustukset'!$E31)*'Rahoitus K3'!$H19))</f>
        <v>0</v>
      </c>
      <c r="J22" s="127"/>
      <c r="K22" s="1" t="s">
        <v>43</v>
      </c>
      <c r="L22" s="52">
        <f>'Rahoitus K3'!K22</f>
        <v>0</v>
      </c>
      <c r="P22" s="129"/>
    </row>
    <row r="23" spans="1:41">
      <c r="C23" s="88"/>
      <c r="D23" s="88"/>
      <c r="E23" s="88"/>
      <c r="F23" s="137" t="s">
        <v>49</v>
      </c>
      <c r="G23" s="90">
        <f>IF('Rahoitus K3'!$I20=2,'Rahoitus K3'!$K20*'Rahoitus K3'!$H20,IF('Rahoitus K3'!$I20=1,'Rahoitus K3'!$K20*'Rahoitus K3'!$H20,('1Kauppa AT lainat ja avustukset'!$B32-0.5*'1Kauppa AT lainat ja avustukset'!$E32)*'Rahoitus K3'!$H20))</f>
        <v>0</v>
      </c>
      <c r="H23" s="90">
        <f>IF('Rahoitus K3'!$I20=2,'Rahoitus K3'!$K20*'Rahoitus K3'!$H20,IF('Rahoitus K3'!$I20=1,('Rahoitus K3'!$K20-0.5*C32)*'Rahoitus K3'!$H20,('1Kauppa AT lainat ja avustukset'!$B32-1.5*'1Kauppa AT lainat ja avustukset'!$E32)*'Rahoitus K3'!$H20))</f>
        <v>0</v>
      </c>
      <c r="I23" s="1064">
        <f>IF('Rahoitus K3'!$I20=2,('Rahoitus K3'!$K20-0.5*D32)*'Rahoitus K3'!$H20,IF('Rahoitus K3'!$I20=1,('Rahoitus K3'!$K20-1.5*C32)*'Rahoitus K3'!$H20,('1Kauppa AT lainat ja avustukset'!$B32-2.5*'1Kauppa AT lainat ja avustukset'!$E32)*'Rahoitus K3'!$H20))</f>
        <v>0</v>
      </c>
      <c r="J23" s="127"/>
      <c r="K23" s="1" t="s">
        <v>94</v>
      </c>
      <c r="L23" s="130">
        <f>IF(L20=0,0,-PMT(L20,L21,L22)*12)</f>
        <v>0</v>
      </c>
      <c r="P23" s="129"/>
    </row>
    <row r="24" spans="1:41">
      <c r="C24" s="88"/>
      <c r="D24" s="88"/>
      <c r="E24" s="88"/>
      <c r="F24" s="137"/>
      <c r="G24" s="90"/>
      <c r="H24" s="90"/>
      <c r="I24" s="1064"/>
      <c r="J24" s="127"/>
      <c r="K24" s="255" t="s">
        <v>439</v>
      </c>
      <c r="L24" s="130">
        <f>L23/4</f>
        <v>0</v>
      </c>
      <c r="P24" s="129"/>
    </row>
    <row r="25" spans="1:41">
      <c r="C25" s="8"/>
      <c r="D25" s="8"/>
      <c r="E25" s="8"/>
      <c r="F25" s="1061"/>
      <c r="G25" s="1065"/>
      <c r="H25" s="1065"/>
      <c r="I25" s="1066"/>
      <c r="J25" s="127"/>
      <c r="K25" s="438" t="s">
        <v>420</v>
      </c>
      <c r="L25" s="438" t="s">
        <v>426</v>
      </c>
      <c r="M25" s="438" t="s">
        <v>427</v>
      </c>
      <c r="N25" s="438" t="s">
        <v>428</v>
      </c>
      <c r="O25" s="438" t="s">
        <v>429</v>
      </c>
      <c r="P25" s="450" t="s">
        <v>430</v>
      </c>
      <c r="Q25" s="438" t="s">
        <v>431</v>
      </c>
      <c r="R25" s="438" t="s">
        <v>432</v>
      </c>
      <c r="S25" s="438" t="s">
        <v>433</v>
      </c>
      <c r="T25" s="438" t="s">
        <v>434</v>
      </c>
      <c r="U25" s="438" t="s">
        <v>435</v>
      </c>
      <c r="V25" s="438" t="s">
        <v>436</v>
      </c>
      <c r="W25" s="438" t="s">
        <v>437</v>
      </c>
    </row>
    <row r="26" spans="1:41">
      <c r="C26" s="8"/>
      <c r="D26" s="8"/>
      <c r="E26" s="8"/>
      <c r="F26" s="53" t="s">
        <v>35</v>
      </c>
      <c r="G26" s="90">
        <f>SUM(G21:G25)</f>
        <v>0</v>
      </c>
      <c r="H26" s="90">
        <f>SUM(H21:H25)</f>
        <v>0</v>
      </c>
      <c r="I26" s="90">
        <f>SUM(I21:I25)</f>
        <v>0</v>
      </c>
      <c r="J26" s="131" t="s">
        <v>95</v>
      </c>
      <c r="K26">
        <v>3</v>
      </c>
      <c r="L26">
        <v>8</v>
      </c>
      <c r="M26">
        <v>11</v>
      </c>
      <c r="N26">
        <v>14</v>
      </c>
      <c r="O26">
        <v>17</v>
      </c>
      <c r="P26">
        <v>20</v>
      </c>
      <c r="Q26">
        <v>23</v>
      </c>
      <c r="R26">
        <v>26</v>
      </c>
      <c r="S26">
        <v>29</v>
      </c>
      <c r="T26">
        <v>32</v>
      </c>
      <c r="U26">
        <v>35</v>
      </c>
      <c r="V26">
        <v>38</v>
      </c>
      <c r="W26">
        <v>41</v>
      </c>
    </row>
    <row r="27" spans="1:41">
      <c r="A27" s="53"/>
      <c r="B27" s="53"/>
      <c r="C27" s="53"/>
      <c r="D27" s="53"/>
      <c r="E27" s="53"/>
      <c r="F27" s="61">
        <f>IF($F19=6,'1Kauppa AT lainat ja avustukset'!B194-'1Kauppa AT lainat ja avustukset'!B164,IF($F19=7,'1Kauppa AT lainat ja avustukset'!C195-'1Kauppa AT lainat ja avustukset'!C165,IF($F19=8,'1Kauppa AT lainat ja avustukset'!D196-'1Kauppa AT lainat ja avustukset'!D166,IF($F19=9,'1Kauppa AT lainat ja avustukset'!E197-'1Kauppa AT lainat ja avustukset'!E167,IF($F19=10,'1Kauppa AT lainat ja avustukset'!F198-'1Kauppa AT lainat ja avustukset'!F168,IF($F19=11,'1Kauppa AT lainat ja avustukset'!G199-'1Kauppa AT lainat ja avustukset'!G169,IF($F19=12,'1Kauppa AT lainat ja avustukset'!H200-'1Kauppa AT lainat ja avustukset'!H170,IF($F19=13,'1Kauppa AT lainat ja avustukset'!I201-'1Kauppa AT lainat ja avustukset'!I171,IF($F19=14,'1Kauppa AT lainat ja avustukset'!J202-'1Kauppa AT lainat ja avustukset'!J172,IF($F19=15,'1Kauppa AT lainat ja avustukset'!K203-'1Kauppa AT lainat ja avustukset'!K173,IF($F19=16,'1Kauppa AT lainat ja avustukset'!L204-'1Kauppa AT lainat ja avustukset'!L174,IF($F19=17,'1Kauppa AT lainat ja avustukset'!M205-'1Kauppa AT lainat ja avustukset'!M175,'1Kauppa AT lainat ja avustukset'!N206*'1Kauppa AT lainat ja avustukset'!N176))))))))))))</f>
        <v>0</v>
      </c>
      <c r="G27" s="53">
        <f>-IF($F19=6,'1Kauppa AT lainat ja avustukset'!N194-'1Kauppa AT lainat ja avustukset'!N164,IF($F19=7,'1Kauppa AT lainat ja avustukset'!O195-'1Kauppa AT lainat ja avustukset'!O165,IF($F19=8,'1Kauppa AT lainat ja avustukset'!P196-'1Kauppa AT lainat ja avustukset'!P166,IF($F19=9,'1Kauppa AT lainat ja avustukset'!Q197-'1Kauppa AT lainat ja avustukset'!Q167,IF($F19=10,'1Kauppa AT lainat ja avustukset'!Q168,IF($F19=11,'1Kauppa AT lainat ja avustukset'!IR6,IF($F19=12,'1Kauppa AT lainat ja avustukset'!S170,IF($F19=13,'1Kauppa AT lainat ja avustukset'!T171,IF($F19=14,'1Kauppa AT lainat ja avustukset'!U172,IF($F19=15,'1Kauppa AT lainat ja avustukset'!V173,IF($F19=16,'1Kauppa AT lainat ja avustukset'!W174,IF($F19=17,'1Kauppa AT lainat ja avustukset'!X175,'1Kauppa AT lainat ja avustukset'!Y176))))))))))))</f>
        <v>0</v>
      </c>
      <c r="H27" s="53"/>
      <c r="I27" s="53"/>
      <c r="J27" s="449" t="s">
        <v>419</v>
      </c>
      <c r="K27" s="130">
        <f>IF(K26&gt;$L21,0,-IPMT($L20,K26,$L21,$L22))</f>
        <v>0</v>
      </c>
      <c r="L27" s="130">
        <f>IF(L26&gt;$L21,0,-IPMT($L20,L26,$L21,$L22))</f>
        <v>0</v>
      </c>
      <c r="M27" s="130">
        <f t="shared" ref="M27:P27" si="1">IF(M26&gt;$L21,0,-IPMT($L20,M26,$L21,$L22))</f>
        <v>0</v>
      </c>
      <c r="N27" s="130">
        <f t="shared" si="1"/>
        <v>0</v>
      </c>
      <c r="O27" s="130">
        <f t="shared" si="1"/>
        <v>0</v>
      </c>
      <c r="P27" s="130">
        <f t="shared" si="1"/>
        <v>0</v>
      </c>
      <c r="Q27" s="130">
        <f t="shared" ref="Q27:W27" si="2">IF(Q26&gt;$L21,0,-IPMT($L20,Q26,$L21,$L22))</f>
        <v>0</v>
      </c>
      <c r="R27" s="130">
        <f t="shared" si="2"/>
        <v>0</v>
      </c>
      <c r="S27" s="130">
        <f t="shared" si="2"/>
        <v>0</v>
      </c>
      <c r="T27" s="130">
        <f t="shared" si="2"/>
        <v>0</v>
      </c>
      <c r="U27" s="130">
        <f t="shared" si="2"/>
        <v>0</v>
      </c>
      <c r="V27" s="130">
        <f t="shared" si="2"/>
        <v>0</v>
      </c>
      <c r="W27" s="130">
        <f t="shared" si="2"/>
        <v>0</v>
      </c>
      <c r="X27" s="130"/>
      <c r="Y27" s="130"/>
      <c r="Z27" s="130"/>
      <c r="AA27" s="130"/>
      <c r="AB27" s="130"/>
      <c r="AC27" s="130"/>
      <c r="AD27" s="130"/>
      <c r="AE27" s="130"/>
      <c r="AF27" s="130"/>
      <c r="AG27" s="130"/>
      <c r="AH27" s="130"/>
      <c r="AI27" s="130"/>
      <c r="AJ27" s="130"/>
      <c r="AK27" s="130"/>
      <c r="AL27" s="130"/>
      <c r="AM27" s="130"/>
      <c r="AN27" s="130"/>
      <c r="AO27" s="130"/>
    </row>
    <row r="28" spans="1:41">
      <c r="B28" s="2003" t="s">
        <v>57</v>
      </c>
      <c r="C28" s="2004"/>
      <c r="D28" s="2004"/>
      <c r="E28" s="2005"/>
      <c r="F28" s="1057"/>
      <c r="G28" s="1058" t="s">
        <v>58</v>
      </c>
      <c r="H28" s="1058"/>
      <c r="I28" s="1059"/>
      <c r="J28" s="449" t="s">
        <v>438</v>
      </c>
      <c r="K28" s="130">
        <f>6*K27</f>
        <v>0</v>
      </c>
      <c r="L28" s="130">
        <f>3*L27</f>
        <v>0</v>
      </c>
      <c r="M28" s="130">
        <f t="shared" ref="M28:W28" si="3">3*M27</f>
        <v>0</v>
      </c>
      <c r="N28" s="130">
        <f t="shared" si="3"/>
        <v>0</v>
      </c>
      <c r="O28" s="130">
        <f t="shared" si="3"/>
        <v>0</v>
      </c>
      <c r="P28" s="130">
        <f t="shared" si="3"/>
        <v>0</v>
      </c>
      <c r="Q28" s="130">
        <f t="shared" si="3"/>
        <v>0</v>
      </c>
      <c r="R28" s="130">
        <f t="shared" si="3"/>
        <v>0</v>
      </c>
      <c r="S28" s="130">
        <f t="shared" si="3"/>
        <v>0</v>
      </c>
      <c r="T28" s="130">
        <f t="shared" si="3"/>
        <v>0</v>
      </c>
      <c r="U28" s="130">
        <f t="shared" si="3"/>
        <v>0</v>
      </c>
      <c r="V28" s="130">
        <f t="shared" si="3"/>
        <v>0</v>
      </c>
      <c r="W28" s="130">
        <f t="shared" si="3"/>
        <v>0</v>
      </c>
      <c r="X28" s="130"/>
    </row>
    <row r="29" spans="1:41">
      <c r="A29" s="53" t="s">
        <v>47</v>
      </c>
      <c r="B29" s="131" t="s">
        <v>43</v>
      </c>
      <c r="C29" s="89" t="s">
        <v>54</v>
      </c>
      <c r="D29" s="89" t="s">
        <v>55</v>
      </c>
      <c r="E29" s="1053" t="s">
        <v>56</v>
      </c>
      <c r="F29" s="137" t="s">
        <v>47</v>
      </c>
      <c r="G29" s="89" t="s">
        <v>4</v>
      </c>
      <c r="H29" s="89" t="s">
        <v>51</v>
      </c>
      <c r="I29" s="1053" t="s">
        <v>23</v>
      </c>
      <c r="J29" s="451" t="s">
        <v>440</v>
      </c>
      <c r="K29" s="130">
        <f>2*$L24-K28</f>
        <v>0</v>
      </c>
      <c r="L29" s="130">
        <f>$L24-L28</f>
        <v>0</v>
      </c>
      <c r="M29" s="130">
        <f t="shared" ref="M29:W29" si="4">$L24-M28</f>
        <v>0</v>
      </c>
      <c r="N29" s="130">
        <f t="shared" si="4"/>
        <v>0</v>
      </c>
      <c r="O29" s="130">
        <f t="shared" si="4"/>
        <v>0</v>
      </c>
      <c r="P29" s="130">
        <f t="shared" si="4"/>
        <v>0</v>
      </c>
      <c r="Q29" s="130">
        <f t="shared" si="4"/>
        <v>0</v>
      </c>
      <c r="R29" s="130">
        <f t="shared" si="4"/>
        <v>0</v>
      </c>
      <c r="S29" s="130">
        <f t="shared" si="4"/>
        <v>0</v>
      </c>
      <c r="T29" s="130">
        <f t="shared" si="4"/>
        <v>0</v>
      </c>
      <c r="U29" s="130">
        <f t="shared" si="4"/>
        <v>0</v>
      </c>
      <c r="V29" s="130">
        <f t="shared" si="4"/>
        <v>0</v>
      </c>
      <c r="W29" s="130">
        <f t="shared" si="4"/>
        <v>0</v>
      </c>
      <c r="X29" s="130" t="s">
        <v>0</v>
      </c>
    </row>
    <row r="30" spans="1:41">
      <c r="A30" s="53" t="s">
        <v>46</v>
      </c>
      <c r="B30" s="1054">
        <f>'Rahoitus K3'!K18</f>
        <v>0</v>
      </c>
      <c r="C30" s="8">
        <f>IF('Rahoitus K3'!$J18=0,0,$B30/('Rahoitus K3'!$J18-1))</f>
        <v>0</v>
      </c>
      <c r="D30" s="8">
        <f>IF('Rahoitus K3'!$J18=0,0,$B30/('Rahoitus K3'!$J18-2))</f>
        <v>0</v>
      </c>
      <c r="E30" s="1055">
        <f>IF('Rahoitus K3'!$J18=0,0,$B30/'Rahoitus K3'!$J18)</f>
        <v>0</v>
      </c>
      <c r="F30" s="137" t="s">
        <v>46</v>
      </c>
      <c r="G30" s="88">
        <f>IF('Rahoitus K3'!$I18=2,'1Kauppa AT lainat ja avustukset'!G21,IF('Rahoitus K3'!$I18=1,'1Kauppa AT lainat ja avustukset'!$G21,'1Kauppa AT lainat ja avustukset'!$E30+$G21))</f>
        <v>0</v>
      </c>
      <c r="H30" s="88">
        <f>IF('Rahoitus K3'!$I18=2,'1Kauppa AT lainat ja avustukset'!H21,IF('Rahoitus K3'!$I18=1,H21+C30,'1Kauppa AT lainat ja avustukset'!$E30+H21))</f>
        <v>0</v>
      </c>
      <c r="I30" s="1060">
        <f>IF('Rahoitus K3'!$I18=2,'1Kauppa AT lainat ja avustukset'!I21+D30,IF('Rahoitus K3'!$I18=1,I21+C30,'1Kauppa AT lainat ja avustukset'!$E30+I21))</f>
        <v>0</v>
      </c>
      <c r="J30" s="127"/>
      <c r="P30" s="129"/>
    </row>
    <row r="31" spans="1:41">
      <c r="A31" s="53" t="s">
        <v>48</v>
      </c>
      <c r="B31" s="1054">
        <f>'Rahoitus K3'!K19</f>
        <v>0</v>
      </c>
      <c r="C31" s="8">
        <f>IF('Rahoitus K3'!$J19=0,0,$B31/('Rahoitus K3'!$J19-1))</f>
        <v>0</v>
      </c>
      <c r="D31" s="8">
        <f>IF('Rahoitus K3'!$J19=0,0,$B31/('Rahoitus K3'!$J19-2))</f>
        <v>0</v>
      </c>
      <c r="E31" s="1055">
        <f>IF('Rahoitus K3'!$J19=0,0,$B31/'Rahoitus K3'!$J19)</f>
        <v>0</v>
      </c>
      <c r="F31" s="137" t="s">
        <v>48</v>
      </c>
      <c r="G31" s="88">
        <f>IF('Rahoitus K3'!$I19=2,'1Kauppa AT lainat ja avustukset'!G22,IF('Rahoitus K3'!$I19=1,'1Kauppa AT lainat ja avustukset'!$G22,'1Kauppa AT lainat ja avustukset'!$E31+$G22))</f>
        <v>0</v>
      </c>
      <c r="H31" s="88">
        <f>IF('Rahoitus K3'!$I19=2,'1Kauppa AT lainat ja avustukset'!H22,IF('Rahoitus K3'!$I19=1,H22+C31,'1Kauppa AT lainat ja avustukset'!$E31+H22))</f>
        <v>0</v>
      </c>
      <c r="I31" s="1060">
        <f>IF('Rahoitus K3'!$I19=2,'1Kauppa AT lainat ja avustukset'!I22+D31,IF('Rahoitus K3'!$I19=1,I22+C31,'1Kauppa AT lainat ja avustukset'!$E31+I22))</f>
        <v>0</v>
      </c>
      <c r="J31" s="127"/>
      <c r="P31" s="129"/>
    </row>
    <row r="32" spans="1:41">
      <c r="A32" s="53" t="s">
        <v>49</v>
      </c>
      <c r="B32" s="1054">
        <f>'Rahoitus K3'!K20</f>
        <v>0</v>
      </c>
      <c r="C32" s="8">
        <f>IF('Rahoitus K3'!$J20=0,0,$B32/('Rahoitus K3'!$J20-1))</f>
        <v>0</v>
      </c>
      <c r="D32" s="8">
        <f>IF('Rahoitus K3'!$J20=0,0,$B32/('Rahoitus K3'!$J20-2))</f>
        <v>0</v>
      </c>
      <c r="E32" s="1055">
        <f>IF('Rahoitus K3'!$J20=0,0,$B32/'Rahoitus K3'!$J20)</f>
        <v>0</v>
      </c>
      <c r="F32" s="137" t="s">
        <v>49</v>
      </c>
      <c r="G32" s="88">
        <f>IF('Rahoitus K3'!$I20=2,'1Kauppa AT lainat ja avustukset'!G23,IF('Rahoitus K3'!$I20=1,'1Kauppa AT lainat ja avustukset'!$G23,'1Kauppa AT lainat ja avustukset'!$E32+$G23))</f>
        <v>0</v>
      </c>
      <c r="H32" s="88">
        <f>IF('Rahoitus K3'!$I20=2,'1Kauppa AT lainat ja avustukset'!H23,IF('Rahoitus K3'!$I20=1,H23+C32,'1Kauppa AT lainat ja avustukset'!$E32+H23))</f>
        <v>0</v>
      </c>
      <c r="I32" s="1060">
        <f>IF('Rahoitus K3'!$I20=2,'1Kauppa AT lainat ja avustukset'!I23+D32,IF('Rahoitus K3'!$I20=1,I23+C32,'1Kauppa AT lainat ja avustukset'!$E32+I23))</f>
        <v>0</v>
      </c>
      <c r="J32" s="127"/>
      <c r="P32" s="129"/>
    </row>
    <row r="33" spans="1:16">
      <c r="A33" s="53"/>
      <c r="B33" s="132"/>
      <c r="C33" s="1056"/>
      <c r="D33" s="133"/>
      <c r="E33" s="134"/>
      <c r="F33" s="1061"/>
      <c r="G33" s="133"/>
      <c r="H33" s="133"/>
      <c r="I33" s="134"/>
      <c r="J33" s="127"/>
      <c r="P33" s="129"/>
    </row>
    <row r="34" spans="1:16">
      <c r="A34" s="53" t="s">
        <v>35</v>
      </c>
      <c r="B34" s="91">
        <f>SUM(B30:B33)</f>
        <v>0</v>
      </c>
      <c r="C34" s="8">
        <f>SUM(C30:C33)</f>
        <v>0</v>
      </c>
      <c r="D34" s="8">
        <f>SUM(D30:D33)</f>
        <v>0</v>
      </c>
      <c r="E34" s="8">
        <f>SUM(E30:E33)</f>
        <v>0</v>
      </c>
      <c r="F34" s="53" t="s">
        <v>35</v>
      </c>
      <c r="G34" s="8">
        <f>SUM(G30:G33)</f>
        <v>0</v>
      </c>
      <c r="H34" s="8">
        <f>SUM(H30:H33)</f>
        <v>0</v>
      </c>
      <c r="I34" s="8">
        <f>SUM(I30:I33)</f>
        <v>0</v>
      </c>
      <c r="J34" s="127"/>
      <c r="P34" s="129"/>
    </row>
    <row r="35" spans="1:16">
      <c r="J35" s="132"/>
      <c r="K35" s="133"/>
      <c r="L35" s="133"/>
      <c r="M35" s="133"/>
      <c r="N35" s="133"/>
      <c r="O35" s="133"/>
      <c r="P35" s="134"/>
    </row>
    <row r="37" spans="1:16">
      <c r="F37" s="2009" t="s">
        <v>59</v>
      </c>
      <c r="G37" s="2009"/>
      <c r="H37" s="2009"/>
      <c r="I37" s="2009"/>
      <c r="J37" s="255"/>
    </row>
    <row r="38" spans="1:16">
      <c r="F38" s="53" t="s">
        <v>47</v>
      </c>
      <c r="G38" s="89" t="s">
        <v>4</v>
      </c>
      <c r="H38" s="89" t="s">
        <v>51</v>
      </c>
      <c r="I38" s="89" t="s">
        <v>23</v>
      </c>
      <c r="K38" s="438"/>
      <c r="L38" s="438"/>
      <c r="M38" s="438"/>
    </row>
    <row r="39" spans="1:16">
      <c r="F39" s="53" t="s">
        <v>46</v>
      </c>
      <c r="G39" s="52">
        <f>IF('Rahoitus K3'!$I18=2,'1Kauppa AT lainat ja avustukset'!$B30,IF('Rahoitus K3'!$I18=1,'1Kauppa AT lainat ja avustukset'!$B30,'1Kauppa AT lainat ja avustukset'!$B30-'1Kauppa AT lainat ja avustukset'!$E30))</f>
        <v>0</v>
      </c>
      <c r="H39" s="52">
        <f>IF('Rahoitus K3'!$I18=2,'1Kauppa AT lainat ja avustukset'!$B30,IF('Rahoitus K3'!$I18=1,'1Kauppa AT lainat ja avustukset'!$B30-$C30,'1Kauppa AT lainat ja avustukset'!$B30-2*'1Kauppa AT lainat ja avustukset'!$E30))</f>
        <v>0</v>
      </c>
      <c r="I39" s="52">
        <f>IF('Rahoitus K3'!$I18=2,'1Kauppa AT lainat ja avustukset'!$B30-D30,IF('Rahoitus K3'!$I18=1,'1Kauppa AT lainat ja avustukset'!$B30-2*$C30,'1Kauppa AT lainat ja avustukset'!$B30-3*'1Kauppa AT lainat ja avustukset'!$E30))</f>
        <v>0</v>
      </c>
      <c r="J39" s="255"/>
      <c r="K39" s="439"/>
      <c r="L39" s="439"/>
      <c r="M39" s="439"/>
    </row>
    <row r="40" spans="1:16">
      <c r="F40" s="53" t="s">
        <v>48</v>
      </c>
      <c r="G40" s="52">
        <f>IF('Rahoitus K3'!$I19=2,'1Kauppa AT lainat ja avustukset'!$B31,IF('Rahoitus K3'!$I19=1,'1Kauppa AT lainat ja avustukset'!$B31,'1Kauppa AT lainat ja avustukset'!$B31-'1Kauppa AT lainat ja avustukset'!$E31))</f>
        <v>0</v>
      </c>
      <c r="H40" s="52">
        <f>IF('Rahoitus K3'!$I19=2,'1Kauppa AT lainat ja avustukset'!$B31,IF('Rahoitus K3'!$I19=1,'1Kauppa AT lainat ja avustukset'!$B31-$C31,'1Kauppa AT lainat ja avustukset'!$B31-2*'1Kauppa AT lainat ja avustukset'!$E31))</f>
        <v>0</v>
      </c>
      <c r="I40" s="52">
        <f>IF('Rahoitus K3'!$I19=2,'1Kauppa AT lainat ja avustukset'!$B31-D31,IF('Rahoitus K3'!$I19=1,'1Kauppa AT lainat ja avustukset'!$B31-2*$C31,'1Kauppa AT lainat ja avustukset'!$B31-3*'1Kauppa AT lainat ja avustukset'!$E31))</f>
        <v>0</v>
      </c>
      <c r="J40" s="255"/>
    </row>
    <row r="41" spans="1:16">
      <c r="F41" s="53" t="s">
        <v>49</v>
      </c>
      <c r="G41" s="52">
        <f>IF('Rahoitus K3'!$I20=2,'1Kauppa AT lainat ja avustukset'!$B32,IF('Rahoitus K3'!$I20=1,'1Kauppa AT lainat ja avustukset'!$B32,'1Kauppa AT lainat ja avustukset'!$B32-'1Kauppa AT lainat ja avustukset'!$E32))</f>
        <v>0</v>
      </c>
      <c r="H41" s="52">
        <f>IF('Rahoitus K3'!$I20=2,'1Kauppa AT lainat ja avustukset'!$B32,IF('Rahoitus K3'!$I20=1,'1Kauppa AT lainat ja avustukset'!$B32-$C32,'1Kauppa AT lainat ja avustukset'!$B32-2*'1Kauppa AT lainat ja avustukset'!$E32))</f>
        <v>0</v>
      </c>
      <c r="I41" s="52">
        <f>IF('Rahoitus K3'!$I20=2,'1Kauppa AT lainat ja avustukset'!$B32-D32,IF('Rahoitus K3'!$I20=1,'1Kauppa AT lainat ja avustukset'!$B32-2*$C32,'1Kauppa AT lainat ja avustukset'!$B32-3*'1Kauppa AT lainat ja avustukset'!$E32))</f>
        <v>0</v>
      </c>
      <c r="J41" s="255"/>
    </row>
    <row r="42" spans="1:16">
      <c r="G42" s="52"/>
      <c r="H42" s="5"/>
      <c r="I42" s="5"/>
      <c r="J42" s="255"/>
    </row>
    <row r="43" spans="1:16">
      <c r="F43" s="53" t="s">
        <v>35</v>
      </c>
      <c r="G43" s="52">
        <f>SUM(G39:G42)</f>
        <v>0</v>
      </c>
      <c r="H43" s="52">
        <f>SUM(H39:H42)</f>
        <v>0</v>
      </c>
      <c r="I43" s="52">
        <f>SUM(I39:I42)</f>
        <v>0</v>
      </c>
      <c r="J43" s="255"/>
    </row>
    <row r="44" spans="1:16" ht="15.45">
      <c r="B44" s="135" t="s">
        <v>96</v>
      </c>
      <c r="F44" s="123"/>
      <c r="G44" s="136" t="s">
        <v>97</v>
      </c>
      <c r="H44" s="125"/>
      <c r="I44" s="126"/>
      <c r="J44" s="255"/>
    </row>
    <row r="45" spans="1:16">
      <c r="B45" s="2" t="s">
        <v>88</v>
      </c>
      <c r="C45" s="93" t="s">
        <v>61</v>
      </c>
      <c r="D45" s="121" t="s">
        <v>43</v>
      </c>
      <c r="E45" s="1" t="s">
        <v>77</v>
      </c>
      <c r="F45" s="137"/>
      <c r="G45" s="46" t="s">
        <v>97</v>
      </c>
      <c r="H45" s="52"/>
      <c r="I45" s="138"/>
      <c r="J45" s="255"/>
    </row>
    <row r="46" spans="1:16">
      <c r="B46" s="114" t="s">
        <v>40</v>
      </c>
      <c r="C46" s="122">
        <f>'Rahoitus K3'!D17</f>
        <v>0</v>
      </c>
      <c r="D46" s="52">
        <f>'Rahoitus K3'!E17</f>
        <v>0</v>
      </c>
      <c r="E46">
        <f>C46*D46</f>
        <v>0</v>
      </c>
      <c r="F46" s="137"/>
      <c r="G46" s="52">
        <f>D46-E46</f>
        <v>0</v>
      </c>
      <c r="H46" s="52"/>
      <c r="I46" s="138"/>
    </row>
    <row r="47" spans="1:16">
      <c r="B47" s="114" t="s">
        <v>41</v>
      </c>
      <c r="C47" s="122">
        <f>'Rahoitus K3'!D18</f>
        <v>0</v>
      </c>
      <c r="D47" s="52">
        <f>'Rahoitus K3'!E18</f>
        <v>0</v>
      </c>
      <c r="E47">
        <f>C47*D47</f>
        <v>0</v>
      </c>
      <c r="F47" s="137"/>
      <c r="G47" s="52">
        <f>D47-E47</f>
        <v>0</v>
      </c>
      <c r="H47" s="52"/>
      <c r="I47" s="138"/>
    </row>
    <row r="48" spans="1:16">
      <c r="B48" s="114" t="s">
        <v>87</v>
      </c>
      <c r="C48" s="122">
        <f>'Rahoitus K3'!D19</f>
        <v>0</v>
      </c>
      <c r="D48" s="52">
        <f>'Rahoitus K3'!E19</f>
        <v>0</v>
      </c>
      <c r="E48" s="619">
        <f>C48*D48/1.24</f>
        <v>0</v>
      </c>
      <c r="F48" s="127"/>
      <c r="G48" s="620">
        <f>D48/1.24-E48</f>
        <v>0</v>
      </c>
      <c r="I48" s="129"/>
    </row>
    <row r="49" spans="2:11">
      <c r="B49" s="631"/>
      <c r="C49" s="1048"/>
      <c r="D49" s="52"/>
      <c r="E49" s="619"/>
      <c r="F49" s="127"/>
      <c r="G49" s="620"/>
      <c r="I49" s="129"/>
    </row>
    <row r="50" spans="2:11">
      <c r="B50" s="2"/>
      <c r="C50" s="2"/>
      <c r="D50" s="2" t="s">
        <v>35</v>
      </c>
      <c r="E50" s="120">
        <f>SUM(E46:E48)</f>
        <v>0</v>
      </c>
      <c r="F50" s="127"/>
      <c r="I50" s="129"/>
    </row>
    <row r="51" spans="2:11">
      <c r="B51" s="2" t="s">
        <v>75</v>
      </c>
      <c r="C51" s="15" t="s">
        <v>61</v>
      </c>
      <c r="D51" s="15" t="s">
        <v>338</v>
      </c>
      <c r="E51" s="15" t="s">
        <v>77</v>
      </c>
      <c r="F51" s="2" t="s">
        <v>75</v>
      </c>
      <c r="G51" s="15" t="s">
        <v>98</v>
      </c>
      <c r="I51" s="129"/>
    </row>
    <row r="52" spans="2:11">
      <c r="B52" s="204">
        <v>1</v>
      </c>
      <c r="C52" s="229">
        <f>'Rahoitus K3'!D21</f>
        <v>0</v>
      </c>
      <c r="D52" s="205">
        <f>'Rahoitus K3'!E21</f>
        <v>0</v>
      </c>
      <c r="E52" s="621">
        <f>C52*D52/1.24</f>
        <v>0</v>
      </c>
      <c r="F52" s="204">
        <v>1</v>
      </c>
      <c r="G52" s="621">
        <f>D52/1.24-E52</f>
        <v>0</v>
      </c>
      <c r="I52" s="129"/>
    </row>
    <row r="53" spans="2:11">
      <c r="B53" s="204">
        <v>2</v>
      </c>
      <c r="C53" s="229">
        <f>'Rahoitus K3'!D22</f>
        <v>0</v>
      </c>
      <c r="D53" s="205">
        <f>'Rahoitus K3'!E22</f>
        <v>0</v>
      </c>
      <c r="E53" s="621">
        <f>C53*D53/1.24</f>
        <v>0</v>
      </c>
      <c r="F53" s="204">
        <v>2</v>
      </c>
      <c r="G53" s="621">
        <f>D53/1.24-E53</f>
        <v>0</v>
      </c>
      <c r="I53" s="129"/>
    </row>
    <row r="54" spans="2:11">
      <c r="B54" s="204">
        <v>3</v>
      </c>
      <c r="C54" s="229">
        <f>'Rahoitus K3'!D23</f>
        <v>0</v>
      </c>
      <c r="D54" s="205">
        <f>'Rahoitus K3'!E23</f>
        <v>0</v>
      </c>
      <c r="E54" s="621">
        <f>C54*D54/1.24</f>
        <v>0</v>
      </c>
      <c r="F54" s="204">
        <v>3</v>
      </c>
      <c r="G54" s="621">
        <f>D54/1.24-E54</f>
        <v>0</v>
      </c>
      <c r="I54" s="129"/>
    </row>
    <row r="55" spans="2:11">
      <c r="B55" s="204"/>
      <c r="C55" s="229"/>
      <c r="D55" s="205"/>
      <c r="E55" s="230"/>
      <c r="F55" s="204"/>
      <c r="G55" s="230"/>
      <c r="I55" s="129"/>
    </row>
    <row r="56" spans="2:11">
      <c r="B56" s="204"/>
      <c r="C56" s="231" t="s">
        <v>0</v>
      </c>
      <c r="D56" s="206" t="s">
        <v>0</v>
      </c>
      <c r="E56" s="230"/>
      <c r="F56" s="204"/>
      <c r="G56" s="230"/>
      <c r="I56" s="129"/>
    </row>
    <row r="57" spans="2:11">
      <c r="B57" s="232" t="s">
        <v>86</v>
      </c>
      <c r="C57" s="622">
        <f>IF(D57=0,0,1.24*(E57/D57))</f>
        <v>0</v>
      </c>
      <c r="D57" s="233">
        <f>SUM(D52:D56)</f>
        <v>0</v>
      </c>
      <c r="E57" s="234">
        <f>SUM(E52:E56)</f>
        <v>0</v>
      </c>
      <c r="F57" s="204"/>
      <c r="G57" s="230"/>
      <c r="I57" s="129"/>
    </row>
    <row r="58" spans="2:11">
      <c r="B58" s="203" t="s">
        <v>78</v>
      </c>
      <c r="C58" s="204"/>
      <c r="D58" s="206">
        <f>B64</f>
        <v>0</v>
      </c>
      <c r="E58" s="230">
        <v>0</v>
      </c>
      <c r="F58" s="203" t="s">
        <v>78</v>
      </c>
      <c r="G58" s="230">
        <f>-D58</f>
        <v>0</v>
      </c>
      <c r="I58" s="129"/>
    </row>
    <row r="59" spans="2:11">
      <c r="B59" s="203" t="s">
        <v>89</v>
      </c>
      <c r="C59" s="235">
        <f>'Rahoitus K3'!D26</f>
        <v>0</v>
      </c>
      <c r="D59" s="205">
        <f>'Rahoitus K3'!E26</f>
        <v>0</v>
      </c>
      <c r="E59" s="204">
        <f>C59*D59</f>
        <v>0</v>
      </c>
      <c r="F59" s="203" t="s">
        <v>146</v>
      </c>
      <c r="G59" s="230">
        <f>D59-E59</f>
        <v>0</v>
      </c>
      <c r="I59" s="129"/>
    </row>
    <row r="60" spans="2:11">
      <c r="B60" s="203" t="s">
        <v>79</v>
      </c>
      <c r="C60" s="236" t="s">
        <v>449</v>
      </c>
      <c r="D60" s="203"/>
      <c r="E60" s="237">
        <f>E50+IF(E57+E58+E59&lt;0,0,E57+E58+E59)</f>
        <v>0</v>
      </c>
      <c r="F60" s="232" t="s">
        <v>35</v>
      </c>
      <c r="G60" s="237">
        <f>SUM(G52:G59)</f>
        <v>0</v>
      </c>
      <c r="I60" s="129"/>
    </row>
    <row r="61" spans="2:11">
      <c r="F61" s="132"/>
      <c r="G61" s="133"/>
      <c r="H61" s="133"/>
      <c r="I61" s="134"/>
    </row>
    <row r="62" spans="2:11">
      <c r="B62" s="2" t="s">
        <v>82</v>
      </c>
    </row>
    <row r="63" spans="2:11">
      <c r="B63" s="93" t="s">
        <v>43</v>
      </c>
      <c r="C63" s="93" t="s">
        <v>42</v>
      </c>
      <c r="D63" s="93" t="s">
        <v>80</v>
      </c>
      <c r="E63" s="121" t="s">
        <v>84</v>
      </c>
      <c r="F63" s="1" t="s">
        <v>83</v>
      </c>
      <c r="G63" s="121" t="s">
        <v>85</v>
      </c>
      <c r="K63" t="s">
        <v>224</v>
      </c>
    </row>
    <row r="64" spans="2:11">
      <c r="B64" s="52">
        <f>'Rahoitus K3'!K21</f>
        <v>0</v>
      </c>
      <c r="C64" s="115">
        <f>'Rahoitus K3'!H21</f>
        <v>0</v>
      </c>
      <c r="D64" s="52">
        <f>'Rahoitus K3'!I21</f>
        <v>0</v>
      </c>
      <c r="E64" s="118">
        <f>'Kustannukset K1'!E59</f>
        <v>0.3</v>
      </c>
      <c r="F64" s="52">
        <f>B64*E64</f>
        <v>0</v>
      </c>
      <c r="G64" s="88">
        <f>IF(B64=0,0,-PMT(C64,D64,B64-F64)+12*K64)</f>
        <v>0</v>
      </c>
      <c r="H64" s="1" t="s">
        <v>101</v>
      </c>
      <c r="K64">
        <v>10</v>
      </c>
    </row>
    <row r="65" spans="1:46">
      <c r="B65" s="52">
        <f>B64</f>
        <v>0</v>
      </c>
      <c r="C65" s="115">
        <f>C64</f>
        <v>0</v>
      </c>
      <c r="D65" s="52">
        <f>D64</f>
        <v>0</v>
      </c>
      <c r="E65" s="115">
        <f>E64</f>
        <v>0.3</v>
      </c>
      <c r="F65" s="52">
        <f>F64</f>
        <v>0</v>
      </c>
      <c r="G65" s="117">
        <f>IF(D65=0,0,(C65*F65))</f>
        <v>0</v>
      </c>
      <c r="H65" s="255" t="s">
        <v>225</v>
      </c>
    </row>
    <row r="66" spans="1:46">
      <c r="F66" s="121"/>
      <c r="G66" s="52">
        <f>G64+G65</f>
        <v>0</v>
      </c>
      <c r="H66" s="1" t="s">
        <v>176</v>
      </c>
    </row>
    <row r="67" spans="1:46">
      <c r="B67" s="1"/>
      <c r="C67" s="1"/>
      <c r="E67" s="121"/>
      <c r="F67" s="119"/>
      <c r="G67" s="52"/>
      <c r="H67" s="1"/>
    </row>
    <row r="68" spans="1:46">
      <c r="B68" s="7"/>
      <c r="C68" s="245"/>
      <c r="D68" s="245"/>
      <c r="E68" s="245"/>
      <c r="F68" s="53"/>
      <c r="G68" s="53"/>
      <c r="H68" s="53"/>
      <c r="I68" s="53"/>
      <c r="J68" s="53"/>
      <c r="K68" s="53"/>
      <c r="L68" s="53"/>
      <c r="M68" s="53"/>
      <c r="N68" s="53"/>
      <c r="O68" s="53"/>
      <c r="P68" s="53"/>
    </row>
    <row r="69" spans="1:46">
      <c r="B69" s="153"/>
      <c r="C69" s="91"/>
      <c r="D69" s="91"/>
      <c r="E69" s="91"/>
      <c r="F69" s="53"/>
      <c r="G69" s="53"/>
      <c r="H69" s="53"/>
      <c r="I69" s="53"/>
      <c r="J69" s="53"/>
      <c r="K69" s="53"/>
      <c r="L69" s="53"/>
      <c r="M69" s="53"/>
      <c r="N69" s="53"/>
      <c r="O69" s="53"/>
      <c r="P69" s="53"/>
    </row>
    <row r="70" spans="1:46">
      <c r="B70" s="153"/>
      <c r="C70" s="91"/>
      <c r="D70" s="91"/>
      <c r="E70" s="91"/>
      <c r="F70" s="212"/>
      <c r="G70" s="212"/>
      <c r="H70" s="212"/>
      <c r="I70" s="212"/>
      <c r="J70" s="212"/>
      <c r="K70" s="212"/>
      <c r="L70" s="212"/>
      <c r="M70" s="212"/>
      <c r="N70" s="212"/>
      <c r="O70" s="212"/>
      <c r="P70" s="212"/>
    </row>
    <row r="71" spans="1:46">
      <c r="B71" s="153"/>
      <c r="C71" s="91"/>
      <c r="D71" s="91"/>
      <c r="E71" s="91"/>
      <c r="F71" s="189"/>
      <c r="G71" s="189"/>
      <c r="H71" s="189"/>
      <c r="I71" s="189"/>
      <c r="J71" s="189"/>
      <c r="K71" s="189"/>
      <c r="L71" s="189"/>
      <c r="M71" s="189"/>
      <c r="N71" s="189"/>
      <c r="O71" s="189"/>
      <c r="P71" s="91"/>
    </row>
    <row r="72" spans="1:46">
      <c r="B72" s="153"/>
      <c r="C72" s="91"/>
      <c r="D72" s="91"/>
      <c r="E72" s="91"/>
      <c r="F72" s="189"/>
      <c r="G72" s="189"/>
      <c r="H72" s="189"/>
      <c r="I72" s="189"/>
      <c r="J72" s="189"/>
      <c r="K72" s="189"/>
      <c r="L72" s="189"/>
      <c r="M72" s="189"/>
      <c r="N72" s="189"/>
      <c r="O72" s="189"/>
      <c r="P72" s="91"/>
    </row>
    <row r="73" spans="1:46">
      <c r="B73" s="153"/>
      <c r="C73" s="91"/>
      <c r="D73" s="91"/>
      <c r="E73" s="91"/>
      <c r="F73" s="189"/>
      <c r="G73" s="189"/>
      <c r="H73" s="189"/>
      <c r="I73" s="189"/>
      <c r="J73" s="189"/>
      <c r="K73" s="189"/>
      <c r="L73" s="189"/>
      <c r="M73" s="189"/>
      <c r="N73" s="189"/>
      <c r="O73" s="189"/>
      <c r="P73" s="91"/>
    </row>
    <row r="74" spans="1:46">
      <c r="B74" s="68"/>
      <c r="C74" s="91"/>
      <c r="D74" s="91"/>
      <c r="E74" s="91"/>
      <c r="F74" s="189"/>
      <c r="G74" s="189"/>
      <c r="H74" s="189"/>
      <c r="I74" s="189"/>
      <c r="J74" s="189"/>
      <c r="K74" s="189"/>
      <c r="L74" s="189"/>
      <c r="M74" s="189"/>
      <c r="N74" s="189"/>
      <c r="O74" s="189"/>
      <c r="P74" s="91"/>
    </row>
    <row r="75" spans="1:46">
      <c r="A75" s="490" t="s">
        <v>47</v>
      </c>
      <c r="B75" s="490"/>
      <c r="C75" s="490"/>
      <c r="D75" s="491"/>
      <c r="E75" s="491"/>
      <c r="F75" s="491"/>
      <c r="G75" s="491"/>
      <c r="H75" s="491"/>
      <c r="I75" s="491"/>
      <c r="J75" s="491"/>
      <c r="K75" s="491"/>
      <c r="L75" s="491"/>
      <c r="M75" s="491"/>
      <c r="N75" s="491"/>
      <c r="O75" s="491"/>
      <c r="P75" s="492"/>
      <c r="Q75" s="493"/>
      <c r="R75" s="493"/>
      <c r="S75" s="493"/>
      <c r="T75" s="493"/>
      <c r="U75" s="493"/>
      <c r="V75" s="493"/>
      <c r="W75" s="493"/>
      <c r="X75" s="493"/>
      <c r="Y75" s="493"/>
      <c r="Z75" s="493"/>
      <c r="AA75" s="493"/>
      <c r="AB75" s="493"/>
      <c r="AC75" s="493"/>
      <c r="AD75" s="493"/>
      <c r="AE75" s="493"/>
      <c r="AF75" s="493"/>
      <c r="AG75" s="493"/>
      <c r="AH75" s="493"/>
      <c r="AI75" s="493"/>
      <c r="AJ75" s="493"/>
      <c r="AK75" s="493"/>
      <c r="AL75" s="493"/>
    </row>
    <row r="76" spans="1:46" ht="12.9" thickBot="1">
      <c r="A76" s="494" t="s">
        <v>405</v>
      </c>
      <c r="B76" s="495">
        <v>6</v>
      </c>
      <c r="C76" s="496">
        <v>7</v>
      </c>
      <c r="D76" s="496">
        <v>8</v>
      </c>
      <c r="E76" s="496">
        <v>9</v>
      </c>
      <c r="F76" s="496">
        <v>10</v>
      </c>
      <c r="G76" s="496">
        <v>11</v>
      </c>
      <c r="H76" s="496">
        <v>12</v>
      </c>
      <c r="I76" s="496">
        <v>13</v>
      </c>
      <c r="J76" s="496">
        <v>14</v>
      </c>
      <c r="K76" s="496">
        <v>15</v>
      </c>
      <c r="L76" s="496">
        <v>16</v>
      </c>
      <c r="M76" s="496">
        <v>17</v>
      </c>
      <c r="N76" s="496">
        <v>18</v>
      </c>
      <c r="O76" s="496">
        <v>19</v>
      </c>
      <c r="P76" s="496">
        <v>20</v>
      </c>
      <c r="Q76" s="496">
        <v>21</v>
      </c>
      <c r="R76" s="496">
        <v>22</v>
      </c>
      <c r="S76" s="496">
        <v>23</v>
      </c>
      <c r="T76" s="496">
        <v>24</v>
      </c>
      <c r="U76" s="496">
        <v>25</v>
      </c>
      <c r="V76" s="496">
        <v>26</v>
      </c>
      <c r="W76" s="496">
        <v>27</v>
      </c>
      <c r="X76" s="496">
        <v>28</v>
      </c>
      <c r="Y76" s="496">
        <v>29</v>
      </c>
      <c r="Z76" s="496">
        <v>30</v>
      </c>
      <c r="AA76" s="496">
        <v>31</v>
      </c>
      <c r="AB76" s="496">
        <v>32</v>
      </c>
      <c r="AC76" s="496">
        <v>33</v>
      </c>
      <c r="AD76" s="496">
        <v>34</v>
      </c>
      <c r="AE76" s="496">
        <v>35</v>
      </c>
      <c r="AF76" s="496">
        <v>36</v>
      </c>
      <c r="AG76" s="496">
        <v>37</v>
      </c>
      <c r="AH76" s="496">
        <v>38</v>
      </c>
      <c r="AI76" s="496">
        <v>39</v>
      </c>
      <c r="AJ76" s="496">
        <v>40</v>
      </c>
      <c r="AK76" s="496">
        <v>41</v>
      </c>
      <c r="AL76" s="496">
        <v>42</v>
      </c>
      <c r="AM76" s="189"/>
      <c r="AN76" s="188"/>
      <c r="AO76" s="189"/>
      <c r="AP76" s="188"/>
      <c r="AQ76" s="189"/>
      <c r="AR76" s="188"/>
      <c r="AS76" s="188"/>
      <c r="AT76" s="189"/>
    </row>
    <row r="77" spans="1:46" s="448" customFormat="1" ht="11.25" customHeight="1">
      <c r="A77" s="497" t="s">
        <v>402</v>
      </c>
      <c r="B77" s="498">
        <f>'Rahoitus K3'!K18</f>
        <v>0</v>
      </c>
      <c r="C77" s="524">
        <f>B77-B78</f>
        <v>0</v>
      </c>
      <c r="D77" s="524">
        <f t="shared" ref="D77:AF77" si="5">C77-C78</f>
        <v>0</v>
      </c>
      <c r="E77" s="524">
        <f t="shared" si="5"/>
        <v>0</v>
      </c>
      <c r="F77" s="524">
        <f t="shared" si="5"/>
        <v>0</v>
      </c>
      <c r="G77" s="524">
        <f t="shared" si="5"/>
        <v>0</v>
      </c>
      <c r="H77" s="524">
        <f t="shared" si="5"/>
        <v>0</v>
      </c>
      <c r="I77" s="524">
        <f t="shared" si="5"/>
        <v>0</v>
      </c>
      <c r="J77" s="524">
        <f t="shared" si="5"/>
        <v>0</v>
      </c>
      <c r="K77" s="524">
        <f t="shared" si="5"/>
        <v>0</v>
      </c>
      <c r="L77" s="524">
        <f t="shared" si="5"/>
        <v>0</v>
      </c>
      <c r="M77" s="524">
        <f t="shared" si="5"/>
        <v>0</v>
      </c>
      <c r="N77" s="524">
        <f t="shared" si="5"/>
        <v>0</v>
      </c>
      <c r="O77" s="524">
        <f t="shared" si="5"/>
        <v>0</v>
      </c>
      <c r="P77" s="524">
        <f t="shared" si="5"/>
        <v>0</v>
      </c>
      <c r="Q77" s="524">
        <f t="shared" si="5"/>
        <v>0</v>
      </c>
      <c r="R77" s="524">
        <f t="shared" si="5"/>
        <v>0</v>
      </c>
      <c r="S77" s="524">
        <f t="shared" si="5"/>
        <v>0</v>
      </c>
      <c r="T77" s="524">
        <f t="shared" si="5"/>
        <v>0</v>
      </c>
      <c r="U77" s="524">
        <f t="shared" si="5"/>
        <v>0</v>
      </c>
      <c r="V77" s="524">
        <f t="shared" si="5"/>
        <v>0</v>
      </c>
      <c r="W77" s="524">
        <f t="shared" si="5"/>
        <v>0</v>
      </c>
      <c r="X77" s="524">
        <f t="shared" si="5"/>
        <v>0</v>
      </c>
      <c r="Y77" s="524">
        <f t="shared" si="5"/>
        <v>0</v>
      </c>
      <c r="Z77" s="524">
        <f t="shared" si="5"/>
        <v>0</v>
      </c>
      <c r="AA77" s="524">
        <f t="shared" si="5"/>
        <v>0</v>
      </c>
      <c r="AB77" s="524">
        <f t="shared" si="5"/>
        <v>0</v>
      </c>
      <c r="AC77" s="524">
        <f t="shared" si="5"/>
        <v>0</v>
      </c>
      <c r="AD77" s="524">
        <f t="shared" si="5"/>
        <v>0</v>
      </c>
      <c r="AE77" s="524">
        <f t="shared" si="5"/>
        <v>0</v>
      </c>
      <c r="AF77" s="524">
        <f t="shared" si="5"/>
        <v>0</v>
      </c>
      <c r="AG77" s="524">
        <f t="shared" ref="AG77" si="6">AF77-AF78</f>
        <v>0</v>
      </c>
      <c r="AH77" s="524">
        <f t="shared" ref="AH77" si="7">AG77-AG78</f>
        <v>0</v>
      </c>
      <c r="AI77" s="524">
        <f t="shared" ref="AI77" si="8">AH77-AH78</f>
        <v>0</v>
      </c>
      <c r="AJ77" s="524">
        <f t="shared" ref="AJ77" si="9">AI77-AI78</f>
        <v>0</v>
      </c>
      <c r="AK77" s="524">
        <f t="shared" ref="AK77" si="10">AJ77-AJ78</f>
        <v>0</v>
      </c>
      <c r="AL77" s="525">
        <f t="shared" ref="AL77" si="11">AK77-AK78</f>
        <v>0</v>
      </c>
    </row>
    <row r="78" spans="1:46">
      <c r="A78" s="500" t="s">
        <v>403</v>
      </c>
      <c r="B78" s="68">
        <f>IF(B77=0,0,IF('Rahoitus K3'!$I18=2,0,IF('Rahoitus K3'!$I18=1,0,'Rahoitus K3'!$K18/(2*'Rahoitus K3'!$J18))))</f>
        <v>0</v>
      </c>
      <c r="C78" s="188"/>
      <c r="D78" s="189"/>
      <c r="E78" s="189"/>
      <c r="F78" s="189"/>
      <c r="G78" s="189"/>
      <c r="H78" s="68">
        <f>IF(H77=0,0,IF('Rahoitus K3'!$I18=2,0,IF('Rahoitus K3'!$I18=1,0,'Rahoitus K3'!$K18/(2*'Rahoitus K3'!$J18))))</f>
        <v>0</v>
      </c>
      <c r="I78" s="189"/>
      <c r="J78" s="189"/>
      <c r="K78" s="189"/>
      <c r="L78" s="189"/>
      <c r="M78" s="189"/>
      <c r="N78" s="68">
        <f>IF(N77=0,0,IF('Rahoitus K3'!$I18=2,0,IF('Rahoitus K3'!$I18=1,'Rahoitus K3'!$K18/(2*'Rahoitus K3'!$J18-2),'Rahoitus K3'!$K18/(2*'Rahoitus K3'!$J18))))</f>
        <v>0</v>
      </c>
      <c r="O78" s="189"/>
      <c r="P78" s="91"/>
      <c r="T78" s="68">
        <f>IF(T77=0,0,IF('Rahoitus K3'!$I18=2,0,IF('Rahoitus K3'!$I18=1,'Rahoitus K3'!$K18/(2*'Rahoitus K3'!$J18-2),'Rahoitus K3'!$K18/(2*'Rahoitus K3'!$J18))))</f>
        <v>0</v>
      </c>
      <c r="Z78" s="68">
        <f>IF(Z77=0,0,IF('Rahoitus K3'!$I18=2,'Rahoitus K3'!$K18/(2*'Rahoitus K3'!$J18-4),IF('Rahoitus K3'!$I18=1,'Rahoitus K3'!$K18/(2*'Rahoitus K3'!$J18-2),'Rahoitus K3'!$K18/(2*'Rahoitus K3'!$J18))))</f>
        <v>0</v>
      </c>
      <c r="AF78" s="68">
        <f>IF(AF77=0,0,IF('Rahoitus K3'!$I18=2,'Rahoitus K3'!$K18/(2*'Rahoitus K3'!$J18-4),IF('Rahoitus K3'!$I18=1,'Rahoitus K3'!$K18/(2*'Rahoitus K3'!$J18-2),'Rahoitus K3'!$K18/(2*'Rahoitus K3'!$J18))))</f>
        <v>0</v>
      </c>
      <c r="AL78" s="526">
        <f>IF(AL77=0,0,IF('Rahoitus K3'!$I18=2,'Rahoitus K3'!$K18/(2*'Rahoitus K3'!$J18-4),IF('Rahoitus K3'!$I18=1,'Rahoitus K3'!$K18/(2*'Rahoitus K3'!$J18-2),'Rahoitus K3'!$K18/(2*'Rahoitus K3'!$J18))))</f>
        <v>0</v>
      </c>
    </row>
    <row r="79" spans="1:46" s="534" customFormat="1">
      <c r="A79" s="532" t="s">
        <v>455</v>
      </c>
      <c r="B79" s="533">
        <f>B77-B78</f>
        <v>0</v>
      </c>
      <c r="C79" s="533">
        <f t="shared" ref="C79:AL79" si="12">C77-C78</f>
        <v>0</v>
      </c>
      <c r="D79" s="533">
        <f t="shared" si="12"/>
        <v>0</v>
      </c>
      <c r="E79" s="533">
        <f t="shared" si="12"/>
        <v>0</v>
      </c>
      <c r="F79" s="533">
        <f t="shared" si="12"/>
        <v>0</v>
      </c>
      <c r="G79" s="533">
        <f t="shared" si="12"/>
        <v>0</v>
      </c>
      <c r="H79" s="533">
        <f t="shared" si="12"/>
        <v>0</v>
      </c>
      <c r="I79" s="533">
        <f t="shared" si="12"/>
        <v>0</v>
      </c>
      <c r="J79" s="533">
        <f t="shared" si="12"/>
        <v>0</v>
      </c>
      <c r="K79" s="533">
        <f t="shared" si="12"/>
        <v>0</v>
      </c>
      <c r="L79" s="533">
        <f t="shared" si="12"/>
        <v>0</v>
      </c>
      <c r="M79" s="533">
        <f t="shared" si="12"/>
        <v>0</v>
      </c>
      <c r="N79" s="533">
        <f t="shared" si="12"/>
        <v>0</v>
      </c>
      <c r="O79" s="533">
        <f t="shared" si="12"/>
        <v>0</v>
      </c>
      <c r="P79" s="533">
        <f t="shared" si="12"/>
        <v>0</v>
      </c>
      <c r="Q79" s="533">
        <f t="shared" si="12"/>
        <v>0</v>
      </c>
      <c r="R79" s="533">
        <f t="shared" si="12"/>
        <v>0</v>
      </c>
      <c r="S79" s="533">
        <f t="shared" si="12"/>
        <v>0</v>
      </c>
      <c r="T79" s="533">
        <f t="shared" si="12"/>
        <v>0</v>
      </c>
      <c r="U79" s="533">
        <f t="shared" si="12"/>
        <v>0</v>
      </c>
      <c r="V79" s="533">
        <f t="shared" si="12"/>
        <v>0</v>
      </c>
      <c r="W79" s="533">
        <f t="shared" si="12"/>
        <v>0</v>
      </c>
      <c r="X79" s="533">
        <f t="shared" si="12"/>
        <v>0</v>
      </c>
      <c r="Y79" s="533">
        <f t="shared" si="12"/>
        <v>0</v>
      </c>
      <c r="Z79" s="533">
        <f t="shared" si="12"/>
        <v>0</v>
      </c>
      <c r="AA79" s="533">
        <f t="shared" si="12"/>
        <v>0</v>
      </c>
      <c r="AB79" s="533">
        <f t="shared" si="12"/>
        <v>0</v>
      </c>
      <c r="AC79" s="533">
        <f t="shared" si="12"/>
        <v>0</v>
      </c>
      <c r="AD79" s="533">
        <f t="shared" si="12"/>
        <v>0</v>
      </c>
      <c r="AE79" s="533">
        <f t="shared" si="12"/>
        <v>0</v>
      </c>
      <c r="AF79" s="533">
        <f t="shared" si="12"/>
        <v>0</v>
      </c>
      <c r="AG79" s="533">
        <f t="shared" si="12"/>
        <v>0</v>
      </c>
      <c r="AH79" s="533">
        <f t="shared" si="12"/>
        <v>0</v>
      </c>
      <c r="AI79" s="533">
        <f t="shared" si="12"/>
        <v>0</v>
      </c>
      <c r="AJ79" s="533">
        <f t="shared" si="12"/>
        <v>0</v>
      </c>
      <c r="AK79" s="533">
        <f t="shared" si="12"/>
        <v>0</v>
      </c>
      <c r="AL79" s="533">
        <f t="shared" si="12"/>
        <v>0</v>
      </c>
    </row>
    <row r="80" spans="1:46">
      <c r="A80" s="500" t="s">
        <v>42</v>
      </c>
      <c r="B80" s="441">
        <f>'Rahoitus K3'!H18</f>
        <v>0</v>
      </c>
      <c r="C80" s="442">
        <f>B80</f>
        <v>0</v>
      </c>
      <c r="D80" s="442">
        <f t="shared" ref="D80:AF80" si="13">C80</f>
        <v>0</v>
      </c>
      <c r="E80" s="442">
        <f t="shared" si="13"/>
        <v>0</v>
      </c>
      <c r="F80" s="442">
        <f t="shared" si="13"/>
        <v>0</v>
      </c>
      <c r="G80" s="442">
        <f t="shared" si="13"/>
        <v>0</v>
      </c>
      <c r="H80" s="442">
        <f t="shared" si="13"/>
        <v>0</v>
      </c>
      <c r="I80" s="442">
        <f t="shared" si="13"/>
        <v>0</v>
      </c>
      <c r="J80" s="442">
        <f t="shared" si="13"/>
        <v>0</v>
      </c>
      <c r="K80" s="442">
        <f t="shared" si="13"/>
        <v>0</v>
      </c>
      <c r="L80" s="442">
        <f t="shared" si="13"/>
        <v>0</v>
      </c>
      <c r="M80" s="442">
        <f t="shared" si="13"/>
        <v>0</v>
      </c>
      <c r="N80" s="442">
        <f t="shared" si="13"/>
        <v>0</v>
      </c>
      <c r="O80" s="442">
        <f t="shared" si="13"/>
        <v>0</v>
      </c>
      <c r="P80" s="442">
        <f t="shared" si="13"/>
        <v>0</v>
      </c>
      <c r="Q80" s="442">
        <f t="shared" si="13"/>
        <v>0</v>
      </c>
      <c r="R80" s="442">
        <f t="shared" si="13"/>
        <v>0</v>
      </c>
      <c r="S80" s="442">
        <f t="shared" si="13"/>
        <v>0</v>
      </c>
      <c r="T80" s="442">
        <f t="shared" si="13"/>
        <v>0</v>
      </c>
      <c r="U80" s="442">
        <f t="shared" si="13"/>
        <v>0</v>
      </c>
      <c r="V80" s="442">
        <f t="shared" si="13"/>
        <v>0</v>
      </c>
      <c r="W80" s="442">
        <f t="shared" si="13"/>
        <v>0</v>
      </c>
      <c r="X80" s="442">
        <f t="shared" si="13"/>
        <v>0</v>
      </c>
      <c r="Y80" s="442">
        <f t="shared" si="13"/>
        <v>0</v>
      </c>
      <c r="Z80" s="442">
        <f t="shared" si="13"/>
        <v>0</v>
      </c>
      <c r="AA80" s="442">
        <f t="shared" si="13"/>
        <v>0</v>
      </c>
      <c r="AB80" s="442">
        <f t="shared" si="13"/>
        <v>0</v>
      </c>
      <c r="AC80" s="442">
        <f t="shared" si="13"/>
        <v>0</v>
      </c>
      <c r="AD80" s="442">
        <f t="shared" si="13"/>
        <v>0</v>
      </c>
      <c r="AE80" s="442">
        <f t="shared" si="13"/>
        <v>0</v>
      </c>
      <c r="AF80" s="442">
        <f t="shared" si="13"/>
        <v>0</v>
      </c>
      <c r="AG80" s="442">
        <f t="shared" ref="AG80" si="14">AF80</f>
        <v>0</v>
      </c>
      <c r="AH80" s="442">
        <f t="shared" ref="AH80" si="15">AG80</f>
        <v>0</v>
      </c>
      <c r="AI80" s="442">
        <f t="shared" ref="AI80" si="16">AH80</f>
        <v>0</v>
      </c>
      <c r="AJ80" s="442">
        <f t="shared" ref="AJ80" si="17">AI80</f>
        <v>0</v>
      </c>
      <c r="AK80" s="442">
        <f t="shared" ref="AK80" si="18">AJ80</f>
        <v>0</v>
      </c>
      <c r="AL80" s="527">
        <f t="shared" ref="AL80" si="19">AK80</f>
        <v>0</v>
      </c>
    </row>
    <row r="81" spans="1:38">
      <c r="A81" s="500" t="s">
        <v>404</v>
      </c>
      <c r="B81" s="443">
        <f>(B77)*B80/2</f>
        <v>0</v>
      </c>
      <c r="C81" s="443">
        <f>(C77)*C80/12</f>
        <v>0</v>
      </c>
      <c r="D81" s="443">
        <f t="shared" ref="D81:AL81" si="20">(D77)*D80/12</f>
        <v>0</v>
      </c>
      <c r="E81" s="443">
        <f t="shared" si="20"/>
        <v>0</v>
      </c>
      <c r="F81" s="443">
        <f t="shared" si="20"/>
        <v>0</v>
      </c>
      <c r="G81" s="443">
        <f t="shared" si="20"/>
        <v>0</v>
      </c>
      <c r="H81" s="443">
        <f t="shared" si="20"/>
        <v>0</v>
      </c>
      <c r="I81" s="443">
        <f t="shared" si="20"/>
        <v>0</v>
      </c>
      <c r="J81" s="443">
        <f t="shared" si="20"/>
        <v>0</v>
      </c>
      <c r="K81" s="443">
        <f t="shared" si="20"/>
        <v>0</v>
      </c>
      <c r="L81" s="443">
        <f t="shared" si="20"/>
        <v>0</v>
      </c>
      <c r="M81" s="443">
        <f t="shared" si="20"/>
        <v>0</v>
      </c>
      <c r="N81" s="443">
        <f t="shared" si="20"/>
        <v>0</v>
      </c>
      <c r="O81" s="443">
        <f t="shared" si="20"/>
        <v>0</v>
      </c>
      <c r="P81" s="443">
        <f t="shared" si="20"/>
        <v>0</v>
      </c>
      <c r="Q81" s="443">
        <f t="shared" si="20"/>
        <v>0</v>
      </c>
      <c r="R81" s="443">
        <f t="shared" si="20"/>
        <v>0</v>
      </c>
      <c r="S81" s="443">
        <f t="shared" si="20"/>
        <v>0</v>
      </c>
      <c r="T81" s="443">
        <f t="shared" si="20"/>
        <v>0</v>
      </c>
      <c r="U81" s="443">
        <f t="shared" si="20"/>
        <v>0</v>
      </c>
      <c r="V81" s="443">
        <f t="shared" si="20"/>
        <v>0</v>
      </c>
      <c r="W81" s="443">
        <f t="shared" si="20"/>
        <v>0</v>
      </c>
      <c r="X81" s="443">
        <f t="shared" si="20"/>
        <v>0</v>
      </c>
      <c r="Y81" s="443">
        <f t="shared" si="20"/>
        <v>0</v>
      </c>
      <c r="Z81" s="443">
        <f t="shared" si="20"/>
        <v>0</v>
      </c>
      <c r="AA81" s="443">
        <f t="shared" si="20"/>
        <v>0</v>
      </c>
      <c r="AB81" s="443">
        <f t="shared" si="20"/>
        <v>0</v>
      </c>
      <c r="AC81" s="443">
        <f t="shared" si="20"/>
        <v>0</v>
      </c>
      <c r="AD81" s="443">
        <f t="shared" si="20"/>
        <v>0</v>
      </c>
      <c r="AE81" s="443">
        <f t="shared" si="20"/>
        <v>0</v>
      </c>
      <c r="AF81" s="443">
        <f t="shared" si="20"/>
        <v>0</v>
      </c>
      <c r="AG81" s="443">
        <f t="shared" si="20"/>
        <v>0</v>
      </c>
      <c r="AH81" s="443">
        <f t="shared" si="20"/>
        <v>0</v>
      </c>
      <c r="AI81" s="443">
        <f t="shared" si="20"/>
        <v>0</v>
      </c>
      <c r="AJ81" s="443">
        <f t="shared" si="20"/>
        <v>0</v>
      </c>
      <c r="AK81" s="443">
        <f t="shared" si="20"/>
        <v>0</v>
      </c>
      <c r="AL81" s="528">
        <f t="shared" si="20"/>
        <v>0</v>
      </c>
    </row>
    <row r="82" spans="1:38">
      <c r="A82" s="501" t="s">
        <v>406</v>
      </c>
      <c r="B82" s="453">
        <f>B81</f>
        <v>0</v>
      </c>
      <c r="C82" s="188"/>
      <c r="D82" s="189"/>
      <c r="E82" s="189"/>
      <c r="F82" s="189"/>
      <c r="G82" s="189"/>
      <c r="H82" s="189"/>
      <c r="I82" s="189"/>
      <c r="J82" s="189"/>
      <c r="K82" s="189"/>
      <c r="L82" s="189"/>
      <c r="M82" s="189"/>
      <c r="N82" s="454">
        <f>SUM(C81:N81)</f>
        <v>0</v>
      </c>
      <c r="O82" s="189"/>
      <c r="P82" s="91"/>
      <c r="Z82" s="454">
        <f>SUM(O81:Z81)</f>
        <v>0</v>
      </c>
      <c r="AL82" s="147"/>
    </row>
    <row r="83" spans="1:38">
      <c r="A83" s="502" t="s">
        <v>407</v>
      </c>
      <c r="B83" s="68"/>
      <c r="C83" s="458">
        <f>B82+C81</f>
        <v>0</v>
      </c>
      <c r="D83" s="189"/>
      <c r="E83" s="189"/>
      <c r="F83" s="189"/>
      <c r="G83" s="189"/>
      <c r="H83" s="189"/>
      <c r="I83" s="189"/>
      <c r="J83" s="189"/>
      <c r="K83" s="189"/>
      <c r="L83" s="189"/>
      <c r="M83" s="189"/>
      <c r="O83" s="459">
        <f>SUM(D81:O81)</f>
        <v>0</v>
      </c>
      <c r="P83" s="91"/>
      <c r="AA83" s="459">
        <f>SUM(P81:AA81)</f>
        <v>0</v>
      </c>
      <c r="AB83" s="91"/>
      <c r="AL83" s="147"/>
    </row>
    <row r="84" spans="1:38">
      <c r="A84" s="503" t="s">
        <v>418</v>
      </c>
      <c r="B84" s="53"/>
      <c r="C84" s="53"/>
      <c r="D84" s="460">
        <f>SUM(B81:D81)</f>
        <v>0</v>
      </c>
      <c r="E84" s="444"/>
      <c r="F84" s="444"/>
      <c r="G84" s="444"/>
      <c r="H84" s="444"/>
      <c r="I84" s="444"/>
      <c r="J84" s="444"/>
      <c r="K84" s="444"/>
      <c r="L84" s="444"/>
      <c r="M84" s="444"/>
      <c r="N84" s="444"/>
      <c r="O84" s="189"/>
      <c r="P84" s="461">
        <f>SUM(E81:P81)</f>
        <v>0</v>
      </c>
      <c r="AA84" s="189"/>
      <c r="AB84" s="461">
        <f>SUM(Q81:AB81)</f>
        <v>0</v>
      </c>
      <c r="AL84" s="147"/>
    </row>
    <row r="85" spans="1:38">
      <c r="A85" s="504" t="s">
        <v>417</v>
      </c>
      <c r="B85" s="68"/>
      <c r="C85" s="188"/>
      <c r="D85" s="444"/>
      <c r="E85" s="463">
        <f>SUM(B81:E81)</f>
        <v>0</v>
      </c>
      <c r="F85" s="444"/>
      <c r="G85" s="444"/>
      <c r="H85" s="444"/>
      <c r="I85" s="444"/>
      <c r="J85" s="444"/>
      <c r="K85" s="444"/>
      <c r="L85" s="444"/>
      <c r="M85" s="444"/>
      <c r="N85" s="444"/>
      <c r="O85" s="189"/>
      <c r="P85" s="91"/>
      <c r="Q85" s="462">
        <f>SUM(F81:Q81)</f>
        <v>0</v>
      </c>
      <c r="AA85" s="189"/>
      <c r="AB85" s="91"/>
      <c r="AC85" s="462">
        <f>SUM(R81:AC81)</f>
        <v>0</v>
      </c>
      <c r="AL85" s="147"/>
    </row>
    <row r="86" spans="1:38">
      <c r="A86" s="505" t="s">
        <v>408</v>
      </c>
      <c r="B86" s="68"/>
      <c r="C86" s="188"/>
      <c r="D86" s="444"/>
      <c r="E86" s="444"/>
      <c r="F86" s="464">
        <f>SUM(B81:F81)</f>
        <v>0</v>
      </c>
      <c r="G86" s="444"/>
      <c r="H86" s="444"/>
      <c r="I86" s="444"/>
      <c r="J86" s="444"/>
      <c r="K86" s="444"/>
      <c r="L86" s="444"/>
      <c r="M86" s="444"/>
      <c r="N86" s="444"/>
      <c r="O86" s="189"/>
      <c r="P86" s="91"/>
      <c r="R86" s="465">
        <f>SUM(G81:R81)</f>
        <v>0</v>
      </c>
      <c r="AA86" s="189"/>
      <c r="AB86" s="91"/>
      <c r="AD86" s="465">
        <f>SUM(S81:AD81)</f>
        <v>0</v>
      </c>
      <c r="AL86" s="147"/>
    </row>
    <row r="87" spans="1:38">
      <c r="A87" s="506" t="s">
        <v>409</v>
      </c>
      <c r="B87" s="53"/>
      <c r="C87" s="53"/>
      <c r="D87" s="444"/>
      <c r="E87" s="444"/>
      <c r="F87" s="444"/>
      <c r="G87" s="467">
        <f>SUM(B81:G81)</f>
        <v>0</v>
      </c>
      <c r="H87" s="444"/>
      <c r="I87" s="444"/>
      <c r="J87" s="444"/>
      <c r="K87" s="444"/>
      <c r="L87" s="444"/>
      <c r="M87" s="444"/>
      <c r="N87" s="444"/>
      <c r="O87" s="189"/>
      <c r="P87" s="91"/>
      <c r="S87" s="466">
        <f>SUM(H81:S81)</f>
        <v>0</v>
      </c>
      <c r="AA87" s="189"/>
      <c r="AB87" s="91"/>
      <c r="AE87" s="466">
        <f>SUM(T81:AE81)</f>
        <v>0</v>
      </c>
      <c r="AL87" s="147"/>
    </row>
    <row r="88" spans="1:38">
      <c r="A88" s="506" t="s">
        <v>410</v>
      </c>
      <c r="B88" s="68"/>
      <c r="C88" s="188"/>
      <c r="D88" s="444"/>
      <c r="E88" s="444"/>
      <c r="F88" s="444"/>
      <c r="G88" s="444"/>
      <c r="H88" s="473">
        <f>SUM(B81:H81)</f>
        <v>0</v>
      </c>
      <c r="I88" s="444"/>
      <c r="J88" s="444"/>
      <c r="K88" s="444"/>
      <c r="L88" s="444"/>
      <c r="M88" s="444"/>
      <c r="N88" s="444"/>
      <c r="O88" s="189"/>
      <c r="P88" s="91"/>
      <c r="T88" s="474">
        <f>SUM(I81:T81)</f>
        <v>0</v>
      </c>
      <c r="AA88" s="189"/>
      <c r="AB88" s="91"/>
      <c r="AF88" s="474">
        <f>SUM(U81:AF81)</f>
        <v>0</v>
      </c>
      <c r="AL88" s="147"/>
    </row>
    <row r="89" spans="1:38">
      <c r="A89" s="507" t="s">
        <v>411</v>
      </c>
      <c r="B89" s="53"/>
      <c r="C89" s="53"/>
      <c r="D89" s="444"/>
      <c r="E89" s="444"/>
      <c r="F89" s="444"/>
      <c r="G89" s="444"/>
      <c r="H89" s="444"/>
      <c r="I89" s="479">
        <f>SUM(B81:I81)</f>
        <v>0</v>
      </c>
      <c r="J89" s="444"/>
      <c r="K89" s="444"/>
      <c r="L89" s="444"/>
      <c r="M89" s="444"/>
      <c r="N89" s="444"/>
      <c r="O89" s="189"/>
      <c r="P89" s="91"/>
      <c r="U89" s="475">
        <f>SUM(J81:U81)</f>
        <v>0</v>
      </c>
      <c r="AA89" s="189"/>
      <c r="AB89" s="91"/>
      <c r="AG89" s="475">
        <f>SUM(V81:AG81)</f>
        <v>0</v>
      </c>
      <c r="AL89" s="147"/>
    </row>
    <row r="90" spans="1:38">
      <c r="A90" s="508" t="s">
        <v>412</v>
      </c>
      <c r="B90" s="68"/>
      <c r="C90" s="188"/>
      <c r="D90" s="444"/>
      <c r="E90" s="444"/>
      <c r="F90" s="444"/>
      <c r="G90" s="444"/>
      <c r="H90" s="444"/>
      <c r="I90" s="444"/>
      <c r="J90" s="480">
        <f>SUM(B81:J81)</f>
        <v>0</v>
      </c>
      <c r="K90" s="444"/>
      <c r="L90" s="444"/>
      <c r="M90" s="444"/>
      <c r="N90" s="444"/>
      <c r="O90" s="189"/>
      <c r="P90" s="91"/>
      <c r="V90" s="476">
        <f>SUM(K81:V81)</f>
        <v>0</v>
      </c>
      <c r="AA90" s="189"/>
      <c r="AB90" s="91"/>
      <c r="AH90" s="476">
        <f>SUM(W81:AH81)</f>
        <v>0</v>
      </c>
      <c r="AL90" s="147"/>
    </row>
    <row r="91" spans="1:38">
      <c r="A91" s="509" t="s">
        <v>413</v>
      </c>
      <c r="B91" s="53"/>
      <c r="C91" s="53"/>
      <c r="D91" s="444"/>
      <c r="E91" s="444"/>
      <c r="F91" s="444"/>
      <c r="G91" s="444"/>
      <c r="H91" s="444"/>
      <c r="I91" s="444"/>
      <c r="J91" s="444"/>
      <c r="K91" s="481">
        <f>SUM(B81:K81)</f>
        <v>0</v>
      </c>
      <c r="L91" s="444"/>
      <c r="M91" s="444"/>
      <c r="N91" s="444"/>
      <c r="O91" s="189"/>
      <c r="P91" s="91"/>
      <c r="W91" s="477">
        <f>SUM(L81:W81)</f>
        <v>0</v>
      </c>
      <c r="AA91" s="189"/>
      <c r="AB91" s="91"/>
      <c r="AI91" s="477">
        <f>SUM(X81:AI81)</f>
        <v>0</v>
      </c>
      <c r="AL91" s="147"/>
    </row>
    <row r="92" spans="1:38">
      <c r="A92" s="510" t="s">
        <v>414</v>
      </c>
      <c r="B92" s="68"/>
      <c r="C92" s="188"/>
      <c r="D92" s="444"/>
      <c r="E92" s="444"/>
      <c r="F92" s="444"/>
      <c r="G92" s="444"/>
      <c r="H92" s="444"/>
      <c r="I92" s="444"/>
      <c r="J92" s="444"/>
      <c r="K92" s="444"/>
      <c r="L92" s="483">
        <f>SUM(B81:L81)</f>
        <v>0</v>
      </c>
      <c r="M92" s="444"/>
      <c r="N92" s="444"/>
      <c r="O92" s="189"/>
      <c r="P92" s="91"/>
      <c r="X92" s="478">
        <f>SUM(M81:X81)</f>
        <v>0</v>
      </c>
      <c r="AA92" s="189"/>
      <c r="AB92" s="91"/>
      <c r="AJ92" s="478">
        <f>SUM(Y81:AJ81)</f>
        <v>0</v>
      </c>
      <c r="AL92" s="147"/>
    </row>
    <row r="93" spans="1:38">
      <c r="A93" s="511" t="s">
        <v>415</v>
      </c>
      <c r="B93" s="53"/>
      <c r="C93" s="53"/>
      <c r="D93" s="444"/>
      <c r="E93" s="444"/>
      <c r="F93" s="444"/>
      <c r="G93" s="444"/>
      <c r="H93" s="444"/>
      <c r="I93" s="444"/>
      <c r="J93" s="444"/>
      <c r="K93" s="444"/>
      <c r="L93" s="444"/>
      <c r="M93" s="485">
        <f>SUM(B81:M81)</f>
        <v>0</v>
      </c>
      <c r="N93" s="444"/>
      <c r="O93" s="189"/>
      <c r="P93" s="91"/>
      <c r="Y93" s="484">
        <f>SUM(N81:Y81)</f>
        <v>0</v>
      </c>
      <c r="AA93" s="189"/>
      <c r="AB93" s="91"/>
      <c r="AK93" s="484">
        <f>SUM(Z81:AK81)</f>
        <v>0</v>
      </c>
      <c r="AL93" s="147"/>
    </row>
    <row r="94" spans="1:38" ht="12.9" thickBot="1">
      <c r="A94" s="512" t="s">
        <v>416</v>
      </c>
      <c r="B94" s="513"/>
      <c r="C94" s="191"/>
      <c r="D94" s="514"/>
      <c r="E94" s="514"/>
      <c r="F94" s="514"/>
      <c r="G94" s="514"/>
      <c r="H94" s="514"/>
      <c r="I94" s="514"/>
      <c r="J94" s="514"/>
      <c r="K94" s="514"/>
      <c r="L94" s="514"/>
      <c r="M94" s="514"/>
      <c r="N94" s="515">
        <f>SUM(B81:N81)</f>
        <v>0</v>
      </c>
      <c r="O94" s="271"/>
      <c r="P94" s="516"/>
      <c r="Q94" s="152"/>
      <c r="R94" s="152"/>
      <c r="S94" s="152"/>
      <c r="T94" s="152"/>
      <c r="U94" s="152"/>
      <c r="V94" s="152"/>
      <c r="W94" s="152"/>
      <c r="X94" s="152"/>
      <c r="Y94" s="152"/>
      <c r="Z94" s="517">
        <f>SUM(O81:Z81)</f>
        <v>0</v>
      </c>
      <c r="AA94" s="271"/>
      <c r="AB94" s="516"/>
      <c r="AC94" s="152"/>
      <c r="AD94" s="152"/>
      <c r="AE94" s="152"/>
      <c r="AF94" s="152"/>
      <c r="AG94" s="152"/>
      <c r="AH94" s="152"/>
      <c r="AI94" s="152"/>
      <c r="AJ94" s="152"/>
      <c r="AK94" s="152"/>
      <c r="AL94" s="518">
        <f>SUM(AA81:AL81)</f>
        <v>0</v>
      </c>
    </row>
    <row r="95" spans="1:38" s="448" customFormat="1" ht="11.25" customHeight="1">
      <c r="A95" s="497" t="s">
        <v>421</v>
      </c>
      <c r="B95" s="498">
        <f>'Rahoitus K3'!K19</f>
        <v>0</v>
      </c>
      <c r="C95" s="524">
        <f>B95-B96</f>
        <v>0</v>
      </c>
      <c r="D95" s="524">
        <f t="shared" ref="D95" si="21">C95-C96</f>
        <v>0</v>
      </c>
      <c r="E95" s="524">
        <f t="shared" ref="E95" si="22">D95-D96</f>
        <v>0</v>
      </c>
      <c r="F95" s="524">
        <f t="shared" ref="F95" si="23">E95-E96</f>
        <v>0</v>
      </c>
      <c r="G95" s="524">
        <f t="shared" ref="G95" si="24">F95-F96</f>
        <v>0</v>
      </c>
      <c r="H95" s="524">
        <f t="shared" ref="H95" si="25">G95-G96</f>
        <v>0</v>
      </c>
      <c r="I95" s="524">
        <f t="shared" ref="I95" si="26">H95-H96</f>
        <v>0</v>
      </c>
      <c r="J95" s="524">
        <f t="shared" ref="J95" si="27">I95-I96</f>
        <v>0</v>
      </c>
      <c r="K95" s="524">
        <f t="shared" ref="K95" si="28">J95-J96</f>
        <v>0</v>
      </c>
      <c r="L95" s="524">
        <f t="shared" ref="L95" si="29">K95-K96</f>
        <v>0</v>
      </c>
      <c r="M95" s="524">
        <f t="shared" ref="M95" si="30">L95-L96</f>
        <v>0</v>
      </c>
      <c r="N95" s="524">
        <f t="shared" ref="N95" si="31">M95-M96</f>
        <v>0</v>
      </c>
      <c r="O95" s="524">
        <f t="shared" ref="O95" si="32">N95-N96</f>
        <v>0</v>
      </c>
      <c r="P95" s="524">
        <f t="shared" ref="P95" si="33">O95-O96</f>
        <v>0</v>
      </c>
      <c r="Q95" s="524">
        <f t="shared" ref="Q95" si="34">P95-P96</f>
        <v>0</v>
      </c>
      <c r="R95" s="524">
        <f t="shared" ref="R95" si="35">Q95-Q96</f>
        <v>0</v>
      </c>
      <c r="S95" s="524">
        <f t="shared" ref="S95" si="36">R95-R96</f>
        <v>0</v>
      </c>
      <c r="T95" s="524">
        <f t="shared" ref="T95" si="37">S95-S96</f>
        <v>0</v>
      </c>
      <c r="U95" s="524">
        <f t="shared" ref="U95" si="38">T95-T96</f>
        <v>0</v>
      </c>
      <c r="V95" s="524">
        <f t="shared" ref="V95" si="39">U95-U96</f>
        <v>0</v>
      </c>
      <c r="W95" s="524">
        <f t="shared" ref="W95" si="40">V95-V96</f>
        <v>0</v>
      </c>
      <c r="X95" s="524">
        <f t="shared" ref="X95" si="41">W95-W96</f>
        <v>0</v>
      </c>
      <c r="Y95" s="524">
        <f t="shared" ref="Y95" si="42">X95-X96</f>
        <v>0</v>
      </c>
      <c r="Z95" s="524">
        <f t="shared" ref="Z95" si="43">Y95-Y96</f>
        <v>0</v>
      </c>
      <c r="AA95" s="524">
        <f t="shared" ref="AA95" si="44">Z95-Z96</f>
        <v>0</v>
      </c>
      <c r="AB95" s="524">
        <f t="shared" ref="AB95" si="45">AA95-AA96</f>
        <v>0</v>
      </c>
      <c r="AC95" s="524">
        <f t="shared" ref="AC95" si="46">AB95-AB96</f>
        <v>0</v>
      </c>
      <c r="AD95" s="524">
        <f t="shared" ref="AD95" si="47">AC95-AC96</f>
        <v>0</v>
      </c>
      <c r="AE95" s="524">
        <f t="shared" ref="AE95" si="48">AD95-AD96</f>
        <v>0</v>
      </c>
      <c r="AF95" s="524">
        <f t="shared" ref="AF95" si="49">AE95-AE96</f>
        <v>0</v>
      </c>
      <c r="AG95" s="524">
        <f t="shared" ref="AG95" si="50">AF95-AF96</f>
        <v>0</v>
      </c>
      <c r="AH95" s="524">
        <f t="shared" ref="AH95" si="51">AG95-AG96</f>
        <v>0</v>
      </c>
      <c r="AI95" s="524">
        <f t="shared" ref="AI95" si="52">AH95-AH96</f>
        <v>0</v>
      </c>
      <c r="AJ95" s="524">
        <f t="shared" ref="AJ95" si="53">AI95-AI96</f>
        <v>0</v>
      </c>
      <c r="AK95" s="524">
        <f t="shared" ref="AK95" si="54">AJ95-AJ96</f>
        <v>0</v>
      </c>
      <c r="AL95" s="525">
        <f t="shared" ref="AL95" si="55">AK95-AK96</f>
        <v>0</v>
      </c>
    </row>
    <row r="96" spans="1:38">
      <c r="A96" s="500" t="s">
        <v>403</v>
      </c>
      <c r="B96" s="68">
        <f>IF(B95=0,0,IF('Rahoitus K3'!$I19=2,0,IF('Rahoitus K3'!$I19=1,0,'Rahoitus K3'!$K19/(2*'Rahoitus K3'!$J19))))</f>
        <v>0</v>
      </c>
      <c r="C96" s="188"/>
      <c r="D96" s="189"/>
      <c r="E96" s="189"/>
      <c r="F96" s="189"/>
      <c r="G96" s="189"/>
      <c r="H96" s="68">
        <f>IF(H95=0,0,IF('Rahoitus K3'!$I19=2,0,IF('Rahoitus K3'!$I19=1,0,'Rahoitus K3'!$K19/(2*'Rahoitus K3'!$J19))))</f>
        <v>0</v>
      </c>
      <c r="I96" s="189"/>
      <c r="J96" s="189"/>
      <c r="K96" s="189"/>
      <c r="L96" s="189"/>
      <c r="M96" s="189"/>
      <c r="N96" s="68">
        <f>IF(N95=0,0,IF('Rahoitus K3'!$I19=2,0,IF('Rahoitus K3'!$I19=1,'Rahoitus K3'!$K19/(2*'Rahoitus K3'!$J19-2),'Rahoitus K3'!$K19/(2*'Rahoitus K3'!$J19))))</f>
        <v>0</v>
      </c>
      <c r="O96" s="189"/>
      <c r="P96" s="91"/>
      <c r="T96" s="68">
        <f>IF(T95=0,0,IF('Rahoitus K3'!$I19=2,0,IF('Rahoitus K3'!$I19=1,'Rahoitus K3'!$K19/(2*'Rahoitus K3'!$J19-2),'Rahoitus K3'!$K19/(2*'Rahoitus K3'!$J19))))</f>
        <v>0</v>
      </c>
      <c r="Z96" s="68">
        <f>IF(Z95=0,0,IF('Rahoitus K3'!$I19=2,'Rahoitus K3'!$K19/(2*'Rahoitus K3'!$J19-4),IF('Rahoitus K3'!$I19=1,'Rahoitus K3'!$K19/(2*'Rahoitus K3'!$J19-2),'Rahoitus K3'!$K19/(2*'Rahoitus K3'!$J19))))</f>
        <v>0</v>
      </c>
      <c r="AF96" s="68">
        <f>IF(AF95=0,0,IF('Rahoitus K3'!$I19=2,'Rahoitus K3'!$K19/(2*'Rahoitus K3'!$J19-4),IF('Rahoitus K3'!$I19=1,'Rahoitus K3'!$K19/(2*'Rahoitus K3'!$J19-2),'Rahoitus K3'!$K19/(2*'Rahoitus K3'!$J19))))</f>
        <v>0</v>
      </c>
      <c r="AL96" s="526">
        <f>IF(AL95=0,0,IF('Rahoitus K3'!$I19=2,'Rahoitus K3'!$K19/(2*'Rahoitus K3'!$J19-4),IF('Rahoitus K3'!$I19=1,'Rahoitus K3'!$K19/(2*'Rahoitus K3'!$J19-2),'Rahoitus K3'!$K19/(2*'Rahoitus K3'!$J19))))</f>
        <v>0</v>
      </c>
    </row>
    <row r="97" spans="1:38" s="534" customFormat="1">
      <c r="A97" s="532" t="s">
        <v>455</v>
      </c>
      <c r="B97" s="533">
        <f>B95-B96</f>
        <v>0</v>
      </c>
      <c r="C97" s="533">
        <f t="shared" ref="C97" si="56">C95-C96</f>
        <v>0</v>
      </c>
      <c r="D97" s="533">
        <f t="shared" ref="D97" si="57">D95-D96</f>
        <v>0</v>
      </c>
      <c r="E97" s="533">
        <f t="shared" ref="E97" si="58">E95-E96</f>
        <v>0</v>
      </c>
      <c r="F97" s="533">
        <f t="shared" ref="F97" si="59">F95-F96</f>
        <v>0</v>
      </c>
      <c r="G97" s="533">
        <f t="shared" ref="G97" si="60">G95-G96</f>
        <v>0</v>
      </c>
      <c r="H97" s="533">
        <f t="shared" ref="H97" si="61">H95-H96</f>
        <v>0</v>
      </c>
      <c r="I97" s="533">
        <f t="shared" ref="I97" si="62">I95-I96</f>
        <v>0</v>
      </c>
      <c r="J97" s="533">
        <f t="shared" ref="J97" si="63">J95-J96</f>
        <v>0</v>
      </c>
      <c r="K97" s="533">
        <f t="shared" ref="K97" si="64">K95-K96</f>
        <v>0</v>
      </c>
      <c r="L97" s="533">
        <f t="shared" ref="L97" si="65">L95-L96</f>
        <v>0</v>
      </c>
      <c r="M97" s="533">
        <f t="shared" ref="M97" si="66">M95-M96</f>
        <v>0</v>
      </c>
      <c r="N97" s="533">
        <f t="shared" ref="N97" si="67">N95-N96</f>
        <v>0</v>
      </c>
      <c r="O97" s="533">
        <f t="shared" ref="O97" si="68">O95-O96</f>
        <v>0</v>
      </c>
      <c r="P97" s="533">
        <f t="shared" ref="P97" si="69">P95-P96</f>
        <v>0</v>
      </c>
      <c r="Q97" s="533">
        <f t="shared" ref="Q97" si="70">Q95-Q96</f>
        <v>0</v>
      </c>
      <c r="R97" s="533">
        <f t="shared" ref="R97" si="71">R95-R96</f>
        <v>0</v>
      </c>
      <c r="S97" s="533">
        <f t="shared" ref="S97" si="72">S95-S96</f>
        <v>0</v>
      </c>
      <c r="T97" s="533">
        <f t="shared" ref="T97" si="73">T95-T96</f>
        <v>0</v>
      </c>
      <c r="U97" s="533">
        <f t="shared" ref="U97" si="74">U95-U96</f>
        <v>0</v>
      </c>
      <c r="V97" s="533">
        <f t="shared" ref="V97" si="75">V95-V96</f>
        <v>0</v>
      </c>
      <c r="W97" s="533">
        <f t="shared" ref="W97" si="76">W95-W96</f>
        <v>0</v>
      </c>
      <c r="X97" s="533">
        <f t="shared" ref="X97" si="77">X95-X96</f>
        <v>0</v>
      </c>
      <c r="Y97" s="533">
        <f t="shared" ref="Y97" si="78">Y95-Y96</f>
        <v>0</v>
      </c>
      <c r="Z97" s="533">
        <f t="shared" ref="Z97" si="79">Z95-Z96</f>
        <v>0</v>
      </c>
      <c r="AA97" s="533">
        <f t="shared" ref="AA97" si="80">AA95-AA96</f>
        <v>0</v>
      </c>
      <c r="AB97" s="533">
        <f t="shared" ref="AB97" si="81">AB95-AB96</f>
        <v>0</v>
      </c>
      <c r="AC97" s="533">
        <f t="shared" ref="AC97" si="82">AC95-AC96</f>
        <v>0</v>
      </c>
      <c r="AD97" s="533">
        <f t="shared" ref="AD97" si="83">AD95-AD96</f>
        <v>0</v>
      </c>
      <c r="AE97" s="533">
        <f t="shared" ref="AE97" si="84">AE95-AE96</f>
        <v>0</v>
      </c>
      <c r="AF97" s="533">
        <f t="shared" ref="AF97" si="85">AF95-AF96</f>
        <v>0</v>
      </c>
      <c r="AG97" s="533">
        <f t="shared" ref="AG97" si="86">AG95-AG96</f>
        <v>0</v>
      </c>
      <c r="AH97" s="533">
        <f t="shared" ref="AH97" si="87">AH95-AH96</f>
        <v>0</v>
      </c>
      <c r="AI97" s="533">
        <f t="shared" ref="AI97" si="88">AI95-AI96</f>
        <v>0</v>
      </c>
      <c r="AJ97" s="533">
        <f t="shared" ref="AJ97" si="89">AJ95-AJ96</f>
        <v>0</v>
      </c>
      <c r="AK97" s="533">
        <f t="shared" ref="AK97" si="90">AK95-AK96</f>
        <v>0</v>
      </c>
      <c r="AL97" s="533">
        <f t="shared" ref="AL97" si="91">AL95-AL96</f>
        <v>0</v>
      </c>
    </row>
    <row r="98" spans="1:38">
      <c r="A98" s="500" t="s">
        <v>42</v>
      </c>
      <c r="B98" s="441">
        <f>'Rahoitus K3'!H19</f>
        <v>0</v>
      </c>
      <c r="C98" s="442">
        <f>B98</f>
        <v>0</v>
      </c>
      <c r="D98" s="442">
        <f t="shared" ref="D98" si="92">C98</f>
        <v>0</v>
      </c>
      <c r="E98" s="442">
        <f t="shared" ref="E98" si="93">D98</f>
        <v>0</v>
      </c>
      <c r="F98" s="442">
        <f t="shared" ref="F98" si="94">E98</f>
        <v>0</v>
      </c>
      <c r="G98" s="442">
        <f t="shared" ref="G98" si="95">F98</f>
        <v>0</v>
      </c>
      <c r="H98" s="442">
        <f t="shared" ref="H98" si="96">G98</f>
        <v>0</v>
      </c>
      <c r="I98" s="442">
        <f t="shared" ref="I98" si="97">H98</f>
        <v>0</v>
      </c>
      <c r="J98" s="442">
        <f t="shared" ref="J98" si="98">I98</f>
        <v>0</v>
      </c>
      <c r="K98" s="442">
        <f t="shared" ref="K98" si="99">J98</f>
        <v>0</v>
      </c>
      <c r="L98" s="442">
        <f t="shared" ref="L98" si="100">K98</f>
        <v>0</v>
      </c>
      <c r="M98" s="442">
        <f t="shared" ref="M98" si="101">L98</f>
        <v>0</v>
      </c>
      <c r="N98" s="442">
        <f t="shared" ref="N98" si="102">M98</f>
        <v>0</v>
      </c>
      <c r="O98" s="442">
        <f t="shared" ref="O98" si="103">N98</f>
        <v>0</v>
      </c>
      <c r="P98" s="442">
        <f t="shared" ref="P98" si="104">O98</f>
        <v>0</v>
      </c>
      <c r="Q98" s="442">
        <f t="shared" ref="Q98" si="105">P98</f>
        <v>0</v>
      </c>
      <c r="R98" s="442">
        <f t="shared" ref="R98" si="106">Q98</f>
        <v>0</v>
      </c>
      <c r="S98" s="442">
        <f t="shared" ref="S98" si="107">R98</f>
        <v>0</v>
      </c>
      <c r="T98" s="442">
        <f t="shared" ref="T98" si="108">S98</f>
        <v>0</v>
      </c>
      <c r="U98" s="442">
        <f t="shared" ref="U98" si="109">T98</f>
        <v>0</v>
      </c>
      <c r="V98" s="442">
        <f t="shared" ref="V98" si="110">U98</f>
        <v>0</v>
      </c>
      <c r="W98" s="442">
        <f t="shared" ref="W98" si="111">V98</f>
        <v>0</v>
      </c>
      <c r="X98" s="442">
        <f t="shared" ref="X98" si="112">W98</f>
        <v>0</v>
      </c>
      <c r="Y98" s="442">
        <f t="shared" ref="Y98" si="113">X98</f>
        <v>0</v>
      </c>
      <c r="Z98" s="442">
        <f t="shared" ref="Z98" si="114">Y98</f>
        <v>0</v>
      </c>
      <c r="AA98" s="442">
        <f t="shared" ref="AA98" si="115">Z98</f>
        <v>0</v>
      </c>
      <c r="AB98" s="442">
        <f t="shared" ref="AB98" si="116">AA98</f>
        <v>0</v>
      </c>
      <c r="AC98" s="442">
        <f t="shared" ref="AC98" si="117">AB98</f>
        <v>0</v>
      </c>
      <c r="AD98" s="442">
        <f t="shared" ref="AD98" si="118">AC98</f>
        <v>0</v>
      </c>
      <c r="AE98" s="442">
        <f t="shared" ref="AE98" si="119">AD98</f>
        <v>0</v>
      </c>
      <c r="AF98" s="442">
        <f t="shared" ref="AF98" si="120">AE98</f>
        <v>0</v>
      </c>
      <c r="AG98" s="442">
        <f t="shared" ref="AG98" si="121">AF98</f>
        <v>0</v>
      </c>
      <c r="AH98" s="442">
        <f t="shared" ref="AH98" si="122">AG98</f>
        <v>0</v>
      </c>
      <c r="AI98" s="442">
        <f t="shared" ref="AI98" si="123">AH98</f>
        <v>0</v>
      </c>
      <c r="AJ98" s="442">
        <f t="shared" ref="AJ98" si="124">AI98</f>
        <v>0</v>
      </c>
      <c r="AK98" s="442">
        <f t="shared" ref="AK98" si="125">AJ98</f>
        <v>0</v>
      </c>
      <c r="AL98" s="527">
        <f t="shared" ref="AL98" si="126">AK98</f>
        <v>0</v>
      </c>
    </row>
    <row r="99" spans="1:38">
      <c r="A99" s="500" t="s">
        <v>404</v>
      </c>
      <c r="B99" s="443">
        <f>(B95)*B98/2</f>
        <v>0</v>
      </c>
      <c r="C99" s="443">
        <f>(C95)*C98/12</f>
        <v>0</v>
      </c>
      <c r="D99" s="443">
        <f t="shared" ref="D99" si="127">(D95)*D98/12</f>
        <v>0</v>
      </c>
      <c r="E99" s="443">
        <f t="shared" ref="E99" si="128">(E95)*E98/12</f>
        <v>0</v>
      </c>
      <c r="F99" s="443">
        <f t="shared" ref="F99" si="129">(F95)*F98/12</f>
        <v>0</v>
      </c>
      <c r="G99" s="443">
        <f t="shared" ref="G99" si="130">(G95)*G98/12</f>
        <v>0</v>
      </c>
      <c r="H99" s="443">
        <f t="shared" ref="H99" si="131">(H95)*H98/12</f>
        <v>0</v>
      </c>
      <c r="I99" s="443">
        <f t="shared" ref="I99" si="132">(I95)*I98/12</f>
        <v>0</v>
      </c>
      <c r="J99" s="443">
        <f t="shared" ref="J99" si="133">(J95)*J98/12</f>
        <v>0</v>
      </c>
      <c r="K99" s="443">
        <f t="shared" ref="K99" si="134">(K95)*K98/12</f>
        <v>0</v>
      </c>
      <c r="L99" s="443">
        <f t="shared" ref="L99" si="135">(L95)*L98/12</f>
        <v>0</v>
      </c>
      <c r="M99" s="443">
        <f t="shared" ref="M99" si="136">(M95)*M98/12</f>
        <v>0</v>
      </c>
      <c r="N99" s="443">
        <f t="shared" ref="N99" si="137">(N95)*N98/12</f>
        <v>0</v>
      </c>
      <c r="O99" s="443">
        <f t="shared" ref="O99" si="138">(O95)*O98/12</f>
        <v>0</v>
      </c>
      <c r="P99" s="443">
        <f t="shared" ref="P99" si="139">(P95)*P98/12</f>
        <v>0</v>
      </c>
      <c r="Q99" s="443">
        <f t="shared" ref="Q99" si="140">(Q95)*Q98/12</f>
        <v>0</v>
      </c>
      <c r="R99" s="443">
        <f t="shared" ref="R99" si="141">(R95)*R98/12</f>
        <v>0</v>
      </c>
      <c r="S99" s="443">
        <f t="shared" ref="S99" si="142">(S95)*S98/12</f>
        <v>0</v>
      </c>
      <c r="T99" s="443">
        <f t="shared" ref="T99" si="143">(T95)*T98/12</f>
        <v>0</v>
      </c>
      <c r="U99" s="443">
        <f t="shared" ref="U99" si="144">(U95)*U98/12</f>
        <v>0</v>
      </c>
      <c r="V99" s="443">
        <f t="shared" ref="V99" si="145">(V95)*V98/12</f>
        <v>0</v>
      </c>
      <c r="W99" s="443">
        <f t="shared" ref="W99" si="146">(W95)*W98/12</f>
        <v>0</v>
      </c>
      <c r="X99" s="443">
        <f t="shared" ref="X99" si="147">(X95)*X98/12</f>
        <v>0</v>
      </c>
      <c r="Y99" s="443">
        <f t="shared" ref="Y99" si="148">(Y95)*Y98/12</f>
        <v>0</v>
      </c>
      <c r="Z99" s="443">
        <f t="shared" ref="Z99" si="149">(Z95)*Z98/12</f>
        <v>0</v>
      </c>
      <c r="AA99" s="443">
        <f t="shared" ref="AA99" si="150">(AA95)*AA98/12</f>
        <v>0</v>
      </c>
      <c r="AB99" s="443">
        <f t="shared" ref="AB99" si="151">(AB95)*AB98/12</f>
        <v>0</v>
      </c>
      <c r="AC99" s="443">
        <f t="shared" ref="AC99" si="152">(AC95)*AC98/12</f>
        <v>0</v>
      </c>
      <c r="AD99" s="443">
        <f t="shared" ref="AD99" si="153">(AD95)*AD98/12</f>
        <v>0</v>
      </c>
      <c r="AE99" s="443">
        <f t="shared" ref="AE99" si="154">(AE95)*AE98/12</f>
        <v>0</v>
      </c>
      <c r="AF99" s="443">
        <f t="shared" ref="AF99" si="155">(AF95)*AF98/12</f>
        <v>0</v>
      </c>
      <c r="AG99" s="443">
        <f t="shared" ref="AG99" si="156">(AG95)*AG98/12</f>
        <v>0</v>
      </c>
      <c r="AH99" s="443">
        <f t="shared" ref="AH99" si="157">(AH95)*AH98/12</f>
        <v>0</v>
      </c>
      <c r="AI99" s="443">
        <f t="shared" ref="AI99" si="158">(AI95)*AI98/12</f>
        <v>0</v>
      </c>
      <c r="AJ99" s="443">
        <f t="shared" ref="AJ99" si="159">(AJ95)*AJ98/12</f>
        <v>0</v>
      </c>
      <c r="AK99" s="443">
        <f t="shared" ref="AK99" si="160">(AK95)*AK98/12</f>
        <v>0</v>
      </c>
      <c r="AL99" s="528">
        <f t="shared" ref="AL99" si="161">(AL95)*AL98/12</f>
        <v>0</v>
      </c>
    </row>
    <row r="100" spans="1:38">
      <c r="A100" s="501" t="s">
        <v>406</v>
      </c>
      <c r="B100" s="453">
        <f>B99</f>
        <v>0</v>
      </c>
      <c r="C100" s="188"/>
      <c r="D100" s="189"/>
      <c r="E100" s="189"/>
      <c r="F100" s="189"/>
      <c r="G100" s="189"/>
      <c r="H100" s="189"/>
      <c r="I100" s="189"/>
      <c r="J100" s="189"/>
      <c r="K100" s="189"/>
      <c r="L100" s="189"/>
      <c r="M100" s="189"/>
      <c r="N100" s="454">
        <f>SUM(C99:N99)</f>
        <v>0</v>
      </c>
      <c r="O100" s="189"/>
      <c r="P100" s="91"/>
      <c r="Z100" s="454">
        <f>SUM(O99:Z99)</f>
        <v>0</v>
      </c>
      <c r="AL100" s="147"/>
    </row>
    <row r="101" spans="1:38">
      <c r="A101" s="502" t="s">
        <v>407</v>
      </c>
      <c r="B101" s="68"/>
      <c r="C101" s="458">
        <f>B100+C99</f>
        <v>0</v>
      </c>
      <c r="D101" s="189"/>
      <c r="E101" s="189"/>
      <c r="F101" s="189"/>
      <c r="G101" s="189"/>
      <c r="H101" s="189"/>
      <c r="I101" s="189"/>
      <c r="J101" s="189"/>
      <c r="K101" s="189"/>
      <c r="L101" s="189"/>
      <c r="M101" s="189"/>
      <c r="O101" s="459">
        <f>SUM(D99:O99)</f>
        <v>0</v>
      </c>
      <c r="P101" s="91"/>
      <c r="AA101" s="459">
        <f>SUM(P99:AA99)</f>
        <v>0</v>
      </c>
      <c r="AB101" s="91"/>
      <c r="AL101" s="147"/>
    </row>
    <row r="102" spans="1:38">
      <c r="A102" s="503" t="s">
        <v>418</v>
      </c>
      <c r="B102" s="53"/>
      <c r="C102" s="53"/>
      <c r="D102" s="460">
        <f>SUM(B99:D99)</f>
        <v>0</v>
      </c>
      <c r="E102" s="444"/>
      <c r="F102" s="444"/>
      <c r="G102" s="444"/>
      <c r="H102" s="444"/>
      <c r="I102" s="444"/>
      <c r="J102" s="444"/>
      <c r="K102" s="444"/>
      <c r="L102" s="444"/>
      <c r="M102" s="444"/>
      <c r="N102" s="444"/>
      <c r="O102" s="189"/>
      <c r="P102" s="461">
        <f>SUM(E99:P99)</f>
        <v>0</v>
      </c>
      <c r="AA102" s="189"/>
      <c r="AB102" s="461">
        <f>SUM(Q99:AB99)</f>
        <v>0</v>
      </c>
      <c r="AL102" s="147"/>
    </row>
    <row r="103" spans="1:38">
      <c r="A103" s="504" t="s">
        <v>417</v>
      </c>
      <c r="B103" s="68"/>
      <c r="C103" s="188"/>
      <c r="D103" s="444"/>
      <c r="E103" s="463">
        <f>SUM(B99:E99)</f>
        <v>0</v>
      </c>
      <c r="F103" s="444"/>
      <c r="G103" s="444"/>
      <c r="H103" s="444"/>
      <c r="I103" s="444"/>
      <c r="J103" s="444"/>
      <c r="K103" s="444"/>
      <c r="L103" s="444"/>
      <c r="M103" s="444"/>
      <c r="N103" s="444"/>
      <c r="O103" s="189"/>
      <c r="P103" s="91"/>
      <c r="Q103" s="462">
        <f>SUM(F99:Q99)</f>
        <v>0</v>
      </c>
      <c r="AA103" s="189"/>
      <c r="AB103" s="91"/>
      <c r="AC103" s="462">
        <f>SUM(R99:AC99)</f>
        <v>0</v>
      </c>
      <c r="AL103" s="147"/>
    </row>
    <row r="104" spans="1:38">
      <c r="A104" s="505" t="s">
        <v>408</v>
      </c>
      <c r="B104" s="68"/>
      <c r="C104" s="188"/>
      <c r="D104" s="444"/>
      <c r="E104" s="444"/>
      <c r="F104" s="464">
        <f>SUM(B99:F99)</f>
        <v>0</v>
      </c>
      <c r="G104" s="444"/>
      <c r="H104" s="444"/>
      <c r="I104" s="444"/>
      <c r="J104" s="444"/>
      <c r="K104" s="444"/>
      <c r="L104" s="444"/>
      <c r="M104" s="444"/>
      <c r="N104" s="444"/>
      <c r="O104" s="189"/>
      <c r="P104" s="91"/>
      <c r="R104" s="465">
        <f>SUM(G99:R99)</f>
        <v>0</v>
      </c>
      <c r="AA104" s="189"/>
      <c r="AB104" s="91"/>
      <c r="AD104" s="465">
        <f>SUM(S99:AD99)</f>
        <v>0</v>
      </c>
      <c r="AL104" s="147"/>
    </row>
    <row r="105" spans="1:38">
      <c r="A105" s="506" t="s">
        <v>409</v>
      </c>
      <c r="B105" s="53"/>
      <c r="C105" s="53"/>
      <c r="D105" s="444"/>
      <c r="E105" s="444"/>
      <c r="F105" s="444"/>
      <c r="G105" s="467">
        <f>SUM(B99:G99)</f>
        <v>0</v>
      </c>
      <c r="H105" s="444"/>
      <c r="I105" s="444"/>
      <c r="J105" s="444"/>
      <c r="K105" s="444"/>
      <c r="L105" s="444"/>
      <c r="M105" s="444"/>
      <c r="N105" s="444"/>
      <c r="O105" s="189"/>
      <c r="P105" s="91"/>
      <c r="S105" s="466">
        <f>SUM(H99:S99)</f>
        <v>0</v>
      </c>
      <c r="AA105" s="189"/>
      <c r="AB105" s="91"/>
      <c r="AE105" s="466">
        <f>SUM(T99:AE99)</f>
        <v>0</v>
      </c>
      <c r="AL105" s="147"/>
    </row>
    <row r="106" spans="1:38">
      <c r="A106" s="506" t="s">
        <v>410</v>
      </c>
      <c r="B106" s="68"/>
      <c r="C106" s="188"/>
      <c r="D106" s="444"/>
      <c r="E106" s="444"/>
      <c r="F106" s="444"/>
      <c r="G106" s="444"/>
      <c r="H106" s="473">
        <f>SUM(B99:H99)</f>
        <v>0</v>
      </c>
      <c r="I106" s="444"/>
      <c r="J106" s="444"/>
      <c r="K106" s="444"/>
      <c r="L106" s="444"/>
      <c r="M106" s="444"/>
      <c r="N106" s="444"/>
      <c r="O106" s="189"/>
      <c r="P106" s="91"/>
      <c r="T106" s="474">
        <f>SUM(I99:T99)</f>
        <v>0</v>
      </c>
      <c r="AA106" s="189"/>
      <c r="AB106" s="91"/>
      <c r="AF106" s="474">
        <f>SUM(U99:AF99)</f>
        <v>0</v>
      </c>
      <c r="AL106" s="147"/>
    </row>
    <row r="107" spans="1:38">
      <c r="A107" s="507" t="s">
        <v>411</v>
      </c>
      <c r="B107" s="53"/>
      <c r="C107" s="53"/>
      <c r="D107" s="444"/>
      <c r="E107" s="444"/>
      <c r="F107" s="444"/>
      <c r="G107" s="444"/>
      <c r="H107" s="444"/>
      <c r="I107" s="479">
        <f>SUM(B99:I99)</f>
        <v>0</v>
      </c>
      <c r="J107" s="444"/>
      <c r="K107" s="444"/>
      <c r="L107" s="444"/>
      <c r="M107" s="444"/>
      <c r="N107" s="444"/>
      <c r="O107" s="189"/>
      <c r="P107" s="91"/>
      <c r="U107" s="475">
        <f>SUM(J99:U99)</f>
        <v>0</v>
      </c>
      <c r="AA107" s="189"/>
      <c r="AB107" s="91"/>
      <c r="AG107" s="475">
        <f>SUM(V99:AG99)</f>
        <v>0</v>
      </c>
      <c r="AL107" s="147"/>
    </row>
    <row r="108" spans="1:38">
      <c r="A108" s="508" t="s">
        <v>412</v>
      </c>
      <c r="B108" s="68"/>
      <c r="C108" s="188"/>
      <c r="D108" s="444"/>
      <c r="E108" s="444"/>
      <c r="F108" s="444"/>
      <c r="G108" s="444"/>
      <c r="H108" s="444"/>
      <c r="I108" s="444"/>
      <c r="J108" s="480">
        <f>SUM(B99:J99)</f>
        <v>0</v>
      </c>
      <c r="K108" s="444"/>
      <c r="L108" s="444"/>
      <c r="M108" s="444"/>
      <c r="N108" s="444"/>
      <c r="O108" s="189"/>
      <c r="P108" s="91"/>
      <c r="V108" s="476">
        <f>SUM(K99:V99)</f>
        <v>0</v>
      </c>
      <c r="AA108" s="189"/>
      <c r="AB108" s="91"/>
      <c r="AH108" s="476">
        <f>SUM(W99:AH99)</f>
        <v>0</v>
      </c>
      <c r="AL108" s="147"/>
    </row>
    <row r="109" spans="1:38">
      <c r="A109" s="509" t="s">
        <v>413</v>
      </c>
      <c r="B109" s="53"/>
      <c r="C109" s="53"/>
      <c r="D109" s="444"/>
      <c r="E109" s="444"/>
      <c r="F109" s="444"/>
      <c r="G109" s="444"/>
      <c r="H109" s="444"/>
      <c r="I109" s="444"/>
      <c r="J109" s="444"/>
      <c r="K109" s="481">
        <f>SUM(B99:K99)</f>
        <v>0</v>
      </c>
      <c r="L109" s="444"/>
      <c r="M109" s="444"/>
      <c r="N109" s="444"/>
      <c r="O109" s="189"/>
      <c r="P109" s="91"/>
      <c r="W109" s="477">
        <f>SUM(L99:W99)</f>
        <v>0</v>
      </c>
      <c r="AA109" s="189"/>
      <c r="AB109" s="91"/>
      <c r="AI109" s="477">
        <f>SUM(X99:AI99)</f>
        <v>0</v>
      </c>
      <c r="AL109" s="147"/>
    </row>
    <row r="110" spans="1:38">
      <c r="A110" s="510" t="s">
        <v>414</v>
      </c>
      <c r="B110" s="68"/>
      <c r="C110" s="188"/>
      <c r="D110" s="444"/>
      <c r="E110" s="444"/>
      <c r="F110" s="444"/>
      <c r="G110" s="444"/>
      <c r="H110" s="444"/>
      <c r="I110" s="444"/>
      <c r="J110" s="444"/>
      <c r="K110" s="444"/>
      <c r="L110" s="483">
        <f>SUM(B99:L99)</f>
        <v>0</v>
      </c>
      <c r="M110" s="444"/>
      <c r="N110" s="444"/>
      <c r="O110" s="189"/>
      <c r="P110" s="91"/>
      <c r="X110" s="478">
        <f>SUM(M99:X99)</f>
        <v>0</v>
      </c>
      <c r="AA110" s="189"/>
      <c r="AB110" s="91"/>
      <c r="AJ110" s="478">
        <f>SUM(Y99:AJ99)</f>
        <v>0</v>
      </c>
      <c r="AL110" s="147"/>
    </row>
    <row r="111" spans="1:38">
      <c r="A111" s="511" t="s">
        <v>415</v>
      </c>
      <c r="B111" s="53"/>
      <c r="C111" s="53"/>
      <c r="D111" s="444"/>
      <c r="E111" s="444"/>
      <c r="F111" s="444"/>
      <c r="G111" s="444"/>
      <c r="H111" s="444"/>
      <c r="I111" s="444"/>
      <c r="J111" s="444"/>
      <c r="K111" s="444"/>
      <c r="L111" s="444"/>
      <c r="M111" s="485">
        <f>SUM(B99:M99)</f>
        <v>0</v>
      </c>
      <c r="N111" s="444"/>
      <c r="O111" s="189"/>
      <c r="P111" s="91"/>
      <c r="Y111" s="484">
        <f>SUM(N99:Y99)</f>
        <v>0</v>
      </c>
      <c r="AA111" s="189"/>
      <c r="AB111" s="91"/>
      <c r="AK111" s="484">
        <f>SUM(Z99:AK99)</f>
        <v>0</v>
      </c>
      <c r="AL111" s="147"/>
    </row>
    <row r="112" spans="1:38" ht="12.9" thickBot="1">
      <c r="A112" s="512" t="s">
        <v>416</v>
      </c>
      <c r="B112" s="513"/>
      <c r="C112" s="191"/>
      <c r="D112" s="514"/>
      <c r="E112" s="514"/>
      <c r="F112" s="514"/>
      <c r="G112" s="514"/>
      <c r="H112" s="514"/>
      <c r="I112" s="514"/>
      <c r="J112" s="514"/>
      <c r="K112" s="514"/>
      <c r="L112" s="514"/>
      <c r="M112" s="514"/>
      <c r="N112" s="515">
        <f>SUM(B99:N99)</f>
        <v>0</v>
      </c>
      <c r="O112" s="271"/>
      <c r="P112" s="516"/>
      <c r="Q112" s="152"/>
      <c r="R112" s="152"/>
      <c r="S112" s="152"/>
      <c r="T112" s="152"/>
      <c r="U112" s="152"/>
      <c r="V112" s="152"/>
      <c r="W112" s="152"/>
      <c r="X112" s="152"/>
      <c r="Y112" s="152"/>
      <c r="Z112" s="517">
        <f>SUM(O99:Z99)</f>
        <v>0</v>
      </c>
      <c r="AA112" s="271"/>
      <c r="AB112" s="516"/>
      <c r="AC112" s="152"/>
      <c r="AD112" s="152"/>
      <c r="AE112" s="152"/>
      <c r="AF112" s="152"/>
      <c r="AG112" s="152"/>
      <c r="AH112" s="152"/>
      <c r="AI112" s="152"/>
      <c r="AJ112" s="152"/>
      <c r="AK112" s="152"/>
      <c r="AL112" s="518">
        <f>SUM(AA99:AL99)</f>
        <v>0</v>
      </c>
    </row>
    <row r="113" spans="1:38" s="448" customFormat="1" ht="11.25" customHeight="1">
      <c r="A113" s="497" t="s">
        <v>422</v>
      </c>
      <c r="B113" s="498">
        <f>'Rahoitus K3'!K20</f>
        <v>0</v>
      </c>
      <c r="C113" s="524">
        <f>B113-B114</f>
        <v>0</v>
      </c>
      <c r="D113" s="524">
        <f t="shared" ref="D113" si="162">C113-C114</f>
        <v>0</v>
      </c>
      <c r="E113" s="524">
        <f t="shared" ref="E113" si="163">D113-D114</f>
        <v>0</v>
      </c>
      <c r="F113" s="524">
        <f t="shared" ref="F113" si="164">E113-E114</f>
        <v>0</v>
      </c>
      <c r="G113" s="524">
        <f t="shared" ref="G113" si="165">F113-F114</f>
        <v>0</v>
      </c>
      <c r="H113" s="524">
        <f t="shared" ref="H113" si="166">G113-G114</f>
        <v>0</v>
      </c>
      <c r="I113" s="524">
        <f t="shared" ref="I113" si="167">H113-H114</f>
        <v>0</v>
      </c>
      <c r="J113" s="524">
        <f t="shared" ref="J113" si="168">I113-I114</f>
        <v>0</v>
      </c>
      <c r="K113" s="524">
        <f t="shared" ref="K113" si="169">J113-J114</f>
        <v>0</v>
      </c>
      <c r="L113" s="524">
        <f t="shared" ref="L113" si="170">K113-K114</f>
        <v>0</v>
      </c>
      <c r="M113" s="524">
        <f t="shared" ref="M113" si="171">L113-L114</f>
        <v>0</v>
      </c>
      <c r="N113" s="524">
        <f t="shared" ref="N113" si="172">M113-M114</f>
        <v>0</v>
      </c>
      <c r="O113" s="524">
        <f t="shared" ref="O113" si="173">N113-N114</f>
        <v>0</v>
      </c>
      <c r="P113" s="524">
        <f t="shared" ref="P113" si="174">O113-O114</f>
        <v>0</v>
      </c>
      <c r="Q113" s="524">
        <f t="shared" ref="Q113" si="175">P113-P114</f>
        <v>0</v>
      </c>
      <c r="R113" s="524">
        <f t="shared" ref="R113" si="176">Q113-Q114</f>
        <v>0</v>
      </c>
      <c r="S113" s="524">
        <f t="shared" ref="S113" si="177">R113-R114</f>
        <v>0</v>
      </c>
      <c r="T113" s="524">
        <f t="shared" ref="T113" si="178">S113-S114</f>
        <v>0</v>
      </c>
      <c r="U113" s="524">
        <f t="shared" ref="U113" si="179">T113-T114</f>
        <v>0</v>
      </c>
      <c r="V113" s="524">
        <f t="shared" ref="V113" si="180">U113-U114</f>
        <v>0</v>
      </c>
      <c r="W113" s="524">
        <f t="shared" ref="W113" si="181">V113-V114</f>
        <v>0</v>
      </c>
      <c r="X113" s="524">
        <f t="shared" ref="X113" si="182">W113-W114</f>
        <v>0</v>
      </c>
      <c r="Y113" s="524">
        <f t="shared" ref="Y113" si="183">X113-X114</f>
        <v>0</v>
      </c>
      <c r="Z113" s="524">
        <f t="shared" ref="Z113" si="184">Y113-Y114</f>
        <v>0</v>
      </c>
      <c r="AA113" s="524">
        <f t="shared" ref="AA113" si="185">Z113-Z114</f>
        <v>0</v>
      </c>
      <c r="AB113" s="524">
        <f t="shared" ref="AB113" si="186">AA113-AA114</f>
        <v>0</v>
      </c>
      <c r="AC113" s="524">
        <f t="shared" ref="AC113" si="187">AB113-AB114</f>
        <v>0</v>
      </c>
      <c r="AD113" s="524">
        <f t="shared" ref="AD113" si="188">AC113-AC114</f>
        <v>0</v>
      </c>
      <c r="AE113" s="524">
        <f t="shared" ref="AE113" si="189">AD113-AD114</f>
        <v>0</v>
      </c>
      <c r="AF113" s="524">
        <f t="shared" ref="AF113" si="190">AE113-AE114</f>
        <v>0</v>
      </c>
      <c r="AG113" s="524">
        <f t="shared" ref="AG113" si="191">AF113-AF114</f>
        <v>0</v>
      </c>
      <c r="AH113" s="524">
        <f t="shared" ref="AH113" si="192">AG113-AG114</f>
        <v>0</v>
      </c>
      <c r="AI113" s="524">
        <f t="shared" ref="AI113" si="193">AH113-AH114</f>
        <v>0</v>
      </c>
      <c r="AJ113" s="524">
        <f t="shared" ref="AJ113" si="194">AI113-AI114</f>
        <v>0</v>
      </c>
      <c r="AK113" s="524">
        <f t="shared" ref="AK113" si="195">AJ113-AJ114</f>
        <v>0</v>
      </c>
      <c r="AL113" s="525">
        <f t="shared" ref="AL113" si="196">AK113-AK114</f>
        <v>0</v>
      </c>
    </row>
    <row r="114" spans="1:38">
      <c r="A114" s="500" t="s">
        <v>403</v>
      </c>
      <c r="B114" s="68">
        <f>IF(B113=0,0,IF('Rahoitus K3'!$I20=2,0,IF('Rahoitus K3'!$I20=1,0,'Rahoitus K3'!$K20/(2*'Rahoitus K3'!$J20))))</f>
        <v>0</v>
      </c>
      <c r="C114" s="188"/>
      <c r="D114" s="189"/>
      <c r="E114" s="189"/>
      <c r="F114" s="189"/>
      <c r="G114" s="189"/>
      <c r="H114" s="68">
        <f>IF(H113=0,0,IF('Rahoitus K3'!$I20=2,0,IF('Rahoitus K3'!$I20=1,0,'Rahoitus K3'!$K20/(2*'Rahoitus K3'!$J20))))</f>
        <v>0</v>
      </c>
      <c r="I114" s="189"/>
      <c r="J114" s="189"/>
      <c r="K114" s="189"/>
      <c r="L114" s="189"/>
      <c r="M114" s="189"/>
      <c r="N114" s="68">
        <f>IF(N113=0,0,IF('Rahoitus K3'!$I20=2,0,IF('Rahoitus K3'!$I20=1,'Rahoitus K3'!$K20/(2*'Rahoitus K3'!$J20-2),'Rahoitus K3'!$K20/(2*'Rahoitus K3'!$J20))))</f>
        <v>0</v>
      </c>
      <c r="O114" s="189"/>
      <c r="P114" s="91"/>
      <c r="T114" s="68">
        <f>IF(T113=0,0,IF('Rahoitus K3'!$I20=2,0,IF('Rahoitus K3'!$I20=1,'Rahoitus K3'!$K20/(2*'Rahoitus K3'!$J20-2),'Rahoitus K3'!$K20/(2*'Rahoitus K3'!$J20))))</f>
        <v>0</v>
      </c>
      <c r="Z114" s="68">
        <f>IF(Z113=0,0,IF('Rahoitus K3'!$I20=2,'Rahoitus K3'!$K20/(2*'Rahoitus K3'!$J20-4),IF('Rahoitus K3'!$I20=1,'Rahoitus K3'!$K20/(2*'Rahoitus K3'!$J20-2),'Rahoitus K3'!$K20/(2*'Rahoitus K3'!$J20))))</f>
        <v>0</v>
      </c>
      <c r="AF114" s="68">
        <f>IF(AF113=0,0,IF('Rahoitus K3'!$I20=2,'Rahoitus K3'!$K20/(2*'Rahoitus K3'!$J20-4),IF('Rahoitus K3'!$I20=1,'Rahoitus K3'!$K20/(2*'Rahoitus K3'!$J20-2),'Rahoitus K3'!$K20/(2*'Rahoitus K3'!$J20))))</f>
        <v>0</v>
      </c>
      <c r="AL114" s="526">
        <f>IF(AL113=0,0,IF('Rahoitus K3'!$I20=2,'Rahoitus K3'!$K20/(2*'Rahoitus K3'!$J20-4),IF('Rahoitus K3'!$I20=1,'Rahoitus K3'!$K20/(2*'Rahoitus K3'!$J20-2),'Rahoitus K3'!$K20/(2*'Rahoitus K3'!$J20))))</f>
        <v>0</v>
      </c>
    </row>
    <row r="115" spans="1:38" s="534" customFormat="1">
      <c r="A115" s="532" t="s">
        <v>455</v>
      </c>
      <c r="B115" s="533">
        <f>B113-B114</f>
        <v>0</v>
      </c>
      <c r="C115" s="533">
        <f t="shared" ref="C115" si="197">C113-C114</f>
        <v>0</v>
      </c>
      <c r="D115" s="533">
        <f t="shared" ref="D115" si="198">D113-D114</f>
        <v>0</v>
      </c>
      <c r="E115" s="533">
        <f t="shared" ref="E115" si="199">E113-E114</f>
        <v>0</v>
      </c>
      <c r="F115" s="533">
        <f t="shared" ref="F115" si="200">F113-F114</f>
        <v>0</v>
      </c>
      <c r="G115" s="533">
        <f t="shared" ref="G115" si="201">G113-G114</f>
        <v>0</v>
      </c>
      <c r="H115" s="533">
        <f t="shared" ref="H115" si="202">H113-H114</f>
        <v>0</v>
      </c>
      <c r="I115" s="533">
        <f t="shared" ref="I115" si="203">I113-I114</f>
        <v>0</v>
      </c>
      <c r="J115" s="533">
        <f t="shared" ref="J115" si="204">J113-J114</f>
        <v>0</v>
      </c>
      <c r="K115" s="533">
        <f t="shared" ref="K115" si="205">K113-K114</f>
        <v>0</v>
      </c>
      <c r="L115" s="533">
        <f t="shared" ref="L115" si="206">L113-L114</f>
        <v>0</v>
      </c>
      <c r="M115" s="533">
        <f t="shared" ref="M115" si="207">M113-M114</f>
        <v>0</v>
      </c>
      <c r="N115" s="533">
        <f t="shared" ref="N115" si="208">N113-N114</f>
        <v>0</v>
      </c>
      <c r="O115" s="533">
        <f t="shared" ref="O115" si="209">O113-O114</f>
        <v>0</v>
      </c>
      <c r="P115" s="533">
        <f t="shared" ref="P115" si="210">P113-P114</f>
        <v>0</v>
      </c>
      <c r="Q115" s="533">
        <f t="shared" ref="Q115" si="211">Q113-Q114</f>
        <v>0</v>
      </c>
      <c r="R115" s="533">
        <f t="shared" ref="R115" si="212">R113-R114</f>
        <v>0</v>
      </c>
      <c r="S115" s="533">
        <f t="shared" ref="S115" si="213">S113-S114</f>
        <v>0</v>
      </c>
      <c r="T115" s="533">
        <f t="shared" ref="T115" si="214">T113-T114</f>
        <v>0</v>
      </c>
      <c r="U115" s="533">
        <f t="shared" ref="U115" si="215">U113-U114</f>
        <v>0</v>
      </c>
      <c r="V115" s="533">
        <f t="shared" ref="V115" si="216">V113-V114</f>
        <v>0</v>
      </c>
      <c r="W115" s="533">
        <f t="shared" ref="W115" si="217">W113-W114</f>
        <v>0</v>
      </c>
      <c r="X115" s="533">
        <f t="shared" ref="X115" si="218">X113-X114</f>
        <v>0</v>
      </c>
      <c r="Y115" s="533">
        <f t="shared" ref="Y115" si="219">Y113-Y114</f>
        <v>0</v>
      </c>
      <c r="Z115" s="533">
        <f t="shared" ref="Z115" si="220">Z113-Z114</f>
        <v>0</v>
      </c>
      <c r="AA115" s="533">
        <f t="shared" ref="AA115" si="221">AA113-AA114</f>
        <v>0</v>
      </c>
      <c r="AB115" s="533">
        <f t="shared" ref="AB115" si="222">AB113-AB114</f>
        <v>0</v>
      </c>
      <c r="AC115" s="533">
        <f t="shared" ref="AC115" si="223">AC113-AC114</f>
        <v>0</v>
      </c>
      <c r="AD115" s="533">
        <f t="shared" ref="AD115" si="224">AD113-AD114</f>
        <v>0</v>
      </c>
      <c r="AE115" s="533">
        <f t="shared" ref="AE115" si="225">AE113-AE114</f>
        <v>0</v>
      </c>
      <c r="AF115" s="533">
        <f t="shared" ref="AF115" si="226">AF113-AF114</f>
        <v>0</v>
      </c>
      <c r="AG115" s="533">
        <f t="shared" ref="AG115" si="227">AG113-AG114</f>
        <v>0</v>
      </c>
      <c r="AH115" s="533">
        <f t="shared" ref="AH115" si="228">AH113-AH114</f>
        <v>0</v>
      </c>
      <c r="AI115" s="533">
        <f t="shared" ref="AI115" si="229">AI113-AI114</f>
        <v>0</v>
      </c>
      <c r="AJ115" s="533">
        <f t="shared" ref="AJ115" si="230">AJ113-AJ114</f>
        <v>0</v>
      </c>
      <c r="AK115" s="533">
        <f t="shared" ref="AK115" si="231">AK113-AK114</f>
        <v>0</v>
      </c>
      <c r="AL115" s="533">
        <f t="shared" ref="AL115" si="232">AL113-AL114</f>
        <v>0</v>
      </c>
    </row>
    <row r="116" spans="1:38">
      <c r="A116" s="500" t="s">
        <v>42</v>
      </c>
      <c r="B116" s="441">
        <f>'Rahoitus K3'!H20</f>
        <v>0</v>
      </c>
      <c r="C116" s="442">
        <f>B116</f>
        <v>0</v>
      </c>
      <c r="D116" s="442">
        <f t="shared" ref="D116" si="233">C116</f>
        <v>0</v>
      </c>
      <c r="E116" s="442">
        <f t="shared" ref="E116" si="234">D116</f>
        <v>0</v>
      </c>
      <c r="F116" s="442">
        <f t="shared" ref="F116" si="235">E116</f>
        <v>0</v>
      </c>
      <c r="G116" s="442">
        <f t="shared" ref="G116" si="236">F116</f>
        <v>0</v>
      </c>
      <c r="H116" s="442">
        <f t="shared" ref="H116" si="237">G116</f>
        <v>0</v>
      </c>
      <c r="I116" s="442">
        <f t="shared" ref="I116" si="238">H116</f>
        <v>0</v>
      </c>
      <c r="J116" s="442">
        <f t="shared" ref="J116" si="239">I116</f>
        <v>0</v>
      </c>
      <c r="K116" s="442">
        <f t="shared" ref="K116" si="240">J116</f>
        <v>0</v>
      </c>
      <c r="L116" s="442">
        <f t="shared" ref="L116" si="241">K116</f>
        <v>0</v>
      </c>
      <c r="M116" s="442">
        <f t="shared" ref="M116" si="242">L116</f>
        <v>0</v>
      </c>
      <c r="N116" s="442">
        <f t="shared" ref="N116" si="243">M116</f>
        <v>0</v>
      </c>
      <c r="O116" s="442">
        <f t="shared" ref="O116" si="244">N116</f>
        <v>0</v>
      </c>
      <c r="P116" s="442">
        <f t="shared" ref="P116" si="245">O116</f>
        <v>0</v>
      </c>
      <c r="Q116" s="442">
        <f t="shared" ref="Q116" si="246">P116</f>
        <v>0</v>
      </c>
      <c r="R116" s="442">
        <f t="shared" ref="R116" si="247">Q116</f>
        <v>0</v>
      </c>
      <c r="S116" s="442">
        <f t="shared" ref="S116" si="248">R116</f>
        <v>0</v>
      </c>
      <c r="T116" s="442">
        <f t="shared" ref="T116" si="249">S116</f>
        <v>0</v>
      </c>
      <c r="U116" s="442">
        <f t="shared" ref="U116" si="250">T116</f>
        <v>0</v>
      </c>
      <c r="V116" s="442">
        <f t="shared" ref="V116" si="251">U116</f>
        <v>0</v>
      </c>
      <c r="W116" s="442">
        <f t="shared" ref="W116" si="252">V116</f>
        <v>0</v>
      </c>
      <c r="X116" s="442">
        <f t="shared" ref="X116" si="253">W116</f>
        <v>0</v>
      </c>
      <c r="Y116" s="442">
        <f t="shared" ref="Y116:Z116" si="254">X116</f>
        <v>0</v>
      </c>
      <c r="Z116" s="442">
        <f t="shared" si="254"/>
        <v>0</v>
      </c>
      <c r="AA116" s="442">
        <f t="shared" ref="AA116" si="255">Z116</f>
        <v>0</v>
      </c>
      <c r="AB116" s="442">
        <f t="shared" ref="AB116" si="256">AA116</f>
        <v>0</v>
      </c>
      <c r="AC116" s="442">
        <f t="shared" ref="AC116" si="257">AB116</f>
        <v>0</v>
      </c>
      <c r="AD116" s="442">
        <f t="shared" ref="AD116" si="258">AC116</f>
        <v>0</v>
      </c>
      <c r="AE116" s="442">
        <f t="shared" ref="AE116" si="259">AD116</f>
        <v>0</v>
      </c>
      <c r="AF116" s="442">
        <f t="shared" ref="AF116" si="260">AE116</f>
        <v>0</v>
      </c>
      <c r="AG116" s="442">
        <f t="shared" ref="AG116" si="261">AF116</f>
        <v>0</v>
      </c>
      <c r="AH116" s="442">
        <f t="shared" ref="AH116" si="262">AG116</f>
        <v>0</v>
      </c>
      <c r="AI116" s="442">
        <f t="shared" ref="AI116" si="263">AH116</f>
        <v>0</v>
      </c>
      <c r="AJ116" s="442">
        <f t="shared" ref="AJ116" si="264">AI116</f>
        <v>0</v>
      </c>
      <c r="AK116" s="442">
        <f t="shared" ref="AK116" si="265">AJ116</f>
        <v>0</v>
      </c>
      <c r="AL116" s="527">
        <f t="shared" ref="AL116" si="266">AK116</f>
        <v>0</v>
      </c>
    </row>
    <row r="117" spans="1:38">
      <c r="A117" s="500" t="s">
        <v>404</v>
      </c>
      <c r="B117" s="443">
        <f>(B113)*B116/2</f>
        <v>0</v>
      </c>
      <c r="C117" s="443">
        <f>(C113)*C116/12</f>
        <v>0</v>
      </c>
      <c r="D117" s="443">
        <f t="shared" ref="D117" si="267">(D113)*D116/12</f>
        <v>0</v>
      </c>
      <c r="E117" s="443">
        <f t="shared" ref="E117" si="268">(E113)*E116/12</f>
        <v>0</v>
      </c>
      <c r="F117" s="443">
        <f t="shared" ref="F117" si="269">(F113)*F116/12</f>
        <v>0</v>
      </c>
      <c r="G117" s="443">
        <f t="shared" ref="G117" si="270">(G113)*G116/12</f>
        <v>0</v>
      </c>
      <c r="H117" s="443">
        <f t="shared" ref="H117" si="271">(H113)*H116/12</f>
        <v>0</v>
      </c>
      <c r="I117" s="443">
        <f t="shared" ref="I117" si="272">(I113)*I116/12</f>
        <v>0</v>
      </c>
      <c r="J117" s="443">
        <f t="shared" ref="J117" si="273">(J113)*J116/12</f>
        <v>0</v>
      </c>
      <c r="K117" s="443">
        <f t="shared" ref="K117" si="274">(K113)*K116/12</f>
        <v>0</v>
      </c>
      <c r="L117" s="443">
        <f t="shared" ref="L117" si="275">(L113)*L116/12</f>
        <v>0</v>
      </c>
      <c r="M117" s="443">
        <f t="shared" ref="M117" si="276">(M113)*M116/12</f>
        <v>0</v>
      </c>
      <c r="N117" s="443">
        <f t="shared" ref="N117" si="277">(N113)*N116/12</f>
        <v>0</v>
      </c>
      <c r="O117" s="443">
        <f t="shared" ref="O117" si="278">(O113)*O116/12</f>
        <v>0</v>
      </c>
      <c r="P117" s="443">
        <f t="shared" ref="P117" si="279">(P113)*P116/12</f>
        <v>0</v>
      </c>
      <c r="Q117" s="443">
        <f t="shared" ref="Q117" si="280">(Q113)*Q116/12</f>
        <v>0</v>
      </c>
      <c r="R117" s="443">
        <f t="shared" ref="R117" si="281">(R113)*R116/12</f>
        <v>0</v>
      </c>
      <c r="S117" s="443">
        <f t="shared" ref="S117" si="282">(S113)*S116/12</f>
        <v>0</v>
      </c>
      <c r="T117" s="443">
        <f t="shared" ref="T117" si="283">(T113)*T116/12</f>
        <v>0</v>
      </c>
      <c r="U117" s="443">
        <f t="shared" ref="U117" si="284">(U113)*U116/12</f>
        <v>0</v>
      </c>
      <c r="V117" s="443">
        <f t="shared" ref="V117" si="285">(V113)*V116/12</f>
        <v>0</v>
      </c>
      <c r="W117" s="443">
        <f t="shared" ref="W117" si="286">(W113)*W116/12</f>
        <v>0</v>
      </c>
      <c r="X117" s="443">
        <f t="shared" ref="X117" si="287">(X113)*X116/12</f>
        <v>0</v>
      </c>
      <c r="Y117" s="443">
        <f t="shared" ref="Y117" si="288">(Y113)*Y116/12</f>
        <v>0</v>
      </c>
      <c r="Z117" s="443">
        <f t="shared" ref="Z117" si="289">(Z113)*Z116/12</f>
        <v>0</v>
      </c>
      <c r="AA117" s="443">
        <f t="shared" ref="AA117" si="290">(AA113)*AA116/12</f>
        <v>0</v>
      </c>
      <c r="AB117" s="443">
        <f t="shared" ref="AB117" si="291">(AB113)*AB116/12</f>
        <v>0</v>
      </c>
      <c r="AC117" s="443">
        <f t="shared" ref="AC117" si="292">(AC113)*AC116/12</f>
        <v>0</v>
      </c>
      <c r="AD117" s="443">
        <f t="shared" ref="AD117" si="293">(AD113)*AD116/12</f>
        <v>0</v>
      </c>
      <c r="AE117" s="443">
        <f t="shared" ref="AE117" si="294">(AE113)*AE116/12</f>
        <v>0</v>
      </c>
      <c r="AF117" s="443">
        <f t="shared" ref="AF117" si="295">(AF113)*AF116/12</f>
        <v>0</v>
      </c>
      <c r="AG117" s="443">
        <f t="shared" ref="AG117" si="296">(AG113)*AG116/12</f>
        <v>0</v>
      </c>
      <c r="AH117" s="443">
        <f t="shared" ref="AH117" si="297">(AH113)*AH116/12</f>
        <v>0</v>
      </c>
      <c r="AI117" s="443">
        <f t="shared" ref="AI117" si="298">(AI113)*AI116/12</f>
        <v>0</v>
      </c>
      <c r="AJ117" s="443">
        <f t="shared" ref="AJ117" si="299">(AJ113)*AJ116/12</f>
        <v>0</v>
      </c>
      <c r="AK117" s="443">
        <f t="shared" ref="AK117" si="300">(AK113)*AK116/12</f>
        <v>0</v>
      </c>
      <c r="AL117" s="528">
        <f t="shared" ref="AL117" si="301">(AL113)*AL116/12</f>
        <v>0</v>
      </c>
    </row>
    <row r="118" spans="1:38">
      <c r="A118" s="501" t="s">
        <v>406</v>
      </c>
      <c r="B118" s="453">
        <f>B117</f>
        <v>0</v>
      </c>
      <c r="C118" s="188"/>
      <c r="D118" s="189"/>
      <c r="E118" s="189"/>
      <c r="F118" s="189"/>
      <c r="G118" s="189"/>
      <c r="H118" s="189"/>
      <c r="I118" s="189"/>
      <c r="J118" s="189"/>
      <c r="K118" s="189"/>
      <c r="L118" s="189"/>
      <c r="M118" s="189"/>
      <c r="N118" s="454">
        <f>SUM(C117:N117)</f>
        <v>0</v>
      </c>
      <c r="O118" s="189"/>
      <c r="P118" s="91"/>
      <c r="Z118" s="454">
        <f>SUM(O117:Z117)</f>
        <v>0</v>
      </c>
      <c r="AL118" s="147"/>
    </row>
    <row r="119" spans="1:38">
      <c r="A119" s="502" t="s">
        <v>407</v>
      </c>
      <c r="B119" s="68"/>
      <c r="C119" s="458">
        <f>B118+C117</f>
        <v>0</v>
      </c>
      <c r="D119" s="189"/>
      <c r="E119" s="189"/>
      <c r="F119" s="189"/>
      <c r="G119" s="189"/>
      <c r="H119" s="189"/>
      <c r="I119" s="189"/>
      <c r="J119" s="189"/>
      <c r="K119" s="189"/>
      <c r="L119" s="189"/>
      <c r="M119" s="189"/>
      <c r="O119" s="459">
        <f>SUM(D117:O117)</f>
        <v>0</v>
      </c>
      <c r="P119" s="91"/>
      <c r="AA119" s="459">
        <f>SUM(P117:AA117)</f>
        <v>0</v>
      </c>
      <c r="AB119" s="91"/>
      <c r="AL119" s="147"/>
    </row>
    <row r="120" spans="1:38">
      <c r="A120" s="503" t="s">
        <v>418</v>
      </c>
      <c r="B120" s="53"/>
      <c r="C120" s="53"/>
      <c r="D120" s="460">
        <f>SUM(B117:D117)</f>
        <v>0</v>
      </c>
      <c r="E120" s="444"/>
      <c r="F120" s="444"/>
      <c r="G120" s="444"/>
      <c r="H120" s="444"/>
      <c r="I120" s="444"/>
      <c r="J120" s="444"/>
      <c r="K120" s="444"/>
      <c r="L120" s="444"/>
      <c r="M120" s="444"/>
      <c r="N120" s="444"/>
      <c r="O120" s="189"/>
      <c r="P120" s="461">
        <f>SUM(E117:P117)</f>
        <v>0</v>
      </c>
      <c r="AA120" s="189"/>
      <c r="AB120" s="461">
        <f>SUM(Q117:AB117)</f>
        <v>0</v>
      </c>
      <c r="AL120" s="147"/>
    </row>
    <row r="121" spans="1:38">
      <c r="A121" s="504" t="s">
        <v>417</v>
      </c>
      <c r="B121" s="68"/>
      <c r="C121" s="188"/>
      <c r="D121" s="444"/>
      <c r="E121" s="463">
        <f>SUM(B117:E117)</f>
        <v>0</v>
      </c>
      <c r="F121" s="444"/>
      <c r="G121" s="444"/>
      <c r="H121" s="444"/>
      <c r="I121" s="444"/>
      <c r="J121" s="444"/>
      <c r="K121" s="444"/>
      <c r="L121" s="444"/>
      <c r="M121" s="444"/>
      <c r="N121" s="444"/>
      <c r="O121" s="189"/>
      <c r="P121" s="91"/>
      <c r="Q121" s="462">
        <f>SUM(F117:Q117)</f>
        <v>0</v>
      </c>
      <c r="AA121" s="189"/>
      <c r="AB121" s="91"/>
      <c r="AC121" s="462">
        <f>SUM(R117:AC117)</f>
        <v>0</v>
      </c>
      <c r="AL121" s="147"/>
    </row>
    <row r="122" spans="1:38">
      <c r="A122" s="505" t="s">
        <v>408</v>
      </c>
      <c r="B122" s="68"/>
      <c r="C122" s="188"/>
      <c r="D122" s="444"/>
      <c r="E122" s="444"/>
      <c r="F122" s="464">
        <f>SUM(B117:F117)</f>
        <v>0</v>
      </c>
      <c r="G122" s="444"/>
      <c r="H122" s="444"/>
      <c r="I122" s="444"/>
      <c r="J122" s="444"/>
      <c r="K122" s="444"/>
      <c r="L122" s="444"/>
      <c r="M122" s="444"/>
      <c r="N122" s="444"/>
      <c r="O122" s="189"/>
      <c r="P122" s="91"/>
      <c r="R122" s="465">
        <f>SUM(G117:R117)</f>
        <v>0</v>
      </c>
      <c r="AA122" s="189"/>
      <c r="AB122" s="91"/>
      <c r="AD122" s="465">
        <f>SUM(S117:AD117)</f>
        <v>0</v>
      </c>
      <c r="AL122" s="147"/>
    </row>
    <row r="123" spans="1:38">
      <c r="A123" s="506" t="s">
        <v>409</v>
      </c>
      <c r="B123" s="53"/>
      <c r="C123" s="53"/>
      <c r="D123" s="444"/>
      <c r="E123" s="444"/>
      <c r="F123" s="444"/>
      <c r="G123" s="467">
        <f>SUM(B117:G117)</f>
        <v>0</v>
      </c>
      <c r="H123" s="444"/>
      <c r="I123" s="444"/>
      <c r="J123" s="444"/>
      <c r="K123" s="444"/>
      <c r="L123" s="444"/>
      <c r="M123" s="444"/>
      <c r="N123" s="444"/>
      <c r="O123" s="189"/>
      <c r="P123" s="91"/>
      <c r="S123" s="466">
        <f>SUM(H117:S117)</f>
        <v>0</v>
      </c>
      <c r="AA123" s="189"/>
      <c r="AB123" s="91"/>
      <c r="AE123" s="466">
        <f>SUM(T117:AE117)</f>
        <v>0</v>
      </c>
      <c r="AL123" s="147"/>
    </row>
    <row r="124" spans="1:38">
      <c r="A124" s="506" t="s">
        <v>410</v>
      </c>
      <c r="B124" s="68"/>
      <c r="C124" s="188"/>
      <c r="D124" s="444"/>
      <c r="E124" s="444"/>
      <c r="F124" s="444"/>
      <c r="G124" s="444"/>
      <c r="H124" s="473">
        <f>SUM(B117:H117)</f>
        <v>0</v>
      </c>
      <c r="I124" s="444"/>
      <c r="J124" s="444"/>
      <c r="K124" s="444"/>
      <c r="L124" s="444"/>
      <c r="M124" s="444"/>
      <c r="N124" s="444"/>
      <c r="O124" s="189"/>
      <c r="P124" s="91"/>
      <c r="T124" s="474">
        <f>SUM(I117:T117)</f>
        <v>0</v>
      </c>
      <c r="AA124" s="189"/>
      <c r="AB124" s="91"/>
      <c r="AF124" s="474">
        <f>SUM(U117:AF117)</f>
        <v>0</v>
      </c>
      <c r="AL124" s="147"/>
    </row>
    <row r="125" spans="1:38">
      <c r="A125" s="507" t="s">
        <v>411</v>
      </c>
      <c r="B125" s="53"/>
      <c r="C125" s="53"/>
      <c r="D125" s="444"/>
      <c r="E125" s="444"/>
      <c r="F125" s="444"/>
      <c r="G125" s="444"/>
      <c r="H125" s="444"/>
      <c r="I125" s="479">
        <f>SUM(B117:I117)</f>
        <v>0</v>
      </c>
      <c r="J125" s="444"/>
      <c r="K125" s="444"/>
      <c r="L125" s="444"/>
      <c r="M125" s="444"/>
      <c r="N125" s="444"/>
      <c r="O125" s="189"/>
      <c r="P125" s="91"/>
      <c r="U125" s="475">
        <f>SUM(J117:U117)</f>
        <v>0</v>
      </c>
      <c r="AA125" s="189"/>
      <c r="AB125" s="91"/>
      <c r="AG125" s="475">
        <f>SUM(V117:AG117)</f>
        <v>0</v>
      </c>
      <c r="AL125" s="147"/>
    </row>
    <row r="126" spans="1:38">
      <c r="A126" s="508" t="s">
        <v>412</v>
      </c>
      <c r="B126" s="68"/>
      <c r="C126" s="188"/>
      <c r="D126" s="444"/>
      <c r="E126" s="444"/>
      <c r="F126" s="444"/>
      <c r="G126" s="444"/>
      <c r="H126" s="444"/>
      <c r="I126" s="444"/>
      <c r="J126" s="480">
        <f>SUM(B117:J117)</f>
        <v>0</v>
      </c>
      <c r="K126" s="444"/>
      <c r="L126" s="444"/>
      <c r="M126" s="444"/>
      <c r="N126" s="444"/>
      <c r="O126" s="189"/>
      <c r="P126" s="91"/>
      <c r="V126" s="476">
        <f>SUM(K117:V117)</f>
        <v>0</v>
      </c>
      <c r="AA126" s="189"/>
      <c r="AB126" s="91"/>
      <c r="AH126" s="476">
        <f>SUM(W117:AH117)</f>
        <v>0</v>
      </c>
      <c r="AL126" s="147"/>
    </row>
    <row r="127" spans="1:38">
      <c r="A127" s="509" t="s">
        <v>413</v>
      </c>
      <c r="B127" s="53"/>
      <c r="C127" s="53"/>
      <c r="D127" s="444"/>
      <c r="E127" s="444"/>
      <c r="F127" s="444"/>
      <c r="G127" s="444"/>
      <c r="H127" s="444"/>
      <c r="I127" s="444"/>
      <c r="J127" s="444"/>
      <c r="K127" s="481">
        <f>SUM(B117:K117)</f>
        <v>0</v>
      </c>
      <c r="L127" s="444"/>
      <c r="M127" s="444"/>
      <c r="N127" s="444"/>
      <c r="O127" s="189"/>
      <c r="P127" s="91"/>
      <c r="W127" s="477">
        <f>SUM(L117:W117)</f>
        <v>0</v>
      </c>
      <c r="AA127" s="189"/>
      <c r="AB127" s="91"/>
      <c r="AI127" s="477">
        <f>SUM(X117:AI117)</f>
        <v>0</v>
      </c>
      <c r="AL127" s="147"/>
    </row>
    <row r="128" spans="1:38">
      <c r="A128" s="510" t="s">
        <v>414</v>
      </c>
      <c r="B128" s="68"/>
      <c r="C128" s="188"/>
      <c r="D128" s="444"/>
      <c r="E128" s="444"/>
      <c r="F128" s="444"/>
      <c r="G128" s="444"/>
      <c r="H128" s="444"/>
      <c r="I128" s="444"/>
      <c r="J128" s="444"/>
      <c r="K128" s="444"/>
      <c r="L128" s="483">
        <f>SUM(B117:L117)</f>
        <v>0</v>
      </c>
      <c r="M128" s="444"/>
      <c r="N128" s="444"/>
      <c r="O128" s="189"/>
      <c r="P128" s="91"/>
      <c r="X128" s="478">
        <f>SUM(M117:X117)</f>
        <v>0</v>
      </c>
      <c r="AA128" s="189"/>
      <c r="AB128" s="91"/>
      <c r="AJ128" s="478">
        <f>SUM(Y117:AJ117)</f>
        <v>0</v>
      </c>
      <c r="AL128" s="147"/>
    </row>
    <row r="129" spans="1:38">
      <c r="A129" s="511" t="s">
        <v>415</v>
      </c>
      <c r="B129" s="53"/>
      <c r="C129" s="53"/>
      <c r="D129" s="444"/>
      <c r="E129" s="444"/>
      <c r="F129" s="444"/>
      <c r="G129" s="444"/>
      <c r="H129" s="444"/>
      <c r="I129" s="444"/>
      <c r="J129" s="444"/>
      <c r="K129" s="444"/>
      <c r="L129" s="444"/>
      <c r="M129" s="485">
        <f>SUM(B117:M117)</f>
        <v>0</v>
      </c>
      <c r="N129" s="444"/>
      <c r="O129" s="189"/>
      <c r="P129" s="91"/>
      <c r="Y129" s="484">
        <f>SUM(N117:Y117)</f>
        <v>0</v>
      </c>
      <c r="AA129" s="189"/>
      <c r="AB129" s="91"/>
      <c r="AK129" s="484">
        <f>SUM(Z117:AK117)</f>
        <v>0</v>
      </c>
      <c r="AL129" s="147"/>
    </row>
    <row r="130" spans="1:38" ht="12.9" thickBot="1">
      <c r="A130" s="512" t="s">
        <v>416</v>
      </c>
      <c r="B130" s="513"/>
      <c r="C130" s="191"/>
      <c r="D130" s="514"/>
      <c r="E130" s="514"/>
      <c r="F130" s="514"/>
      <c r="G130" s="514"/>
      <c r="H130" s="514"/>
      <c r="I130" s="514"/>
      <c r="J130" s="514"/>
      <c r="K130" s="514"/>
      <c r="L130" s="514"/>
      <c r="M130" s="514"/>
      <c r="N130" s="515">
        <f>SUM(B117:N117)</f>
        <v>0</v>
      </c>
      <c r="O130" s="271"/>
      <c r="P130" s="516"/>
      <c r="Q130" s="152"/>
      <c r="R130" s="152"/>
      <c r="S130" s="152"/>
      <c r="T130" s="152"/>
      <c r="U130" s="152"/>
      <c r="V130" s="152"/>
      <c r="W130" s="152"/>
      <c r="X130" s="152"/>
      <c r="Y130" s="152"/>
      <c r="Z130" s="517">
        <f>SUM(O117:Z117)</f>
        <v>0</v>
      </c>
      <c r="AA130" s="271"/>
      <c r="AB130" s="516"/>
      <c r="AC130" s="152"/>
      <c r="AD130" s="152"/>
      <c r="AE130" s="152"/>
      <c r="AF130" s="152"/>
      <c r="AG130" s="152"/>
      <c r="AH130" s="152"/>
      <c r="AI130" s="152"/>
      <c r="AJ130" s="152"/>
      <c r="AK130" s="152"/>
      <c r="AL130" s="518">
        <f>SUM(AA117:AL117)</f>
        <v>0</v>
      </c>
    </row>
    <row r="131" spans="1:38" s="2" customFormat="1" ht="24" customHeight="1">
      <c r="A131" s="548" t="s">
        <v>457</v>
      </c>
      <c r="B131" s="549">
        <f>B115+B97+B79</f>
        <v>0</v>
      </c>
      <c r="C131" s="549">
        <f t="shared" ref="C131:AL131" si="302">C115+C97+C79</f>
        <v>0</v>
      </c>
      <c r="D131" s="549">
        <f t="shared" si="302"/>
        <v>0</v>
      </c>
      <c r="E131" s="549">
        <f t="shared" si="302"/>
        <v>0</v>
      </c>
      <c r="F131" s="549">
        <f t="shared" si="302"/>
        <v>0</v>
      </c>
      <c r="G131" s="549">
        <f t="shared" si="302"/>
        <v>0</v>
      </c>
      <c r="H131" s="549">
        <f t="shared" si="302"/>
        <v>0</v>
      </c>
      <c r="I131" s="549">
        <f t="shared" si="302"/>
        <v>0</v>
      </c>
      <c r="J131" s="549">
        <f t="shared" si="302"/>
        <v>0</v>
      </c>
      <c r="K131" s="549">
        <f t="shared" si="302"/>
        <v>0</v>
      </c>
      <c r="L131" s="549">
        <f t="shared" si="302"/>
        <v>0</v>
      </c>
      <c r="M131" s="549">
        <f t="shared" si="302"/>
        <v>0</v>
      </c>
      <c r="N131" s="549">
        <f t="shared" si="302"/>
        <v>0</v>
      </c>
      <c r="O131" s="549">
        <f t="shared" si="302"/>
        <v>0</v>
      </c>
      <c r="P131" s="549">
        <f t="shared" si="302"/>
        <v>0</v>
      </c>
      <c r="Q131" s="549">
        <f t="shared" si="302"/>
        <v>0</v>
      </c>
      <c r="R131" s="549">
        <f t="shared" si="302"/>
        <v>0</v>
      </c>
      <c r="S131" s="549">
        <f t="shared" si="302"/>
        <v>0</v>
      </c>
      <c r="T131" s="549">
        <f t="shared" si="302"/>
        <v>0</v>
      </c>
      <c r="U131" s="549">
        <f t="shared" si="302"/>
        <v>0</v>
      </c>
      <c r="V131" s="549">
        <f t="shared" si="302"/>
        <v>0</v>
      </c>
      <c r="W131" s="549">
        <f t="shared" si="302"/>
        <v>0</v>
      </c>
      <c r="X131" s="549">
        <f t="shared" si="302"/>
        <v>0</v>
      </c>
      <c r="Y131" s="549">
        <f t="shared" si="302"/>
        <v>0</v>
      </c>
      <c r="Z131" s="549">
        <f t="shared" si="302"/>
        <v>0</v>
      </c>
      <c r="AA131" s="549">
        <f t="shared" si="302"/>
        <v>0</v>
      </c>
      <c r="AB131" s="549">
        <f t="shared" si="302"/>
        <v>0</v>
      </c>
      <c r="AC131" s="549">
        <f t="shared" si="302"/>
        <v>0</v>
      </c>
      <c r="AD131" s="549">
        <f t="shared" si="302"/>
        <v>0</v>
      </c>
      <c r="AE131" s="549">
        <f t="shared" si="302"/>
        <v>0</v>
      </c>
      <c r="AF131" s="549">
        <f t="shared" si="302"/>
        <v>0</v>
      </c>
      <c r="AG131" s="549">
        <f t="shared" si="302"/>
        <v>0</v>
      </c>
      <c r="AH131" s="549">
        <f t="shared" si="302"/>
        <v>0</v>
      </c>
      <c r="AI131" s="549">
        <f t="shared" si="302"/>
        <v>0</v>
      </c>
      <c r="AJ131" s="549">
        <f t="shared" si="302"/>
        <v>0</v>
      </c>
      <c r="AK131" s="549">
        <f t="shared" si="302"/>
        <v>0</v>
      </c>
      <c r="AL131" s="549">
        <f t="shared" si="302"/>
        <v>0</v>
      </c>
    </row>
    <row r="132" spans="1:38" ht="12" customHeight="1">
      <c r="A132" s="535" t="s">
        <v>458</v>
      </c>
      <c r="B132" s="536">
        <f>B114+B96+B78</f>
        <v>0</v>
      </c>
      <c r="C132" s="536">
        <f>C114+C96+C78</f>
        <v>0</v>
      </c>
      <c r="D132" s="536">
        <f t="shared" ref="D132:AL132" si="303">D114+D96+D78</f>
        <v>0</v>
      </c>
      <c r="E132" s="536">
        <f t="shared" si="303"/>
        <v>0</v>
      </c>
      <c r="F132" s="536">
        <f t="shared" si="303"/>
        <v>0</v>
      </c>
      <c r="G132" s="536">
        <f t="shared" si="303"/>
        <v>0</v>
      </c>
      <c r="H132" s="536">
        <f>H114+H96+H78</f>
        <v>0</v>
      </c>
      <c r="I132" s="536">
        <f t="shared" si="303"/>
        <v>0</v>
      </c>
      <c r="J132" s="536">
        <f t="shared" si="303"/>
        <v>0</v>
      </c>
      <c r="K132" s="536">
        <f t="shared" si="303"/>
        <v>0</v>
      </c>
      <c r="L132" s="536">
        <f t="shared" si="303"/>
        <v>0</v>
      </c>
      <c r="M132" s="536">
        <f t="shared" si="303"/>
        <v>0</v>
      </c>
      <c r="N132" s="536">
        <f t="shared" si="303"/>
        <v>0</v>
      </c>
      <c r="O132" s="536">
        <f t="shared" si="303"/>
        <v>0</v>
      </c>
      <c r="P132" s="536">
        <f t="shared" si="303"/>
        <v>0</v>
      </c>
      <c r="Q132" s="536">
        <f t="shared" si="303"/>
        <v>0</v>
      </c>
      <c r="R132" s="536">
        <f t="shared" si="303"/>
        <v>0</v>
      </c>
      <c r="S132" s="536">
        <f t="shared" si="303"/>
        <v>0</v>
      </c>
      <c r="T132" s="536">
        <f t="shared" si="303"/>
        <v>0</v>
      </c>
      <c r="U132" s="536">
        <f t="shared" si="303"/>
        <v>0</v>
      </c>
      <c r="V132" s="536">
        <f t="shared" si="303"/>
        <v>0</v>
      </c>
      <c r="W132" s="536">
        <f t="shared" si="303"/>
        <v>0</v>
      </c>
      <c r="X132" s="536">
        <f t="shared" si="303"/>
        <v>0</v>
      </c>
      <c r="Y132" s="536">
        <f t="shared" si="303"/>
        <v>0</v>
      </c>
      <c r="Z132" s="536">
        <f t="shared" si="303"/>
        <v>0</v>
      </c>
      <c r="AA132" s="536">
        <f t="shared" si="303"/>
        <v>0</v>
      </c>
      <c r="AB132" s="536">
        <f t="shared" si="303"/>
        <v>0</v>
      </c>
      <c r="AC132" s="536">
        <f t="shared" si="303"/>
        <v>0</v>
      </c>
      <c r="AD132" s="536">
        <f t="shared" si="303"/>
        <v>0</v>
      </c>
      <c r="AE132" s="536">
        <f t="shared" si="303"/>
        <v>0</v>
      </c>
      <c r="AF132" s="536">
        <f t="shared" si="303"/>
        <v>0</v>
      </c>
      <c r="AG132" s="536">
        <f t="shared" si="303"/>
        <v>0</v>
      </c>
      <c r="AH132" s="536">
        <f t="shared" si="303"/>
        <v>0</v>
      </c>
      <c r="AI132" s="536">
        <f t="shared" si="303"/>
        <v>0</v>
      </c>
      <c r="AJ132" s="536">
        <f t="shared" si="303"/>
        <v>0</v>
      </c>
      <c r="AK132" s="536">
        <f t="shared" si="303"/>
        <v>0</v>
      </c>
      <c r="AL132" s="536">
        <f t="shared" si="303"/>
        <v>0</v>
      </c>
    </row>
    <row r="133" spans="1:38" ht="12" customHeight="1">
      <c r="A133" s="535" t="s">
        <v>460</v>
      </c>
      <c r="B133" s="536">
        <f>B117+B99+B81</f>
        <v>0</v>
      </c>
      <c r="C133" s="536">
        <f t="shared" ref="C133:AL133" si="304">C117+C99+C81</f>
        <v>0</v>
      </c>
      <c r="D133" s="536">
        <f t="shared" si="304"/>
        <v>0</v>
      </c>
      <c r="E133" s="536">
        <f t="shared" si="304"/>
        <v>0</v>
      </c>
      <c r="F133" s="536">
        <f t="shared" si="304"/>
        <v>0</v>
      </c>
      <c r="G133" s="536">
        <f t="shared" si="304"/>
        <v>0</v>
      </c>
      <c r="H133" s="536">
        <f t="shared" si="304"/>
        <v>0</v>
      </c>
      <c r="I133" s="536">
        <f t="shared" si="304"/>
        <v>0</v>
      </c>
      <c r="J133" s="536">
        <f t="shared" si="304"/>
        <v>0</v>
      </c>
      <c r="K133" s="536">
        <f t="shared" si="304"/>
        <v>0</v>
      </c>
      <c r="L133" s="536">
        <f t="shared" si="304"/>
        <v>0</v>
      </c>
      <c r="M133" s="536">
        <f t="shared" si="304"/>
        <v>0</v>
      </c>
      <c r="N133" s="536">
        <f t="shared" si="304"/>
        <v>0</v>
      </c>
      <c r="O133" s="536">
        <f t="shared" si="304"/>
        <v>0</v>
      </c>
      <c r="P133" s="536">
        <f t="shared" si="304"/>
        <v>0</v>
      </c>
      <c r="Q133" s="536">
        <f t="shared" si="304"/>
        <v>0</v>
      </c>
      <c r="R133" s="536">
        <f t="shared" si="304"/>
        <v>0</v>
      </c>
      <c r="S133" s="536">
        <f t="shared" si="304"/>
        <v>0</v>
      </c>
      <c r="T133" s="536">
        <f t="shared" si="304"/>
        <v>0</v>
      </c>
      <c r="U133" s="536">
        <f t="shared" si="304"/>
        <v>0</v>
      </c>
      <c r="V133" s="536">
        <f t="shared" si="304"/>
        <v>0</v>
      </c>
      <c r="W133" s="536">
        <f t="shared" si="304"/>
        <v>0</v>
      </c>
      <c r="X133" s="536">
        <f t="shared" si="304"/>
        <v>0</v>
      </c>
      <c r="Y133" s="536">
        <f t="shared" si="304"/>
        <v>0</v>
      </c>
      <c r="Z133" s="536">
        <f t="shared" si="304"/>
        <v>0</v>
      </c>
      <c r="AA133" s="536">
        <f t="shared" si="304"/>
        <v>0</v>
      </c>
      <c r="AB133" s="536">
        <f t="shared" si="304"/>
        <v>0</v>
      </c>
      <c r="AC133" s="536">
        <f t="shared" si="304"/>
        <v>0</v>
      </c>
      <c r="AD133" s="536">
        <f t="shared" si="304"/>
        <v>0</v>
      </c>
      <c r="AE133" s="536">
        <f t="shared" si="304"/>
        <v>0</v>
      </c>
      <c r="AF133" s="536">
        <f t="shared" si="304"/>
        <v>0</v>
      </c>
      <c r="AG133" s="536">
        <f t="shared" si="304"/>
        <v>0</v>
      </c>
      <c r="AH133" s="536">
        <f t="shared" si="304"/>
        <v>0</v>
      </c>
      <c r="AI133" s="536">
        <f t="shared" si="304"/>
        <v>0</v>
      </c>
      <c r="AJ133" s="536">
        <f t="shared" si="304"/>
        <v>0</v>
      </c>
      <c r="AK133" s="536">
        <f t="shared" si="304"/>
        <v>0</v>
      </c>
      <c r="AL133" s="536">
        <f t="shared" si="304"/>
        <v>0</v>
      </c>
    </row>
    <row r="134" spans="1:38">
      <c r="A134" s="537" t="s">
        <v>459</v>
      </c>
      <c r="B134" s="539">
        <f>B118+B100+B82</f>
        <v>0</v>
      </c>
      <c r="C134" s="188"/>
      <c r="D134" s="189"/>
      <c r="E134" s="189"/>
      <c r="F134" s="189"/>
      <c r="G134" s="189"/>
      <c r="H134" s="189"/>
      <c r="I134" s="189"/>
      <c r="J134" s="189"/>
      <c r="K134" s="189"/>
      <c r="L134" s="189"/>
      <c r="M134" s="189"/>
      <c r="N134" s="538">
        <f>N118+N100+N82</f>
        <v>0</v>
      </c>
      <c r="O134" s="189"/>
      <c r="P134" s="91"/>
      <c r="Z134" s="454">
        <f>Z118+Z100+Z82</f>
        <v>0</v>
      </c>
      <c r="AL134" s="147"/>
    </row>
    <row r="135" spans="1:38">
      <c r="A135" s="502" t="s">
        <v>407</v>
      </c>
      <c r="B135" s="68"/>
      <c r="C135" s="458">
        <f>C119+C101+C83</f>
        <v>0</v>
      </c>
      <c r="D135" s="189"/>
      <c r="E135" s="189"/>
      <c r="F135" s="189"/>
      <c r="G135" s="189"/>
      <c r="H135" s="189"/>
      <c r="I135" s="189"/>
      <c r="J135" s="189"/>
      <c r="K135" s="189"/>
      <c r="L135" s="189"/>
      <c r="M135" s="189"/>
      <c r="O135" s="459">
        <f>O119+O101+O83</f>
        <v>0</v>
      </c>
      <c r="P135" s="91"/>
      <c r="AA135" s="459">
        <f>AA119+AA101+AA83</f>
        <v>0</v>
      </c>
      <c r="AB135" s="91"/>
      <c r="AL135" s="147"/>
    </row>
    <row r="136" spans="1:38">
      <c r="A136" s="503" t="s">
        <v>418</v>
      </c>
      <c r="B136" s="53"/>
      <c r="C136" s="53"/>
      <c r="D136" s="460">
        <f>D120+D102+D84</f>
        <v>0</v>
      </c>
      <c r="E136" s="444"/>
      <c r="F136" s="444"/>
      <c r="G136" s="444"/>
      <c r="H136" s="444"/>
      <c r="I136" s="444"/>
      <c r="J136" s="444"/>
      <c r="K136" s="444"/>
      <c r="L136" s="444"/>
      <c r="M136" s="444"/>
      <c r="N136" s="444"/>
      <c r="O136" s="189"/>
      <c r="P136" s="461">
        <f>P120+P102+P84</f>
        <v>0</v>
      </c>
      <c r="AA136" s="189"/>
      <c r="AB136" s="461">
        <f>AB120+AB102+AB84</f>
        <v>0</v>
      </c>
      <c r="AL136" s="147"/>
    </row>
    <row r="137" spans="1:38">
      <c r="A137" s="550" t="s">
        <v>417</v>
      </c>
      <c r="B137" s="68"/>
      <c r="C137" s="188"/>
      <c r="D137" s="444"/>
      <c r="E137" s="463">
        <f>E121+E103+E85</f>
        <v>0</v>
      </c>
      <c r="F137" s="444"/>
      <c r="G137" s="444"/>
      <c r="H137" s="444"/>
      <c r="I137" s="444"/>
      <c r="J137" s="444"/>
      <c r="K137" s="444"/>
      <c r="L137" s="444"/>
      <c r="M137" s="444"/>
      <c r="N137" s="444"/>
      <c r="O137" s="189"/>
      <c r="P137" s="91"/>
      <c r="Q137" s="462">
        <f>Q121+Q103+Q85</f>
        <v>0</v>
      </c>
      <c r="AA137" s="189"/>
      <c r="AB137" s="91"/>
      <c r="AC137" s="462">
        <f>AC121+AC103+AC85</f>
        <v>0</v>
      </c>
      <c r="AL137" s="147"/>
    </row>
    <row r="138" spans="1:38">
      <c r="A138" s="456" t="s">
        <v>408</v>
      </c>
      <c r="B138" s="68"/>
      <c r="C138" s="188"/>
      <c r="D138" s="444"/>
      <c r="E138" s="444"/>
      <c r="F138" s="464">
        <f>F122+F104+F86</f>
        <v>0</v>
      </c>
      <c r="G138" s="444"/>
      <c r="H138" s="444"/>
      <c r="I138" s="444"/>
      <c r="J138" s="444"/>
      <c r="K138" s="444"/>
      <c r="L138" s="444"/>
      <c r="M138" s="444"/>
      <c r="N138" s="444"/>
      <c r="O138" s="189"/>
      <c r="P138" s="91"/>
      <c r="R138" s="465">
        <f>R122+R104+R86</f>
        <v>0</v>
      </c>
      <c r="AA138" s="189"/>
      <c r="AB138" s="91"/>
      <c r="AD138" s="465">
        <f>AD122+AD104+AD86</f>
        <v>0</v>
      </c>
      <c r="AL138" s="147"/>
    </row>
    <row r="139" spans="1:38">
      <c r="A139" s="468" t="s">
        <v>409</v>
      </c>
      <c r="B139" s="53"/>
      <c r="C139" s="53"/>
      <c r="D139" s="444"/>
      <c r="E139" s="444"/>
      <c r="F139" s="444"/>
      <c r="G139" s="467">
        <f>G123+G105+G87</f>
        <v>0</v>
      </c>
      <c r="H139" s="444"/>
      <c r="I139" s="444"/>
      <c r="J139" s="444"/>
      <c r="K139" s="444"/>
      <c r="L139" s="444"/>
      <c r="M139" s="444"/>
      <c r="N139" s="444"/>
      <c r="O139" s="189"/>
      <c r="P139" s="91"/>
      <c r="S139" s="466">
        <f>S123+S105+S87</f>
        <v>0</v>
      </c>
      <c r="AA139" s="189"/>
      <c r="AB139" s="91"/>
      <c r="AE139" s="466">
        <f>AE123+AE105+AE87</f>
        <v>0</v>
      </c>
      <c r="AL139" s="147"/>
    </row>
    <row r="140" spans="1:38">
      <c r="A140" s="472" t="s">
        <v>410</v>
      </c>
      <c r="B140" s="68"/>
      <c r="C140" s="188"/>
      <c r="D140" s="444"/>
      <c r="E140" s="444"/>
      <c r="F140" s="444"/>
      <c r="G140" s="444"/>
      <c r="H140" s="473">
        <f>H124+H106+H88</f>
        <v>0</v>
      </c>
      <c r="I140" s="444"/>
      <c r="J140" s="444"/>
      <c r="K140" s="444"/>
      <c r="L140" s="444"/>
      <c r="M140" s="444"/>
      <c r="N140" s="444"/>
      <c r="O140" s="189"/>
      <c r="P140" s="91"/>
      <c r="T140" s="474">
        <f>T124+T106+T88</f>
        <v>0</v>
      </c>
      <c r="AA140" s="189"/>
      <c r="AB140" s="91"/>
      <c r="AF140" s="474">
        <f>AF124+AF106+AF88</f>
        <v>0</v>
      </c>
      <c r="AL140" s="147"/>
    </row>
    <row r="141" spans="1:38">
      <c r="A141" s="507" t="s">
        <v>411</v>
      </c>
      <c r="B141" s="53"/>
      <c r="C141" s="53"/>
      <c r="D141" s="444"/>
      <c r="E141" s="444"/>
      <c r="F141" s="444"/>
      <c r="G141" s="444"/>
      <c r="H141" s="444"/>
      <c r="I141" s="479">
        <f>I125+I107+I89</f>
        <v>0</v>
      </c>
      <c r="J141" s="444"/>
      <c r="K141" s="444"/>
      <c r="L141" s="444"/>
      <c r="M141" s="444"/>
      <c r="N141" s="444"/>
      <c r="O141" s="189"/>
      <c r="P141" s="91"/>
      <c r="U141" s="475">
        <f>U125+U107+U89</f>
        <v>0</v>
      </c>
      <c r="AA141" s="189"/>
      <c r="AB141" s="91"/>
      <c r="AG141" s="475">
        <f>AG125+AG107+AG89</f>
        <v>0</v>
      </c>
      <c r="AL141" s="147"/>
    </row>
    <row r="142" spans="1:38">
      <c r="A142" s="508" t="s">
        <v>412</v>
      </c>
      <c r="B142" s="68"/>
      <c r="C142" s="188"/>
      <c r="D142" s="444"/>
      <c r="E142" s="444"/>
      <c r="F142" s="444"/>
      <c r="G142" s="444"/>
      <c r="H142" s="444"/>
      <c r="I142" s="444"/>
      <c r="J142" s="480">
        <f>J126+J108+J90</f>
        <v>0</v>
      </c>
      <c r="K142" s="444"/>
      <c r="L142" s="444"/>
      <c r="M142" s="444"/>
      <c r="N142" s="444"/>
      <c r="O142" s="189"/>
      <c r="P142" s="91"/>
      <c r="V142" s="476">
        <f>V126+V108+V90</f>
        <v>0</v>
      </c>
      <c r="AA142" s="189"/>
      <c r="AB142" s="91"/>
      <c r="AH142" s="476">
        <f>AH126+AH108+AH90</f>
        <v>0</v>
      </c>
      <c r="AL142" s="147"/>
    </row>
    <row r="143" spans="1:38">
      <c r="A143" s="509" t="s">
        <v>413</v>
      </c>
      <c r="B143" s="53"/>
      <c r="C143" s="53"/>
      <c r="D143" s="444"/>
      <c r="E143" s="444"/>
      <c r="F143" s="444"/>
      <c r="G143" s="444"/>
      <c r="H143" s="444"/>
      <c r="I143" s="444"/>
      <c r="J143" s="444"/>
      <c r="K143" s="481">
        <f>K127+K109+K91</f>
        <v>0</v>
      </c>
      <c r="L143" s="444"/>
      <c r="M143" s="444"/>
      <c r="N143" s="444"/>
      <c r="O143" s="189"/>
      <c r="P143" s="91"/>
      <c r="W143" s="477">
        <f>W127+W109+W91</f>
        <v>0</v>
      </c>
      <c r="AA143" s="189"/>
      <c r="AB143" s="91"/>
      <c r="AI143" s="477">
        <f>AI127+AI109+AI91</f>
        <v>0</v>
      </c>
      <c r="AL143" s="147"/>
    </row>
    <row r="144" spans="1:38">
      <c r="A144" s="510" t="s">
        <v>414</v>
      </c>
      <c r="B144" s="68"/>
      <c r="C144" s="188"/>
      <c r="D144" s="444"/>
      <c r="E144" s="444"/>
      <c r="F144" s="444"/>
      <c r="G144" s="444"/>
      <c r="H144" s="444"/>
      <c r="I144" s="444"/>
      <c r="J144" s="444"/>
      <c r="K144" s="444"/>
      <c r="L144" s="483">
        <f>L128+L110+L92</f>
        <v>0</v>
      </c>
      <c r="M144" s="444"/>
      <c r="N144" s="444"/>
      <c r="O144" s="189"/>
      <c r="P144" s="91"/>
      <c r="X144" s="478">
        <f>X128+X110+X92</f>
        <v>0</v>
      </c>
      <c r="AA144" s="189"/>
      <c r="AB144" s="91"/>
      <c r="AJ144" s="478">
        <f>AJ128+AJ110+AJ92</f>
        <v>0</v>
      </c>
      <c r="AL144" s="147"/>
    </row>
    <row r="145" spans="1:38">
      <c r="A145" s="511" t="s">
        <v>415</v>
      </c>
      <c r="B145" s="53"/>
      <c r="C145" s="53"/>
      <c r="D145" s="444"/>
      <c r="E145" s="444"/>
      <c r="F145" s="444"/>
      <c r="G145" s="444"/>
      <c r="H145" s="444"/>
      <c r="I145" s="444"/>
      <c r="J145" s="444"/>
      <c r="K145" s="444"/>
      <c r="L145" s="444"/>
      <c r="M145" s="485">
        <f>M129+M111+M93</f>
        <v>0</v>
      </c>
      <c r="N145" s="444"/>
      <c r="O145" s="189"/>
      <c r="P145" s="91"/>
      <c r="Y145" s="484">
        <f>Y129+Y111+Y93</f>
        <v>0</v>
      </c>
      <c r="AA145" s="189"/>
      <c r="AB145" s="91"/>
      <c r="AK145" s="484">
        <f>AK129+AK111+AK93</f>
        <v>0</v>
      </c>
      <c r="AL145" s="147"/>
    </row>
    <row r="146" spans="1:38" ht="12.9" thickBot="1">
      <c r="A146" s="512" t="s">
        <v>416</v>
      </c>
      <c r="B146" s="513"/>
      <c r="C146" s="191"/>
      <c r="D146" s="514"/>
      <c r="E146" s="514"/>
      <c r="F146" s="514"/>
      <c r="G146" s="514"/>
      <c r="H146" s="514"/>
      <c r="I146" s="514"/>
      <c r="J146" s="514"/>
      <c r="K146" s="514"/>
      <c r="L146" s="514"/>
      <c r="M146" s="514"/>
      <c r="N146" s="515">
        <f>N130+N112+N94</f>
        <v>0</v>
      </c>
      <c r="O146" s="271"/>
      <c r="P146" s="516"/>
      <c r="Q146" s="152"/>
      <c r="R146" s="152"/>
      <c r="S146" s="152"/>
      <c r="T146" s="152"/>
      <c r="U146" s="152"/>
      <c r="V146" s="152"/>
      <c r="W146" s="152"/>
      <c r="X146" s="152"/>
      <c r="Y146" s="152"/>
      <c r="Z146" s="517">
        <f>Z130+Z112+Z94</f>
        <v>0</v>
      </c>
      <c r="AA146" s="271"/>
      <c r="AB146" s="516"/>
      <c r="AC146" s="152"/>
      <c r="AD146" s="152"/>
      <c r="AE146" s="152"/>
      <c r="AF146" s="152"/>
      <c r="AG146" s="152"/>
      <c r="AH146" s="152"/>
      <c r="AI146" s="152"/>
      <c r="AJ146" s="152"/>
      <c r="AK146" s="152"/>
      <c r="AL146" s="515">
        <f>AL130+AL112+AL94</f>
        <v>0</v>
      </c>
    </row>
    <row r="147" spans="1:38">
      <c r="A147" s="565" t="s">
        <v>474</v>
      </c>
      <c r="B147" s="556"/>
      <c r="C147" s="557"/>
      <c r="D147" s="558"/>
      <c r="E147" s="558"/>
      <c r="F147" s="558"/>
      <c r="G147" s="558"/>
      <c r="H147" s="558"/>
      <c r="I147" s="558"/>
      <c r="J147" s="558"/>
      <c r="K147" s="558"/>
      <c r="L147" s="558"/>
      <c r="M147" s="558"/>
      <c r="N147" s="558"/>
      <c r="O147" s="558"/>
      <c r="P147" s="558"/>
      <c r="Q147" s="559"/>
      <c r="R147" s="559"/>
      <c r="S147" s="559"/>
      <c r="T147" s="559"/>
      <c r="U147" s="559"/>
      <c r="V147" s="559"/>
      <c r="W147" s="559"/>
      <c r="X147" s="559"/>
      <c r="Y147" s="559"/>
      <c r="Z147" s="559"/>
      <c r="AA147" s="559"/>
      <c r="AB147" s="559"/>
      <c r="AC147" s="559"/>
      <c r="AD147" s="559"/>
      <c r="AE147" s="559"/>
      <c r="AF147" s="559"/>
      <c r="AG147" s="559"/>
      <c r="AH147" s="559"/>
      <c r="AI147" s="559"/>
      <c r="AJ147" s="559"/>
      <c r="AK147" s="559"/>
      <c r="AL147" s="559"/>
    </row>
    <row r="148" spans="1:38">
      <c r="A148" s="561" t="s">
        <v>475</v>
      </c>
      <c r="B148" s="523">
        <f>B$132+B134</f>
        <v>0</v>
      </c>
      <c r="C148" s="188"/>
      <c r="D148" s="189"/>
      <c r="E148" s="189"/>
      <c r="F148" s="189"/>
      <c r="G148" s="189"/>
      <c r="H148" s="189"/>
      <c r="I148" s="189"/>
      <c r="J148" s="189"/>
      <c r="K148" s="189"/>
      <c r="L148" s="189"/>
      <c r="M148" s="189"/>
      <c r="N148" s="523">
        <f>N$132+N134+H132</f>
        <v>0</v>
      </c>
      <c r="O148" s="189"/>
      <c r="P148" s="91"/>
      <c r="Z148" s="523">
        <f>Z$132+Z134+T132</f>
        <v>0</v>
      </c>
      <c r="AL148" s="147"/>
    </row>
    <row r="149" spans="1:38">
      <c r="A149" s="502" t="s">
        <v>407</v>
      </c>
      <c r="B149" s="440"/>
      <c r="C149" s="523">
        <f>C$132+C135+B$132</f>
        <v>0</v>
      </c>
      <c r="D149" s="189"/>
      <c r="E149" s="189"/>
      <c r="F149" s="189"/>
      <c r="G149" s="189"/>
      <c r="H149" s="189"/>
      <c r="I149" s="189"/>
      <c r="J149" s="189"/>
      <c r="K149" s="189"/>
      <c r="L149" s="189"/>
      <c r="M149" s="189"/>
      <c r="O149" s="523">
        <f>N132+O135+H132</f>
        <v>0</v>
      </c>
      <c r="P149" s="189"/>
      <c r="Q149" s="189"/>
      <c r="R149" s="189"/>
      <c r="S149" s="189"/>
      <c r="T149" s="189"/>
      <c r="U149" s="189"/>
      <c r="V149" s="189"/>
      <c r="W149" s="189"/>
      <c r="X149" s="189"/>
      <c r="Y149" s="189"/>
      <c r="AA149" s="523">
        <f>AA$132+AA135+Z$132+T132</f>
        <v>0</v>
      </c>
      <c r="AB149" s="189"/>
      <c r="AC149" s="189"/>
      <c r="AD149" s="189"/>
      <c r="AE149" s="189"/>
      <c r="AF149" s="189"/>
      <c r="AG149" s="189"/>
      <c r="AH149" s="189"/>
      <c r="AI149" s="189"/>
      <c r="AJ149" s="189"/>
      <c r="AK149" s="189"/>
      <c r="AL149" s="147"/>
    </row>
    <row r="150" spans="1:38">
      <c r="A150" s="503" t="s">
        <v>418</v>
      </c>
      <c r="B150" s="53"/>
      <c r="C150" s="53"/>
      <c r="D150" s="523">
        <f>D$132+D136+C$132+B$132</f>
        <v>0</v>
      </c>
      <c r="E150" s="444"/>
      <c r="F150" s="444"/>
      <c r="G150" s="444"/>
      <c r="H150" s="444"/>
      <c r="I150" s="444"/>
      <c r="J150" s="444"/>
      <c r="K150" s="444"/>
      <c r="L150" s="444"/>
      <c r="M150" s="444"/>
      <c r="N150" s="444"/>
      <c r="O150" s="53"/>
      <c r="P150" s="523">
        <f>P$132+P136+O$132+N$132+H132</f>
        <v>0</v>
      </c>
      <c r="Q150" s="444"/>
      <c r="R150" s="444"/>
      <c r="S150" s="444"/>
      <c r="T150" s="444"/>
      <c r="U150" s="444"/>
      <c r="V150" s="444"/>
      <c r="W150" s="444"/>
      <c r="X150" s="444"/>
      <c r="Y150" s="444"/>
      <c r="Z150" s="444"/>
      <c r="AA150" s="53"/>
      <c r="AB150" s="523">
        <f>AB$132+AB136+AA$132+Z$132+T132</f>
        <v>0</v>
      </c>
      <c r="AC150" s="444"/>
      <c r="AD150" s="444"/>
      <c r="AE150" s="444"/>
      <c r="AF150" s="444"/>
      <c r="AG150" s="444"/>
      <c r="AH150" s="444"/>
      <c r="AI150" s="444"/>
      <c r="AJ150" s="444"/>
      <c r="AK150" s="444"/>
      <c r="AL150" s="562"/>
    </row>
    <row r="151" spans="1:38">
      <c r="A151" s="550" t="s">
        <v>417</v>
      </c>
      <c r="B151" s="440"/>
      <c r="C151" s="188"/>
      <c r="D151" s="444"/>
      <c r="E151" s="523">
        <f>E$132+E137+D$132+C$132+B132</f>
        <v>0</v>
      </c>
      <c r="F151" s="444"/>
      <c r="G151" s="444"/>
      <c r="H151" s="444"/>
      <c r="I151" s="444"/>
      <c r="J151" s="444"/>
      <c r="K151" s="444"/>
      <c r="L151" s="444"/>
      <c r="M151" s="444"/>
      <c r="N151" s="444"/>
      <c r="O151" s="188"/>
      <c r="P151" s="444"/>
      <c r="Q151" s="523">
        <f>Q$132+Q137+P$132+O$132+N132+H132</f>
        <v>0</v>
      </c>
      <c r="R151" s="444"/>
      <c r="S151" s="444"/>
      <c r="T151" s="444"/>
      <c r="U151" s="444"/>
      <c r="V151" s="444"/>
      <c r="W151" s="444"/>
      <c r="X151" s="444"/>
      <c r="Y151" s="444"/>
      <c r="Z151" s="444"/>
      <c r="AA151" s="188"/>
      <c r="AB151" s="444"/>
      <c r="AC151" s="523">
        <f>AC$132+AC137+AB$132+AA$132+Z132+T132</f>
        <v>0</v>
      </c>
      <c r="AD151" s="444"/>
      <c r="AE151" s="444"/>
      <c r="AF151" s="444"/>
      <c r="AG151" s="444"/>
      <c r="AH151" s="444"/>
      <c r="AI151" s="444"/>
      <c r="AJ151" s="444"/>
      <c r="AK151" s="444"/>
      <c r="AL151" s="562"/>
    </row>
    <row r="152" spans="1:38">
      <c r="A152" s="456" t="s">
        <v>408</v>
      </c>
      <c r="B152" s="440"/>
      <c r="C152" s="188"/>
      <c r="D152" s="444"/>
      <c r="E152" s="444"/>
      <c r="F152" s="523">
        <f>F$132+F138+E$132+D$132+B132+C132</f>
        <v>0</v>
      </c>
      <c r="G152" s="444"/>
      <c r="H152" s="444"/>
      <c r="I152" s="444"/>
      <c r="J152" s="444"/>
      <c r="K152" s="444"/>
      <c r="L152" s="444"/>
      <c r="M152" s="444"/>
      <c r="N152" s="444"/>
      <c r="O152" s="188"/>
      <c r="P152" s="444"/>
      <c r="Q152" s="444"/>
      <c r="R152" s="523">
        <f>R$132+R138+Q$132+P$132+N132+O132+H132</f>
        <v>0</v>
      </c>
      <c r="S152" s="444"/>
      <c r="T152" s="444"/>
      <c r="U152" s="444"/>
      <c r="V152" s="444"/>
      <c r="W152" s="444"/>
      <c r="X152" s="444"/>
      <c r="Y152" s="444"/>
      <c r="Z152" s="444"/>
      <c r="AA152" s="188"/>
      <c r="AB152" s="444"/>
      <c r="AC152" s="444"/>
      <c r="AD152" s="523">
        <f>AD$132+AD138+AC$132+AB$132+Z132+AA132+T132</f>
        <v>0</v>
      </c>
      <c r="AE152" s="444"/>
      <c r="AF152" s="444"/>
      <c r="AG152" s="444"/>
      <c r="AH152" s="444"/>
      <c r="AI152" s="444"/>
      <c r="AJ152" s="444"/>
      <c r="AK152" s="444"/>
      <c r="AL152" s="562"/>
    </row>
    <row r="153" spans="1:38">
      <c r="A153" s="468" t="s">
        <v>409</v>
      </c>
      <c r="B153" s="53"/>
      <c r="C153" s="53"/>
      <c r="D153" s="444"/>
      <c r="E153" s="444"/>
      <c r="F153" s="444"/>
      <c r="G153" s="523">
        <f>G$132+G139+F$132+E$132+B132+C132+D132</f>
        <v>0</v>
      </c>
      <c r="H153" s="444"/>
      <c r="I153" s="444"/>
      <c r="J153" s="444"/>
      <c r="K153" s="444"/>
      <c r="L153" s="444"/>
      <c r="M153" s="444"/>
      <c r="N153" s="444"/>
      <c r="O153" s="53"/>
      <c r="P153" s="444"/>
      <c r="Q153" s="444"/>
      <c r="R153" s="444"/>
      <c r="S153" s="523">
        <f>S$132+S139+R$132+Q$132+N132+O132+P132+H132</f>
        <v>0</v>
      </c>
      <c r="T153" s="444"/>
      <c r="U153" s="444"/>
      <c r="V153" s="444"/>
      <c r="W153" s="444"/>
      <c r="X153" s="444"/>
      <c r="Y153" s="444"/>
      <c r="Z153" s="444"/>
      <c r="AA153" s="53"/>
      <c r="AB153" s="444"/>
      <c r="AC153" s="444"/>
      <c r="AD153" s="444"/>
      <c r="AE153" s="523">
        <f>AE$132+AE139+AD$132+AC$132+Z132+AA132+AB132+T132</f>
        <v>0</v>
      </c>
      <c r="AF153" s="444"/>
      <c r="AG153" s="444"/>
      <c r="AH153" s="444"/>
      <c r="AI153" s="444"/>
      <c r="AJ153" s="444"/>
      <c r="AK153" s="444"/>
      <c r="AL153" s="562"/>
    </row>
    <row r="154" spans="1:38">
      <c r="A154" s="472" t="s">
        <v>410</v>
      </c>
      <c r="B154" s="440"/>
      <c r="C154" s="188"/>
      <c r="D154" s="444"/>
      <c r="E154" s="444"/>
      <c r="F154" s="444"/>
      <c r="G154" s="444"/>
      <c r="H154" s="523">
        <f>H$132+H140+G$132+F$132+B132+C132+D132+E132</f>
        <v>0</v>
      </c>
      <c r="I154" s="444"/>
      <c r="J154" s="444"/>
      <c r="K154" s="444"/>
      <c r="L154" s="444"/>
      <c r="M154" s="444"/>
      <c r="N154" s="444"/>
      <c r="O154" s="188"/>
      <c r="P154" s="444"/>
      <c r="Q154" s="444"/>
      <c r="R154" s="444"/>
      <c r="S154" s="444"/>
      <c r="T154" s="523">
        <f>T$132+T140+S$132+R$132+N132+O132+P132+Q132</f>
        <v>0</v>
      </c>
      <c r="U154" s="444"/>
      <c r="V154" s="444"/>
      <c r="W154" s="444"/>
      <c r="X154" s="444"/>
      <c r="Y154" s="444"/>
      <c r="Z154" s="444"/>
      <c r="AA154" s="188"/>
      <c r="AB154" s="444"/>
      <c r="AC154" s="444"/>
      <c r="AD154" s="444"/>
      <c r="AE154" s="444"/>
      <c r="AF154" s="523">
        <f>AF$132+AF140+AE$132+AD$132+Z132+AA132+AB132+AC132</f>
        <v>0</v>
      </c>
      <c r="AG154" s="444"/>
      <c r="AH154" s="444"/>
      <c r="AI154" s="444"/>
      <c r="AJ154" s="444"/>
      <c r="AK154" s="444"/>
      <c r="AL154" s="562"/>
    </row>
    <row r="155" spans="1:38">
      <c r="A155" s="507" t="s">
        <v>411</v>
      </c>
      <c r="B155" s="53"/>
      <c r="C155" s="53"/>
      <c r="D155" s="444"/>
      <c r="E155" s="444"/>
      <c r="F155" s="444"/>
      <c r="G155" s="444"/>
      <c r="H155" s="444"/>
      <c r="I155" s="523">
        <f>I$132+I141+H$132+G$132+F132+E132+D132+C132+B132</f>
        <v>0</v>
      </c>
      <c r="J155" s="444"/>
      <c r="K155" s="444"/>
      <c r="L155" s="444"/>
      <c r="M155" s="444"/>
      <c r="N155" s="444"/>
      <c r="O155" s="53"/>
      <c r="P155" s="444"/>
      <c r="Q155" s="444"/>
      <c r="R155" s="444"/>
      <c r="S155" s="444"/>
      <c r="T155" s="444"/>
      <c r="U155" s="523">
        <f>U$132+U141+T$132+S$132+R132+Q132+P132+O132+N132</f>
        <v>0</v>
      </c>
      <c r="V155" s="444"/>
      <c r="W155" s="444"/>
      <c r="X155" s="444"/>
      <c r="Y155" s="444"/>
      <c r="Z155" s="444"/>
      <c r="AA155" s="53"/>
      <c r="AB155" s="444"/>
      <c r="AC155" s="444"/>
      <c r="AD155" s="444"/>
      <c r="AE155" s="444"/>
      <c r="AF155" s="444"/>
      <c r="AG155" s="523">
        <f>AG$132+AG141+AF$132+AE$132+AD132+AC132+AB132+AA132+Z132</f>
        <v>0</v>
      </c>
      <c r="AH155" s="444"/>
      <c r="AI155" s="444"/>
      <c r="AJ155" s="444"/>
      <c r="AK155" s="444"/>
      <c r="AL155" s="562"/>
    </row>
    <row r="156" spans="1:38">
      <c r="A156" s="508" t="s">
        <v>412</v>
      </c>
      <c r="B156" s="440"/>
      <c r="C156" s="188"/>
      <c r="D156" s="444"/>
      <c r="E156" s="444"/>
      <c r="F156" s="444"/>
      <c r="G156" s="444"/>
      <c r="H156" s="444"/>
      <c r="I156" s="444"/>
      <c r="J156" s="523">
        <f>J$132+J142+I$132+H$132++G132+F132+E132+D132+C132+B132</f>
        <v>0</v>
      </c>
      <c r="K156" s="444"/>
      <c r="L156" s="444"/>
      <c r="M156" s="444"/>
      <c r="N156" s="444"/>
      <c r="O156" s="188"/>
      <c r="P156" s="444"/>
      <c r="Q156" s="444"/>
      <c r="R156" s="444"/>
      <c r="S156" s="444"/>
      <c r="T156" s="444"/>
      <c r="U156" s="444"/>
      <c r="V156" s="523">
        <f>V$132+V142+U$132+T$132++S132+R132+Q132+P132+O132+N132</f>
        <v>0</v>
      </c>
      <c r="W156" s="444"/>
      <c r="X156" s="444"/>
      <c r="Y156" s="444"/>
      <c r="Z156" s="444"/>
      <c r="AA156" s="188"/>
      <c r="AB156" s="444"/>
      <c r="AC156" s="444"/>
      <c r="AD156" s="444"/>
      <c r="AE156" s="444"/>
      <c r="AF156" s="444"/>
      <c r="AG156" s="444"/>
      <c r="AH156" s="523">
        <f>AH$132+AH142+AG$132+AF$132++AE132+AD132+AC132+AB132+AA132+Z132</f>
        <v>0</v>
      </c>
      <c r="AI156" s="444"/>
      <c r="AJ156" s="444"/>
      <c r="AK156" s="444"/>
      <c r="AL156" s="562"/>
    </row>
    <row r="157" spans="1:38">
      <c r="A157" s="509" t="s">
        <v>413</v>
      </c>
      <c r="B157" s="53"/>
      <c r="C157" s="53"/>
      <c r="D157" s="444"/>
      <c r="E157" s="444"/>
      <c r="F157" s="444"/>
      <c r="G157" s="444"/>
      <c r="H157" s="444"/>
      <c r="I157" s="444"/>
      <c r="J157" s="444"/>
      <c r="K157" s="523">
        <f>K$132+K143+J$132+I$132++B132+C132+D132+E132+F132+G132+H132</f>
        <v>0</v>
      </c>
      <c r="L157" s="444"/>
      <c r="M157" s="444"/>
      <c r="N157" s="444"/>
      <c r="O157" s="53"/>
      <c r="P157" s="444"/>
      <c r="Q157" s="444"/>
      <c r="R157" s="444"/>
      <c r="S157" s="444"/>
      <c r="T157" s="444"/>
      <c r="U157" s="444"/>
      <c r="V157" s="444"/>
      <c r="W157" s="523">
        <f>W$132+W143+V$132+U$132++N132+O132+P132+Q132+R132+S132+T132</f>
        <v>0</v>
      </c>
      <c r="X157" s="444"/>
      <c r="Y157" s="444"/>
      <c r="Z157" s="444"/>
      <c r="AA157" s="53"/>
      <c r="AB157" s="444"/>
      <c r="AC157" s="444"/>
      <c r="AD157" s="444"/>
      <c r="AE157" s="444"/>
      <c r="AF157" s="444"/>
      <c r="AG157" s="444"/>
      <c r="AH157" s="444"/>
      <c r="AI157" s="523">
        <f>AI$132+AI143+AH$132+AG$132++Z132+AA132+AB132+AC132+AD132+AE132+AF132</f>
        <v>0</v>
      </c>
      <c r="AJ157" s="444"/>
      <c r="AK157" s="444"/>
      <c r="AL157" s="562"/>
    </row>
    <row r="158" spans="1:38">
      <c r="A158" s="510" t="s">
        <v>414</v>
      </c>
      <c r="B158" s="440"/>
      <c r="C158" s="188"/>
      <c r="D158" s="444"/>
      <c r="E158" s="444"/>
      <c r="F158" s="444"/>
      <c r="G158" s="444"/>
      <c r="H158" s="444"/>
      <c r="I158" s="444"/>
      <c r="J158" s="444"/>
      <c r="K158" s="444"/>
      <c r="L158" s="523">
        <f>L$132+L144+K$132+J$132+I132+H132+G132+F132+E132+D132+C132+B132</f>
        <v>0</v>
      </c>
      <c r="M158" s="444"/>
      <c r="N158" s="444"/>
      <c r="O158" s="188"/>
      <c r="P158" s="444"/>
      <c r="Q158" s="444"/>
      <c r="R158" s="444"/>
      <c r="S158" s="444"/>
      <c r="T158" s="444"/>
      <c r="U158" s="444"/>
      <c r="V158" s="444"/>
      <c r="W158" s="444"/>
      <c r="X158" s="523">
        <f>X$132+X144+W$132+V$132+U132+T132+S132+R132+Q132+P132+O132+N132</f>
        <v>0</v>
      </c>
      <c r="Y158" s="444"/>
      <c r="Z158" s="444"/>
      <c r="AA158" s="188"/>
      <c r="AB158" s="444"/>
      <c r="AC158" s="444"/>
      <c r="AD158" s="444"/>
      <c r="AE158" s="444"/>
      <c r="AF158" s="444"/>
      <c r="AG158" s="444"/>
      <c r="AH158" s="444"/>
      <c r="AI158" s="444"/>
      <c r="AJ158" s="523">
        <f>AJ$132+AJ144+AI$132+AH$132+AG132+AF132+AE132+AD132+AC132+AB132+AA132+Z132</f>
        <v>0</v>
      </c>
      <c r="AK158" s="444"/>
      <c r="AL158" s="562"/>
    </row>
    <row r="159" spans="1:38">
      <c r="A159" s="511" t="s">
        <v>415</v>
      </c>
      <c r="B159" s="53"/>
      <c r="C159" s="53"/>
      <c r="D159" s="444"/>
      <c r="E159" s="444"/>
      <c r="F159" s="444"/>
      <c r="G159" s="444"/>
      <c r="H159" s="444"/>
      <c r="I159" s="444"/>
      <c r="J159" s="444"/>
      <c r="K159" s="444"/>
      <c r="L159" s="444"/>
      <c r="M159" s="523">
        <f>M$132+M145+L$132+K$132+J132+I132+H132+G132+F132+E132+D132+C132+B132</f>
        <v>0</v>
      </c>
      <c r="N159" s="444"/>
      <c r="O159" s="53"/>
      <c r="P159" s="444"/>
      <c r="Q159" s="444"/>
      <c r="R159" s="444"/>
      <c r="S159" s="444"/>
      <c r="T159" s="444"/>
      <c r="U159" s="444"/>
      <c r="V159" s="444"/>
      <c r="W159" s="444"/>
      <c r="X159" s="444"/>
      <c r="Y159" s="523">
        <f>Y$132+Y145+X$132+W$132+V132+U132+T132+S132+R132+Q132+P132+O132+N132</f>
        <v>0</v>
      </c>
      <c r="Z159" s="444"/>
      <c r="AA159" s="53"/>
      <c r="AB159" s="444"/>
      <c r="AC159" s="444"/>
      <c r="AD159" s="444"/>
      <c r="AE159" s="444"/>
      <c r="AF159" s="444"/>
      <c r="AG159" s="444"/>
      <c r="AH159" s="444"/>
      <c r="AI159" s="444"/>
      <c r="AJ159" s="444"/>
      <c r="AK159" s="523">
        <f>AK$132+AK145+AJ$132+AI$132+AH132+AG132+AF132+AE132+AD132+AC132+AB132+AA132+Z132</f>
        <v>0</v>
      </c>
      <c r="AL159" s="562"/>
    </row>
    <row r="160" spans="1:38" ht="12.9" thickBot="1">
      <c r="A160" s="512" t="s">
        <v>416</v>
      </c>
      <c r="B160" s="513"/>
      <c r="C160" s="191"/>
      <c r="D160" s="514"/>
      <c r="E160" s="514"/>
      <c r="F160" s="514"/>
      <c r="G160" s="514"/>
      <c r="H160" s="514"/>
      <c r="I160" s="514"/>
      <c r="J160" s="514"/>
      <c r="K160" s="514"/>
      <c r="L160" s="514"/>
      <c r="M160" s="514"/>
      <c r="N160" s="563">
        <f>N$132+N146+M$132+L$132+K132+J132+I132+H132+G132+F132+E132+D132+C132+B132</f>
        <v>0</v>
      </c>
      <c r="O160" s="191"/>
      <c r="P160" s="514"/>
      <c r="Q160" s="514"/>
      <c r="R160" s="514"/>
      <c r="S160" s="514"/>
      <c r="T160" s="514"/>
      <c r="U160" s="514"/>
      <c r="V160" s="514"/>
      <c r="W160" s="514"/>
      <c r="X160" s="514"/>
      <c r="Y160" s="514"/>
      <c r="Z160" s="563">
        <f>Z$132+Z146+Y$132+X$132+W132+V132+U132+T132+S132+R132+Q132+P132+O132</f>
        <v>0</v>
      </c>
      <c r="AA160" s="191"/>
      <c r="AB160" s="514"/>
      <c r="AC160" s="514"/>
      <c r="AD160" s="514"/>
      <c r="AE160" s="514"/>
      <c r="AF160" s="514"/>
      <c r="AG160" s="514"/>
      <c r="AH160" s="514"/>
      <c r="AI160" s="514"/>
      <c r="AJ160" s="514"/>
      <c r="AK160" s="514"/>
      <c r="AL160" s="564">
        <f>AL$132+AL146+AK$132+AJ$132+AI132+AH132+AG132+AF132+AE132+AD132+AC132+AB132+AA132</f>
        <v>0</v>
      </c>
    </row>
    <row r="161" spans="1:38" s="448" customFormat="1" ht="11.25" customHeight="1">
      <c r="A161" s="445" t="s">
        <v>425</v>
      </c>
      <c r="B161" s="446">
        <f>L22</f>
        <v>0</v>
      </c>
      <c r="C161" s="447">
        <f>B161-B162</f>
        <v>0</v>
      </c>
      <c r="D161" s="447">
        <f>C161-C162</f>
        <v>0</v>
      </c>
      <c r="E161" s="447">
        <f t="shared" ref="E161:AL161" si="305">D161-D162</f>
        <v>0</v>
      </c>
      <c r="F161" s="447">
        <f t="shared" si="305"/>
        <v>0</v>
      </c>
      <c r="G161" s="447">
        <f t="shared" si="305"/>
        <v>0</v>
      </c>
      <c r="H161" s="447">
        <f t="shared" si="305"/>
        <v>0</v>
      </c>
      <c r="I161" s="447">
        <f t="shared" si="305"/>
        <v>0</v>
      </c>
      <c r="J161" s="447">
        <f t="shared" si="305"/>
        <v>0</v>
      </c>
      <c r="K161" s="447">
        <f t="shared" si="305"/>
        <v>0</v>
      </c>
      <c r="L161" s="447">
        <f t="shared" si="305"/>
        <v>0</v>
      </c>
      <c r="M161" s="447">
        <f t="shared" si="305"/>
        <v>0</v>
      </c>
      <c r="N161" s="447">
        <f t="shared" si="305"/>
        <v>0</v>
      </c>
      <c r="O161" s="447">
        <f t="shared" si="305"/>
        <v>0</v>
      </c>
      <c r="P161" s="447">
        <f t="shared" si="305"/>
        <v>0</v>
      </c>
      <c r="Q161" s="447">
        <f t="shared" si="305"/>
        <v>0</v>
      </c>
      <c r="R161" s="447">
        <f t="shared" si="305"/>
        <v>0</v>
      </c>
      <c r="S161" s="447">
        <f t="shared" si="305"/>
        <v>0</v>
      </c>
      <c r="T161" s="447">
        <f t="shared" si="305"/>
        <v>0</v>
      </c>
      <c r="U161" s="447">
        <f t="shared" si="305"/>
        <v>0</v>
      </c>
      <c r="V161" s="447">
        <f t="shared" si="305"/>
        <v>0</v>
      </c>
      <c r="W161" s="447">
        <f t="shared" si="305"/>
        <v>0</v>
      </c>
      <c r="X161" s="447">
        <f t="shared" si="305"/>
        <v>0</v>
      </c>
      <c r="Y161" s="447">
        <f t="shared" si="305"/>
        <v>0</v>
      </c>
      <c r="Z161" s="447">
        <f t="shared" si="305"/>
        <v>0</v>
      </c>
      <c r="AA161" s="447">
        <f t="shared" si="305"/>
        <v>0</v>
      </c>
      <c r="AB161" s="447">
        <f t="shared" si="305"/>
        <v>0</v>
      </c>
      <c r="AC161" s="447">
        <f t="shared" si="305"/>
        <v>0</v>
      </c>
      <c r="AD161" s="447">
        <f t="shared" si="305"/>
        <v>0</v>
      </c>
      <c r="AE161" s="447">
        <f t="shared" si="305"/>
        <v>0</v>
      </c>
      <c r="AF161" s="447">
        <f t="shared" si="305"/>
        <v>0</v>
      </c>
      <c r="AG161" s="447">
        <f t="shared" si="305"/>
        <v>0</v>
      </c>
      <c r="AH161" s="447">
        <f t="shared" si="305"/>
        <v>0</v>
      </c>
      <c r="AI161" s="447">
        <f t="shared" si="305"/>
        <v>0</v>
      </c>
      <c r="AJ161" s="447">
        <f t="shared" si="305"/>
        <v>0</v>
      </c>
      <c r="AK161" s="447">
        <f t="shared" si="305"/>
        <v>0</v>
      </c>
      <c r="AL161" s="447">
        <f t="shared" si="305"/>
        <v>0</v>
      </c>
    </row>
    <row r="162" spans="1:38" s="448" customFormat="1" ht="11.25" customHeight="1">
      <c r="A162" s="440" t="s">
        <v>403</v>
      </c>
      <c r="B162" s="446">
        <f>K29</f>
        <v>0</v>
      </c>
      <c r="C162" s="447">
        <f>L29/3</f>
        <v>0</v>
      </c>
      <c r="D162" s="906">
        <f>C162</f>
        <v>0</v>
      </c>
      <c r="E162" s="906">
        <f>D162</f>
        <v>0</v>
      </c>
      <c r="F162" s="904">
        <f>M29/3</f>
        <v>0</v>
      </c>
      <c r="G162" s="906">
        <f>F162</f>
        <v>0</v>
      </c>
      <c r="H162" s="906">
        <f>G162</f>
        <v>0</v>
      </c>
      <c r="I162" s="904">
        <f>N29/3</f>
        <v>0</v>
      </c>
      <c r="J162" s="906">
        <f>I162</f>
        <v>0</v>
      </c>
      <c r="K162" s="906">
        <f>J162</f>
        <v>0</v>
      </c>
      <c r="L162" s="904">
        <f>O29/3</f>
        <v>0</v>
      </c>
      <c r="M162" s="906">
        <f>L162</f>
        <v>0</v>
      </c>
      <c r="N162" s="906">
        <f>M162</f>
        <v>0</v>
      </c>
      <c r="O162" s="904">
        <f>P29/3</f>
        <v>0</v>
      </c>
      <c r="P162" s="906">
        <f>O162</f>
        <v>0</v>
      </c>
      <c r="Q162" s="906">
        <f>P162</f>
        <v>0</v>
      </c>
      <c r="R162" s="447">
        <f>Q29/3</f>
        <v>0</v>
      </c>
      <c r="S162" s="906">
        <f>R162</f>
        <v>0</v>
      </c>
      <c r="T162" s="906">
        <f>S162</f>
        <v>0</v>
      </c>
      <c r="U162" s="904">
        <f>R29/3</f>
        <v>0</v>
      </c>
      <c r="V162" s="906">
        <f>U162</f>
        <v>0</v>
      </c>
      <c r="W162" s="906">
        <f>V162</f>
        <v>0</v>
      </c>
      <c r="X162" s="904">
        <f>S29/3</f>
        <v>0</v>
      </c>
      <c r="Y162" s="906">
        <f>X162</f>
        <v>0</v>
      </c>
      <c r="Z162" s="906">
        <f>Y162</f>
        <v>0</v>
      </c>
      <c r="AA162" s="904">
        <f>T29/3</f>
        <v>0</v>
      </c>
      <c r="AB162" s="906">
        <f>AA162</f>
        <v>0</v>
      </c>
      <c r="AC162" s="906">
        <f>AB162</f>
        <v>0</v>
      </c>
      <c r="AD162" s="904">
        <f>U29/3</f>
        <v>0</v>
      </c>
      <c r="AE162" s="906">
        <f>AD162</f>
        <v>0</v>
      </c>
      <c r="AF162" s="906">
        <f>AE162</f>
        <v>0</v>
      </c>
      <c r="AG162" s="904">
        <f>V29/3</f>
        <v>0</v>
      </c>
      <c r="AH162" s="906">
        <f>AG162</f>
        <v>0</v>
      </c>
      <c r="AI162" s="906">
        <f>AH162</f>
        <v>0</v>
      </c>
      <c r="AJ162" s="904">
        <f>W29/3</f>
        <v>0</v>
      </c>
      <c r="AK162" s="906">
        <f>AJ162</f>
        <v>0</v>
      </c>
      <c r="AL162" s="906">
        <f>AK162</f>
        <v>0</v>
      </c>
    </row>
    <row r="163" spans="1:38" s="448" customFormat="1" ht="11.25" customHeight="1">
      <c r="A163" s="440" t="s">
        <v>404</v>
      </c>
      <c r="B163" s="446">
        <f>K28</f>
        <v>0</v>
      </c>
      <c r="C163" s="519">
        <f>L27</f>
        <v>0</v>
      </c>
      <c r="D163" s="907">
        <f>C163</f>
        <v>0</v>
      </c>
      <c r="E163" s="907">
        <f>D163</f>
        <v>0</v>
      </c>
      <c r="F163" s="907">
        <f>M27</f>
        <v>0</v>
      </c>
      <c r="G163" s="907">
        <f>F163</f>
        <v>0</v>
      </c>
      <c r="H163" s="907">
        <f>G163</f>
        <v>0</v>
      </c>
      <c r="I163" s="907">
        <f>N27</f>
        <v>0</v>
      </c>
      <c r="J163" s="907">
        <f>I163</f>
        <v>0</v>
      </c>
      <c r="K163" s="907">
        <f>J163</f>
        <v>0</v>
      </c>
      <c r="L163" s="905">
        <f>O27</f>
        <v>0</v>
      </c>
      <c r="M163" s="907">
        <f>L163</f>
        <v>0</v>
      </c>
      <c r="N163" s="907">
        <f>M163</f>
        <v>0</v>
      </c>
      <c r="O163" s="904">
        <f>P27</f>
        <v>0</v>
      </c>
      <c r="P163" s="907">
        <f>O163</f>
        <v>0</v>
      </c>
      <c r="Q163" s="907">
        <f>P163</f>
        <v>0</v>
      </c>
      <c r="R163" s="447">
        <f>Q27</f>
        <v>0</v>
      </c>
      <c r="S163" s="907">
        <f>R163</f>
        <v>0</v>
      </c>
      <c r="T163" s="907">
        <f>S163</f>
        <v>0</v>
      </c>
      <c r="U163" s="904">
        <f>R27</f>
        <v>0</v>
      </c>
      <c r="V163" s="907">
        <f>U163</f>
        <v>0</v>
      </c>
      <c r="W163" s="907">
        <f>V163</f>
        <v>0</v>
      </c>
      <c r="X163" s="904">
        <f>S27</f>
        <v>0</v>
      </c>
      <c r="Y163" s="907">
        <f>X163</f>
        <v>0</v>
      </c>
      <c r="Z163" s="907">
        <f>Y163</f>
        <v>0</v>
      </c>
      <c r="AA163" s="904">
        <f>T27</f>
        <v>0</v>
      </c>
      <c r="AB163" s="907">
        <f>AA163</f>
        <v>0</v>
      </c>
      <c r="AC163" s="907">
        <f>AB163</f>
        <v>0</v>
      </c>
      <c r="AD163" s="904">
        <f>U27</f>
        <v>0</v>
      </c>
      <c r="AE163" s="907">
        <f>AD163</f>
        <v>0</v>
      </c>
      <c r="AF163" s="907">
        <f>AE163</f>
        <v>0</v>
      </c>
      <c r="AG163" s="904">
        <f>V27</f>
        <v>0</v>
      </c>
      <c r="AH163" s="907">
        <f>AG163</f>
        <v>0</v>
      </c>
      <c r="AI163" s="907">
        <f>AH163</f>
        <v>0</v>
      </c>
      <c r="AJ163" s="904">
        <f>W27</f>
        <v>0</v>
      </c>
      <c r="AK163" s="907">
        <f>AJ163</f>
        <v>0</v>
      </c>
      <c r="AL163" s="907">
        <f>AK163</f>
        <v>0</v>
      </c>
    </row>
    <row r="164" spans="1:38">
      <c r="A164" s="452" t="s">
        <v>406</v>
      </c>
      <c r="B164" s="453">
        <f>K28</f>
        <v>0</v>
      </c>
      <c r="L164" s="189"/>
      <c r="M164" s="189"/>
      <c r="N164" s="454">
        <f>SUM(C163:N163)</f>
        <v>0</v>
      </c>
      <c r="O164" s="189"/>
      <c r="P164" s="91"/>
      <c r="Z164" s="454">
        <f>SUM(O163:Z163)</f>
        <v>0</v>
      </c>
      <c r="AL164" t="s">
        <v>0</v>
      </c>
    </row>
    <row r="165" spans="1:38">
      <c r="A165" s="455" t="s">
        <v>407</v>
      </c>
      <c r="B165" s="68"/>
      <c r="C165" s="458">
        <f>$L$27*C$76</f>
        <v>0</v>
      </c>
      <c r="D165" s="189"/>
      <c r="E165" s="189"/>
      <c r="F165" s="189"/>
      <c r="G165" s="189"/>
      <c r="H165" s="189"/>
      <c r="I165" s="189"/>
      <c r="J165" s="189"/>
      <c r="K165" s="189"/>
      <c r="L165" s="189"/>
      <c r="M165" s="189"/>
      <c r="O165" s="459">
        <f>SUM(D163:O163)</f>
        <v>0</v>
      </c>
      <c r="P165" s="91"/>
      <c r="AA165" s="459">
        <f>SUM(P163:AA163)</f>
        <v>0</v>
      </c>
      <c r="AB165" s="91"/>
    </row>
    <row r="166" spans="1:38">
      <c r="A166" s="457" t="s">
        <v>418</v>
      </c>
      <c r="B166" s="53"/>
      <c r="C166" s="53"/>
      <c r="D166" s="460">
        <f>$L$27*D$76</f>
        <v>0</v>
      </c>
      <c r="E166" s="444"/>
      <c r="F166" s="444"/>
      <c r="G166" s="444"/>
      <c r="H166" s="444"/>
      <c r="I166" s="444"/>
      <c r="J166" s="444"/>
      <c r="K166" s="444"/>
      <c r="L166" s="444"/>
      <c r="M166" s="444"/>
      <c r="N166" s="444"/>
      <c r="O166" s="189"/>
      <c r="P166" s="461">
        <f>SUM(E163:P163)</f>
        <v>0</v>
      </c>
      <c r="AA166" s="189"/>
      <c r="AB166" s="461">
        <f>SUM(Q163:AB163)</f>
        <v>0</v>
      </c>
    </row>
    <row r="167" spans="1:38">
      <c r="A167" s="903" t="s">
        <v>417</v>
      </c>
      <c r="B167" s="68"/>
      <c r="C167" s="188"/>
      <c r="D167" s="444"/>
      <c r="E167" s="463">
        <f>$L$27*E$76</f>
        <v>0</v>
      </c>
      <c r="F167" s="444"/>
      <c r="G167" s="444"/>
      <c r="H167" s="444"/>
      <c r="I167" s="444"/>
      <c r="J167" s="444"/>
      <c r="K167" s="444"/>
      <c r="L167" s="444"/>
      <c r="M167" s="444"/>
      <c r="N167" s="444"/>
      <c r="O167" s="189"/>
      <c r="P167" s="91"/>
      <c r="Q167" s="462">
        <f>SUM(F163:Q163)</f>
        <v>0</v>
      </c>
      <c r="AA167" s="189"/>
      <c r="AB167" s="91"/>
      <c r="AC167" s="462">
        <f>SUM(R163:AC163)</f>
        <v>0</v>
      </c>
    </row>
    <row r="168" spans="1:38">
      <c r="A168" s="456" t="s">
        <v>408</v>
      </c>
      <c r="B168" s="68"/>
      <c r="C168" s="188"/>
      <c r="D168" s="444"/>
      <c r="E168" s="444"/>
      <c r="F168" s="464">
        <f>F$76*$M$27</f>
        <v>0</v>
      </c>
      <c r="G168" s="444"/>
      <c r="H168" s="444"/>
      <c r="I168" s="444"/>
      <c r="J168" s="444"/>
      <c r="K168" s="444"/>
      <c r="L168" s="444"/>
      <c r="M168" s="444"/>
      <c r="N168" s="444"/>
      <c r="O168" s="189"/>
      <c r="P168" s="91"/>
      <c r="R168" s="465">
        <f>SUM(G163:R163)</f>
        <v>0</v>
      </c>
      <c r="AA168" s="189"/>
      <c r="AB168" s="91"/>
      <c r="AD168" s="465">
        <f>SUM(S163:AD163)</f>
        <v>0</v>
      </c>
    </row>
    <row r="169" spans="1:38">
      <c r="A169" s="468" t="s">
        <v>409</v>
      </c>
      <c r="B169" s="53"/>
      <c r="C169" s="53"/>
      <c r="D169" s="444"/>
      <c r="E169" s="444"/>
      <c r="F169" s="444"/>
      <c r="G169" s="467">
        <f>G$76*$M$27</f>
        <v>0</v>
      </c>
      <c r="H169" s="444"/>
      <c r="I169" s="444"/>
      <c r="J169" s="444"/>
      <c r="K169" s="444"/>
      <c r="L169" s="444"/>
      <c r="M169" s="444"/>
      <c r="N169" s="444"/>
      <c r="O169" s="189"/>
      <c r="P169" s="91"/>
      <c r="S169" s="466">
        <f>SUM(H163:S163)</f>
        <v>0</v>
      </c>
      <c r="AA169" s="189"/>
      <c r="AB169" s="91"/>
      <c r="AE169" s="466">
        <f>SUM(T163:AE163)</f>
        <v>0</v>
      </c>
    </row>
    <row r="170" spans="1:38">
      <c r="A170" s="472" t="s">
        <v>410</v>
      </c>
      <c r="B170" s="68"/>
      <c r="C170" s="188"/>
      <c r="D170" s="444"/>
      <c r="E170" s="444"/>
      <c r="F170" s="444"/>
      <c r="G170" s="444"/>
      <c r="H170" s="473">
        <f>H$76*$M$27</f>
        <v>0</v>
      </c>
      <c r="I170" s="444"/>
      <c r="J170" s="444"/>
      <c r="K170" s="444"/>
      <c r="L170" s="444"/>
      <c r="M170" s="444"/>
      <c r="N170" s="444"/>
      <c r="O170" s="189"/>
      <c r="P170" s="91"/>
      <c r="T170" s="474">
        <f>SUM(I163:T163)</f>
        <v>0</v>
      </c>
      <c r="AA170" s="189"/>
      <c r="AB170" s="91"/>
      <c r="AF170" s="474">
        <f>SUM(U163:AF163)</f>
        <v>0</v>
      </c>
    </row>
    <row r="171" spans="1:38">
      <c r="A171" s="469" t="s">
        <v>411</v>
      </c>
      <c r="B171" s="53"/>
      <c r="C171" s="53"/>
      <c r="D171" s="444"/>
      <c r="E171" s="444"/>
      <c r="F171" s="444"/>
      <c r="G171" s="444"/>
      <c r="H171" s="444"/>
      <c r="I171" s="479">
        <f>I$76*$N$27</f>
        <v>0</v>
      </c>
      <c r="J171" s="444"/>
      <c r="K171" s="444"/>
      <c r="L171" s="444"/>
      <c r="M171" s="444"/>
      <c r="N171" s="444"/>
      <c r="O171" s="189"/>
      <c r="P171" s="91"/>
      <c r="U171" s="475">
        <f>SUM(J163:U163)</f>
        <v>0</v>
      </c>
      <c r="AA171" s="189"/>
      <c r="AB171" s="91"/>
      <c r="AG171" s="475">
        <f>SUM(V163:AG163)</f>
        <v>0</v>
      </c>
    </row>
    <row r="172" spans="1:38">
      <c r="A172" s="470" t="s">
        <v>412</v>
      </c>
      <c r="B172" s="68"/>
      <c r="C172" s="188"/>
      <c r="D172" s="444"/>
      <c r="E172" s="444"/>
      <c r="F172" s="444"/>
      <c r="G172" s="444"/>
      <c r="H172" s="444"/>
      <c r="I172" s="444"/>
      <c r="J172" s="480">
        <f>J$76*$N$27</f>
        <v>0</v>
      </c>
      <c r="K172" s="444"/>
      <c r="L172" s="444"/>
      <c r="M172" s="444"/>
      <c r="N172" s="444"/>
      <c r="O172" s="189"/>
      <c r="P172" s="91"/>
      <c r="V172" s="476">
        <f>SUM(K163:V163)</f>
        <v>0</v>
      </c>
      <c r="AA172" s="189"/>
      <c r="AB172" s="91"/>
      <c r="AH172" s="476">
        <f>SUM(W163:AH163)</f>
        <v>0</v>
      </c>
    </row>
    <row r="173" spans="1:38">
      <c r="A173" s="471" t="s">
        <v>413</v>
      </c>
      <c r="B173" s="53"/>
      <c r="C173" s="53"/>
      <c r="D173" s="444"/>
      <c r="E173" s="444"/>
      <c r="F173" s="444"/>
      <c r="G173" s="444"/>
      <c r="H173" s="444"/>
      <c r="I173" s="444"/>
      <c r="J173" s="444"/>
      <c r="K173" s="481">
        <f>K$76*$N$27</f>
        <v>0</v>
      </c>
      <c r="L173" s="444"/>
      <c r="M173" s="444"/>
      <c r="N173" s="444"/>
      <c r="O173" s="189"/>
      <c r="P173" s="91"/>
      <c r="W173" s="477">
        <f>SUM(L163:W163)</f>
        <v>0</v>
      </c>
      <c r="AA173" s="189"/>
      <c r="AB173" s="91"/>
      <c r="AI173" s="477">
        <f>SUM(X163:AI163)</f>
        <v>0</v>
      </c>
    </row>
    <row r="174" spans="1:38">
      <c r="A174" s="482" t="s">
        <v>414</v>
      </c>
      <c r="B174" s="68"/>
      <c r="C174" s="188"/>
      <c r="D174" s="444"/>
      <c r="E174" s="444"/>
      <c r="F174" s="444"/>
      <c r="G174" s="444"/>
      <c r="H174" s="444"/>
      <c r="I174" s="444"/>
      <c r="J174" s="444"/>
      <c r="K174" s="444"/>
      <c r="L174" s="483">
        <f>L$76*$O$27</f>
        <v>0</v>
      </c>
      <c r="M174" s="444"/>
      <c r="N174" s="444"/>
      <c r="O174" s="189"/>
      <c r="P174" s="91"/>
      <c r="X174" s="478">
        <f>SUM(M163:X163)</f>
        <v>0</v>
      </c>
      <c r="AA174" s="189"/>
      <c r="AB174" s="91"/>
      <c r="AJ174" s="478">
        <f>SUM(Y163:AJ163)</f>
        <v>0</v>
      </c>
    </row>
    <row r="175" spans="1:38">
      <c r="A175" s="486" t="s">
        <v>415</v>
      </c>
      <c r="B175" s="53"/>
      <c r="C175" s="53"/>
      <c r="D175" s="444"/>
      <c r="E175" s="444"/>
      <c r="F175" s="444"/>
      <c r="G175" s="444"/>
      <c r="H175" s="444"/>
      <c r="I175" s="444"/>
      <c r="J175" s="444"/>
      <c r="K175" s="444"/>
      <c r="L175" s="444"/>
      <c r="M175" s="485">
        <f>M$76*$O$27</f>
        <v>0</v>
      </c>
      <c r="N175" s="444"/>
      <c r="O175" s="189"/>
      <c r="P175" s="91"/>
      <c r="Y175" s="484">
        <f>SUM(N163:Y163)</f>
        <v>0</v>
      </c>
      <c r="AA175" s="189"/>
      <c r="AB175" s="91"/>
      <c r="AK175" s="484">
        <f>SUM(Z163:AK163)</f>
        <v>0</v>
      </c>
    </row>
    <row r="176" spans="1:38">
      <c r="A176" s="487" t="s">
        <v>416</v>
      </c>
      <c r="B176" s="68"/>
      <c r="C176" s="188"/>
      <c r="D176" s="444"/>
      <c r="E176" s="444"/>
      <c r="F176" s="444"/>
      <c r="G176" s="444"/>
      <c r="H176" s="444"/>
      <c r="I176" s="444"/>
      <c r="J176" s="444"/>
      <c r="K176" s="444"/>
      <c r="L176" s="444"/>
      <c r="M176" s="444"/>
      <c r="N176" s="488">
        <f>N$76*$O$27</f>
        <v>0</v>
      </c>
      <c r="O176" s="189"/>
      <c r="P176" s="91"/>
      <c r="Z176" s="489">
        <f>SUM(O163:Z163)</f>
        <v>0</v>
      </c>
      <c r="AA176" s="189"/>
      <c r="AB176" s="91"/>
      <c r="AL176" s="489">
        <f>SUM(AA163:AL163)</f>
        <v>0</v>
      </c>
    </row>
    <row r="177" spans="1:41" ht="12.9" thickBot="1">
      <c r="A177" s="152"/>
      <c r="B177" s="540"/>
      <c r="C177" s="541"/>
      <c r="D177" s="542"/>
      <c r="E177" s="542"/>
      <c r="F177" s="542"/>
      <c r="G177" s="542"/>
      <c r="H177" s="542"/>
      <c r="I177" s="542"/>
      <c r="J177" s="542"/>
      <c r="K177" s="542"/>
      <c r="L177" s="542"/>
      <c r="M177" s="542"/>
      <c r="N177" s="542"/>
      <c r="O177" s="542"/>
      <c r="P177" s="542"/>
      <c r="Q177" s="152"/>
      <c r="R177" s="152"/>
      <c r="S177" s="152"/>
      <c r="T177" s="152"/>
      <c r="U177" s="152"/>
      <c r="V177" s="152"/>
      <c r="W177" s="152"/>
      <c r="X177" s="152"/>
      <c r="Y177" s="152"/>
      <c r="Z177" s="152"/>
      <c r="AA177" s="152"/>
      <c r="AB177" s="152"/>
      <c r="AC177" s="152"/>
      <c r="AD177" s="152"/>
      <c r="AE177" s="152"/>
      <c r="AF177" s="152"/>
      <c r="AG177" s="152"/>
      <c r="AH177" s="152"/>
      <c r="AI177" s="152"/>
      <c r="AJ177" s="152"/>
      <c r="AK177" s="152"/>
      <c r="AL177" s="152"/>
    </row>
    <row r="178" spans="1:41" ht="12.9" thickBot="1">
      <c r="A178" s="543" t="s">
        <v>462</v>
      </c>
      <c r="B178" s="544"/>
      <c r="C178" s="545"/>
      <c r="D178" s="546"/>
      <c r="E178" s="546"/>
      <c r="F178" s="546"/>
      <c r="G178" s="546"/>
      <c r="H178" s="546"/>
      <c r="I178" s="546"/>
      <c r="J178" s="546"/>
      <c r="K178" s="546"/>
      <c r="L178" s="546"/>
      <c r="M178" s="546"/>
      <c r="N178" s="546"/>
      <c r="O178" s="546"/>
      <c r="P178" s="546"/>
      <c r="Q178" s="547"/>
      <c r="R178" s="547"/>
      <c r="S178" s="547"/>
      <c r="T178" s="547"/>
      <c r="U178" s="547"/>
      <c r="V178" s="547"/>
      <c r="W178" s="547"/>
      <c r="X178" s="547"/>
      <c r="Y178" s="547"/>
      <c r="Z178" s="547"/>
      <c r="AA178" s="547"/>
      <c r="AB178" s="547"/>
      <c r="AC178" s="547"/>
      <c r="AD178" s="547"/>
      <c r="AE178" s="547"/>
      <c r="AF178" s="547"/>
      <c r="AG178" s="547"/>
      <c r="AH178" s="547"/>
      <c r="AI178" s="547"/>
      <c r="AJ178" s="547"/>
      <c r="AK178" s="547"/>
      <c r="AL178" s="547"/>
    </row>
    <row r="179" spans="1:41">
      <c r="A179" s="497" t="s">
        <v>456</v>
      </c>
      <c r="B179" s="498">
        <f>B77+B95+B113</f>
        <v>0</v>
      </c>
      <c r="C179" s="498">
        <f t="shared" ref="C179:AL179" si="306">C77+C95+C113</f>
        <v>0</v>
      </c>
      <c r="D179" s="498">
        <f t="shared" si="306"/>
        <v>0</v>
      </c>
      <c r="E179" s="498">
        <f t="shared" si="306"/>
        <v>0</v>
      </c>
      <c r="F179" s="498">
        <f t="shared" si="306"/>
        <v>0</v>
      </c>
      <c r="G179" s="498">
        <f t="shared" si="306"/>
        <v>0</v>
      </c>
      <c r="H179" s="498">
        <f t="shared" si="306"/>
        <v>0</v>
      </c>
      <c r="I179" s="498">
        <f t="shared" si="306"/>
        <v>0</v>
      </c>
      <c r="J179" s="498">
        <f t="shared" si="306"/>
        <v>0</v>
      </c>
      <c r="K179" s="498">
        <f t="shared" si="306"/>
        <v>0</v>
      </c>
      <c r="L179" s="498">
        <f t="shared" si="306"/>
        <v>0</v>
      </c>
      <c r="M179" s="498">
        <f t="shared" si="306"/>
        <v>0</v>
      </c>
      <c r="N179" s="498">
        <f t="shared" si="306"/>
        <v>0</v>
      </c>
      <c r="O179" s="498">
        <f t="shared" si="306"/>
        <v>0</v>
      </c>
      <c r="P179" s="498">
        <f t="shared" si="306"/>
        <v>0</v>
      </c>
      <c r="Q179" s="498">
        <f t="shared" si="306"/>
        <v>0</v>
      </c>
      <c r="R179" s="498">
        <f t="shared" si="306"/>
        <v>0</v>
      </c>
      <c r="S179" s="498">
        <f t="shared" si="306"/>
        <v>0</v>
      </c>
      <c r="T179" s="498">
        <f t="shared" si="306"/>
        <v>0</v>
      </c>
      <c r="U179" s="498">
        <f t="shared" si="306"/>
        <v>0</v>
      </c>
      <c r="V179" s="498">
        <f t="shared" si="306"/>
        <v>0</v>
      </c>
      <c r="W179" s="498">
        <f t="shared" si="306"/>
        <v>0</v>
      </c>
      <c r="X179" s="498">
        <f t="shared" si="306"/>
        <v>0</v>
      </c>
      <c r="Y179" s="498">
        <f t="shared" si="306"/>
        <v>0</v>
      </c>
      <c r="Z179" s="498">
        <f t="shared" si="306"/>
        <v>0</v>
      </c>
      <c r="AA179" s="498">
        <f t="shared" si="306"/>
        <v>0</v>
      </c>
      <c r="AB179" s="498">
        <f t="shared" si="306"/>
        <v>0</v>
      </c>
      <c r="AC179" s="498">
        <f t="shared" si="306"/>
        <v>0</v>
      </c>
      <c r="AD179" s="498">
        <f t="shared" si="306"/>
        <v>0</v>
      </c>
      <c r="AE179" s="498">
        <f t="shared" si="306"/>
        <v>0</v>
      </c>
      <c r="AF179" s="498">
        <f t="shared" si="306"/>
        <v>0</v>
      </c>
      <c r="AG179" s="498">
        <f t="shared" si="306"/>
        <v>0</v>
      </c>
      <c r="AH179" s="498">
        <f t="shared" si="306"/>
        <v>0</v>
      </c>
      <c r="AI179" s="498">
        <f t="shared" si="306"/>
        <v>0</v>
      </c>
      <c r="AJ179" s="498">
        <f t="shared" si="306"/>
        <v>0</v>
      </c>
      <c r="AK179" s="498">
        <f t="shared" si="306"/>
        <v>0</v>
      </c>
      <c r="AL179" s="499">
        <f t="shared" si="306"/>
        <v>0</v>
      </c>
    </row>
    <row r="180" spans="1:41">
      <c r="A180" s="500" t="s">
        <v>424</v>
      </c>
      <c r="B180" s="446">
        <f>B78+B96+B114+B162</f>
        <v>0</v>
      </c>
      <c r="C180" s="446">
        <f t="shared" ref="C180:AL180" si="307">C78+C96+C114+C162</f>
        <v>0</v>
      </c>
      <c r="D180" s="446">
        <f t="shared" si="307"/>
        <v>0</v>
      </c>
      <c r="E180" s="446">
        <f t="shared" si="307"/>
        <v>0</v>
      </c>
      <c r="F180" s="446">
        <f t="shared" si="307"/>
        <v>0</v>
      </c>
      <c r="G180" s="446">
        <f t="shared" si="307"/>
        <v>0</v>
      </c>
      <c r="H180" s="446">
        <f t="shared" si="307"/>
        <v>0</v>
      </c>
      <c r="I180" s="446">
        <f t="shared" si="307"/>
        <v>0</v>
      </c>
      <c r="J180" s="446">
        <f t="shared" si="307"/>
        <v>0</v>
      </c>
      <c r="K180" s="446">
        <f t="shared" si="307"/>
        <v>0</v>
      </c>
      <c r="L180" s="446">
        <f t="shared" si="307"/>
        <v>0</v>
      </c>
      <c r="M180" s="446">
        <f t="shared" si="307"/>
        <v>0</v>
      </c>
      <c r="N180" s="446">
        <f t="shared" si="307"/>
        <v>0</v>
      </c>
      <c r="O180" s="446">
        <f t="shared" si="307"/>
        <v>0</v>
      </c>
      <c r="P180" s="446">
        <f t="shared" si="307"/>
        <v>0</v>
      </c>
      <c r="Q180" s="446">
        <f t="shared" si="307"/>
        <v>0</v>
      </c>
      <c r="R180" s="446">
        <f t="shared" si="307"/>
        <v>0</v>
      </c>
      <c r="S180" s="446">
        <f t="shared" si="307"/>
        <v>0</v>
      </c>
      <c r="T180" s="446">
        <f t="shared" si="307"/>
        <v>0</v>
      </c>
      <c r="U180" s="446">
        <f t="shared" si="307"/>
        <v>0</v>
      </c>
      <c r="V180" s="446">
        <f t="shared" si="307"/>
        <v>0</v>
      </c>
      <c r="W180" s="446">
        <f t="shared" si="307"/>
        <v>0</v>
      </c>
      <c r="X180" s="446">
        <f t="shared" si="307"/>
        <v>0</v>
      </c>
      <c r="Y180" s="446">
        <f t="shared" si="307"/>
        <v>0</v>
      </c>
      <c r="Z180" s="446">
        <f t="shared" si="307"/>
        <v>0</v>
      </c>
      <c r="AA180" s="446">
        <f t="shared" si="307"/>
        <v>0</v>
      </c>
      <c r="AB180" s="446">
        <f t="shared" si="307"/>
        <v>0</v>
      </c>
      <c r="AC180" s="446">
        <f t="shared" si="307"/>
        <v>0</v>
      </c>
      <c r="AD180" s="446">
        <f t="shared" si="307"/>
        <v>0</v>
      </c>
      <c r="AE180" s="446">
        <f t="shared" si="307"/>
        <v>0</v>
      </c>
      <c r="AF180" s="446">
        <f t="shared" si="307"/>
        <v>0</v>
      </c>
      <c r="AG180" s="446">
        <f t="shared" si="307"/>
        <v>0</v>
      </c>
      <c r="AH180" s="446">
        <f t="shared" si="307"/>
        <v>0</v>
      </c>
      <c r="AI180" s="446">
        <f t="shared" si="307"/>
        <v>0</v>
      </c>
      <c r="AJ180" s="446">
        <f t="shared" si="307"/>
        <v>0</v>
      </c>
      <c r="AK180" s="446">
        <f t="shared" si="307"/>
        <v>0</v>
      </c>
      <c r="AL180" s="446">
        <f t="shared" si="307"/>
        <v>0</v>
      </c>
    </row>
    <row r="181" spans="1:41">
      <c r="A181" s="523" t="s">
        <v>443</v>
      </c>
      <c r="B181" s="453">
        <f>B180</f>
        <v>0</v>
      </c>
      <c r="C181" s="188"/>
      <c r="D181" s="189"/>
      <c r="E181" s="189"/>
      <c r="F181" s="189"/>
      <c r="G181" s="189"/>
      <c r="H181" s="189"/>
      <c r="I181" s="189"/>
      <c r="J181" s="189"/>
      <c r="K181" s="189"/>
      <c r="L181" s="189"/>
      <c r="M181" s="189"/>
      <c r="N181" s="453">
        <f>SUM(C$180:N$180)</f>
        <v>0</v>
      </c>
      <c r="O181" s="189"/>
      <c r="P181" s="91"/>
      <c r="Z181" s="453">
        <f>SUM(O$180:Z$180)</f>
        <v>0</v>
      </c>
      <c r="AL181" s="147"/>
    </row>
    <row r="182" spans="1:41">
      <c r="A182" s="502" t="s">
        <v>407</v>
      </c>
      <c r="B182" s="68"/>
      <c r="C182" s="458">
        <f>B180+C180</f>
        <v>0</v>
      </c>
      <c r="D182" s="189"/>
      <c r="E182" s="189"/>
      <c r="F182" s="189"/>
      <c r="G182" s="189"/>
      <c r="H182" s="189"/>
      <c r="I182" s="189"/>
      <c r="J182" s="189"/>
      <c r="K182" s="189"/>
      <c r="L182" s="189"/>
      <c r="M182" s="189"/>
      <c r="O182" s="459">
        <f>SUM(D$180:O$180)</f>
        <v>0</v>
      </c>
      <c r="P182" s="91"/>
      <c r="AA182" s="459">
        <f>SUM(P$180:AA$180)</f>
        <v>0</v>
      </c>
      <c r="AB182" s="91"/>
      <c r="AL182" s="147"/>
    </row>
    <row r="183" spans="1:41">
      <c r="A183" s="503" t="s">
        <v>418</v>
      </c>
      <c r="B183" s="53"/>
      <c r="C183" s="53"/>
      <c r="D183" s="460">
        <f>B180+C180+D180</f>
        <v>0</v>
      </c>
      <c r="E183" s="444"/>
      <c r="F183" s="444"/>
      <c r="G183" s="444"/>
      <c r="H183" s="444"/>
      <c r="I183" s="444"/>
      <c r="J183" s="444"/>
      <c r="K183" s="444"/>
      <c r="L183" s="444"/>
      <c r="M183" s="444"/>
      <c r="N183" s="444"/>
      <c r="O183" s="189"/>
      <c r="P183" s="461">
        <f>SUM(E$180:P$180)</f>
        <v>0</v>
      </c>
      <c r="AA183" s="189"/>
      <c r="AB183" s="461">
        <f>SUM(Q$180:AB$180)</f>
        <v>0</v>
      </c>
      <c r="AL183" s="147"/>
    </row>
    <row r="184" spans="1:41">
      <c r="A184" s="903" t="s">
        <v>417</v>
      </c>
      <c r="B184" s="68"/>
      <c r="C184" s="188"/>
      <c r="D184" s="444"/>
      <c r="E184" s="463">
        <f>SUM(B180:E180)</f>
        <v>0</v>
      </c>
      <c r="F184" s="444"/>
      <c r="G184" s="444"/>
      <c r="H184" s="444"/>
      <c r="I184" s="444"/>
      <c r="J184" s="444"/>
      <c r="K184" s="444"/>
      <c r="L184" s="444"/>
      <c r="M184" s="444"/>
      <c r="N184" s="444"/>
      <c r="O184" s="189"/>
      <c r="P184" s="91"/>
      <c r="Q184" s="462">
        <f>SUM(F$180:Q$180)</f>
        <v>0</v>
      </c>
      <c r="AA184" s="189"/>
      <c r="AB184" s="91"/>
      <c r="AC184" s="462">
        <f>SUM(R$180:AC$180)</f>
        <v>0</v>
      </c>
      <c r="AL184" s="147"/>
      <c r="AO184" t="s">
        <v>0</v>
      </c>
    </row>
    <row r="185" spans="1:41">
      <c r="A185" s="456" t="s">
        <v>408</v>
      </c>
      <c r="B185" s="68"/>
      <c r="C185" s="188"/>
      <c r="D185" s="444"/>
      <c r="E185" s="444"/>
      <c r="F185" s="464">
        <f>SUM(B180:F180)</f>
        <v>0</v>
      </c>
      <c r="G185" s="444"/>
      <c r="H185" s="444"/>
      <c r="I185" s="444"/>
      <c r="J185" s="444"/>
      <c r="K185" s="444"/>
      <c r="L185" s="444"/>
      <c r="M185" s="444"/>
      <c r="N185" s="444"/>
      <c r="O185" s="189"/>
      <c r="P185" s="91"/>
      <c r="R185" s="465">
        <f>SUM(G$180:R$180)</f>
        <v>0</v>
      </c>
      <c r="AA185" s="189"/>
      <c r="AB185" s="91"/>
      <c r="AD185" s="465">
        <f>SUM(S$180:AD$180)</f>
        <v>0</v>
      </c>
      <c r="AL185" s="147"/>
    </row>
    <row r="186" spans="1:41">
      <c r="A186" s="468" t="s">
        <v>409</v>
      </c>
      <c r="B186" s="53"/>
      <c r="C186" s="53"/>
      <c r="D186" s="444"/>
      <c r="E186" s="444"/>
      <c r="F186" s="444"/>
      <c r="G186" s="467">
        <f>SUM(B180:G180)</f>
        <v>0</v>
      </c>
      <c r="H186" s="444"/>
      <c r="I186" s="444"/>
      <c r="J186" s="444"/>
      <c r="K186" s="444"/>
      <c r="L186" s="444"/>
      <c r="M186" s="444"/>
      <c r="N186" s="444"/>
      <c r="O186" s="189"/>
      <c r="P186" s="91"/>
      <c r="S186" s="466">
        <f>SUM(H$180:S$180)</f>
        <v>0</v>
      </c>
      <c r="AA186" s="189"/>
      <c r="AB186" s="91"/>
      <c r="AE186" s="466">
        <f>SUM(T$180:AE$180)</f>
        <v>0</v>
      </c>
      <c r="AL186" s="147"/>
    </row>
    <row r="187" spans="1:41">
      <c r="A187" s="472" t="s">
        <v>410</v>
      </c>
      <c r="B187" s="68"/>
      <c r="C187" s="188"/>
      <c r="D187" s="444"/>
      <c r="E187" s="444"/>
      <c r="F187" s="444"/>
      <c r="G187" s="444"/>
      <c r="H187" s="473">
        <f>SUM(B180:H180)</f>
        <v>0</v>
      </c>
      <c r="I187" s="444"/>
      <c r="J187" s="444"/>
      <c r="K187" s="444"/>
      <c r="L187" s="444"/>
      <c r="M187" s="444"/>
      <c r="N187" s="444"/>
      <c r="O187" s="189"/>
      <c r="P187" s="91"/>
      <c r="T187" s="474">
        <f>SUM(I$180:T$180)</f>
        <v>0</v>
      </c>
      <c r="AA187" s="189"/>
      <c r="AB187" s="91"/>
      <c r="AF187" s="474">
        <f>SUM(U$180:AF$180)</f>
        <v>0</v>
      </c>
      <c r="AL187" s="147"/>
    </row>
    <row r="188" spans="1:41">
      <c r="A188" s="507" t="s">
        <v>411</v>
      </c>
      <c r="B188" s="53"/>
      <c r="C188" s="53"/>
      <c r="D188" s="444"/>
      <c r="E188" s="444"/>
      <c r="F188" s="444"/>
      <c r="G188" s="444"/>
      <c r="H188" s="444"/>
      <c r="I188" s="479">
        <f>SUM(B180:I180)</f>
        <v>0</v>
      </c>
      <c r="J188" s="444"/>
      <c r="K188" s="444"/>
      <c r="L188" s="444"/>
      <c r="M188" s="444"/>
      <c r="N188" s="444"/>
      <c r="O188" s="189"/>
      <c r="P188" s="91"/>
      <c r="U188" s="475">
        <f>SUM(J$180:U$180)</f>
        <v>0</v>
      </c>
      <c r="AA188" s="189"/>
      <c r="AB188" s="91"/>
      <c r="AG188" s="475">
        <f>SUM(V$180:AG$180)</f>
        <v>0</v>
      </c>
      <c r="AL188" s="147"/>
    </row>
    <row r="189" spans="1:41">
      <c r="A189" s="508" t="s">
        <v>412</v>
      </c>
      <c r="B189" s="68"/>
      <c r="C189" s="188"/>
      <c r="D189" s="444"/>
      <c r="E189" s="444"/>
      <c r="F189" s="444"/>
      <c r="G189" s="444"/>
      <c r="H189" s="444"/>
      <c r="I189" s="444"/>
      <c r="J189" s="480">
        <f>SUM(B180:J180)</f>
        <v>0</v>
      </c>
      <c r="K189" s="444"/>
      <c r="L189" s="444"/>
      <c r="M189" s="444"/>
      <c r="N189" s="444"/>
      <c r="O189" s="189"/>
      <c r="P189" s="91"/>
      <c r="V189" s="476">
        <f>SUM(K$180:V$180)</f>
        <v>0</v>
      </c>
      <c r="AA189" s="189"/>
      <c r="AB189" s="91"/>
      <c r="AH189" s="476">
        <f>SUM(W$180:AH$180)</f>
        <v>0</v>
      </c>
      <c r="AL189" s="147"/>
    </row>
    <row r="190" spans="1:41">
      <c r="A190" s="509" t="s">
        <v>413</v>
      </c>
      <c r="B190" s="53"/>
      <c r="C190" s="53"/>
      <c r="D190" s="444"/>
      <c r="E190" s="444"/>
      <c r="F190" s="444"/>
      <c r="G190" s="444"/>
      <c r="H190" s="444"/>
      <c r="I190" s="444"/>
      <c r="J190" s="444"/>
      <c r="K190" s="481">
        <f>SUM(B180:K180)</f>
        <v>0</v>
      </c>
      <c r="L190" s="444"/>
      <c r="M190" s="444"/>
      <c r="N190" s="444"/>
      <c r="O190" s="189"/>
      <c r="P190" s="91"/>
      <c r="W190" s="477">
        <f>SUM(L$180:W$180)</f>
        <v>0</v>
      </c>
      <c r="AA190" s="189"/>
      <c r="AB190" s="91"/>
      <c r="AI190" s="477">
        <f>SUM(X$180:AI$180)</f>
        <v>0</v>
      </c>
      <c r="AL190" s="147"/>
    </row>
    <row r="191" spans="1:41">
      <c r="A191" s="510" t="s">
        <v>414</v>
      </c>
      <c r="B191" s="68"/>
      <c r="C191" s="188"/>
      <c r="D191" s="444"/>
      <c r="E191" s="444"/>
      <c r="F191" s="444"/>
      <c r="G191" s="444"/>
      <c r="H191" s="444"/>
      <c r="I191" s="444"/>
      <c r="J191" s="444"/>
      <c r="K191" s="444"/>
      <c r="L191" s="483">
        <f>SUM(B180:L180)</f>
        <v>0</v>
      </c>
      <c r="M191" s="444"/>
      <c r="N191" s="444"/>
      <c r="O191" s="189"/>
      <c r="P191" s="91"/>
      <c r="X191" s="478">
        <f>SUM(M$180:X$180)</f>
        <v>0</v>
      </c>
      <c r="AA191" s="189"/>
      <c r="AB191" s="91"/>
      <c r="AJ191" s="478">
        <f>SUM(Y$180:AJ$180)</f>
        <v>0</v>
      </c>
      <c r="AL191" s="147"/>
    </row>
    <row r="192" spans="1:41">
      <c r="A192" s="511" t="s">
        <v>415</v>
      </c>
      <c r="B192" s="53"/>
      <c r="C192" s="53"/>
      <c r="D192" s="444"/>
      <c r="E192" s="444"/>
      <c r="F192" s="444"/>
      <c r="G192" s="444"/>
      <c r="H192" s="444"/>
      <c r="I192" s="444"/>
      <c r="J192" s="444"/>
      <c r="K192" s="444"/>
      <c r="L192" s="444"/>
      <c r="M192" s="485">
        <f>SUM(B180:M180)</f>
        <v>0</v>
      </c>
      <c r="N192" s="444"/>
      <c r="O192" s="189"/>
      <c r="P192" s="91"/>
      <c r="Y192" s="484">
        <f>SUM(N$180:Y$180)</f>
        <v>0</v>
      </c>
      <c r="AA192" s="189"/>
      <c r="AB192" s="91"/>
      <c r="AK192" s="484">
        <f>SUM(Z$180:AK$180)</f>
        <v>0</v>
      </c>
      <c r="AL192" s="147"/>
    </row>
    <row r="193" spans="1:41" ht="12.9" thickBot="1">
      <c r="A193" s="512" t="s">
        <v>416</v>
      </c>
      <c r="B193" s="513"/>
      <c r="C193" s="191"/>
      <c r="D193" s="514"/>
      <c r="E193" s="514"/>
      <c r="F193" s="514"/>
      <c r="G193" s="514"/>
      <c r="H193" s="514"/>
      <c r="I193" s="514"/>
      <c r="J193" s="514"/>
      <c r="K193" s="514"/>
      <c r="L193" s="514"/>
      <c r="M193" s="514"/>
      <c r="N193" s="515">
        <f>SUM(B180:N180)</f>
        <v>0</v>
      </c>
      <c r="O193" s="271"/>
      <c r="P193" s="516"/>
      <c r="Q193" s="152"/>
      <c r="R193" s="152"/>
      <c r="S193" s="152"/>
      <c r="T193" s="152"/>
      <c r="U193" s="152"/>
      <c r="V193" s="152"/>
      <c r="W193" s="152"/>
      <c r="X193" s="152"/>
      <c r="Y193" s="152"/>
      <c r="Z193" s="517">
        <f>SUM(O$180:Z$180)</f>
        <v>0</v>
      </c>
      <c r="AA193" s="271"/>
      <c r="AB193" s="516"/>
      <c r="AC193" s="152"/>
      <c r="AD193" s="152"/>
      <c r="AE193" s="152"/>
      <c r="AF193" s="152"/>
      <c r="AG193" s="152"/>
      <c r="AH193" s="152"/>
      <c r="AI193" s="152"/>
      <c r="AJ193" s="152"/>
      <c r="AK193" s="152"/>
      <c r="AL193" s="518">
        <f>SUM(AA$180:AL$180)</f>
        <v>0</v>
      </c>
    </row>
    <row r="194" spans="1:41">
      <c r="A194" s="523" t="s">
        <v>442</v>
      </c>
      <c r="B194" s="453">
        <f>B82+B100+B118+B164</f>
        <v>0</v>
      </c>
      <c r="C194" s="188"/>
      <c r="D194" s="189"/>
      <c r="E194" s="189"/>
      <c r="F194" s="189"/>
      <c r="G194" s="189"/>
      <c r="H194" s="189"/>
      <c r="I194" s="189"/>
      <c r="J194" s="189"/>
      <c r="K194" s="189"/>
      <c r="L194" s="189"/>
      <c r="M194" s="189"/>
      <c r="N194" s="453">
        <f>N82+N100+N118+N164</f>
        <v>0</v>
      </c>
      <c r="O194" s="189"/>
      <c r="P194" s="91"/>
      <c r="Z194" s="453">
        <f>Z82+Z100+Z118+Z164</f>
        <v>0</v>
      </c>
      <c r="AL194" s="147"/>
    </row>
    <row r="195" spans="1:41">
      <c r="A195" s="502" t="s">
        <v>407</v>
      </c>
      <c r="B195" s="68"/>
      <c r="C195" s="458">
        <f>C83+C101+C119+C165</f>
        <v>0</v>
      </c>
      <c r="D195" s="189"/>
      <c r="E195" s="189"/>
      <c r="F195" s="189"/>
      <c r="G195" s="189"/>
      <c r="H195" s="189"/>
      <c r="I195" s="189"/>
      <c r="J195" s="189"/>
      <c r="K195" s="189"/>
      <c r="L195" s="189"/>
      <c r="M195" s="189"/>
      <c r="O195" s="459">
        <f>O83+O101+O119+O165</f>
        <v>0</v>
      </c>
      <c r="P195" s="91"/>
      <c r="AA195" s="459">
        <f>AA83+AA101+AA119+AA165</f>
        <v>0</v>
      </c>
      <c r="AB195" s="91"/>
      <c r="AL195" s="147"/>
    </row>
    <row r="196" spans="1:41">
      <c r="A196" s="503" t="s">
        <v>418</v>
      </c>
      <c r="B196" s="53"/>
      <c r="C196" s="53"/>
      <c r="D196" s="460">
        <f>D84+D102+D120+D166</f>
        <v>0</v>
      </c>
      <c r="E196" s="444"/>
      <c r="F196" s="444"/>
      <c r="G196" s="444"/>
      <c r="H196" s="444"/>
      <c r="I196" s="444"/>
      <c r="J196" s="444"/>
      <c r="K196" s="444"/>
      <c r="L196" s="444"/>
      <c r="M196" s="444"/>
      <c r="N196" s="444"/>
      <c r="O196" s="189"/>
      <c r="P196" s="461">
        <f>P84+P102+P120+P166</f>
        <v>0</v>
      </c>
      <c r="AA196" s="189"/>
      <c r="AB196" s="461">
        <f>AB84+AB102+AB120+AB166</f>
        <v>0</v>
      </c>
      <c r="AL196" s="147"/>
    </row>
    <row r="197" spans="1:41">
      <c r="A197" s="903" t="s">
        <v>417</v>
      </c>
      <c r="B197" s="68"/>
      <c r="C197" s="188"/>
      <c r="D197" s="444"/>
      <c r="E197" s="463">
        <f>E85+E103+E121+E167</f>
        <v>0</v>
      </c>
      <c r="F197" s="444"/>
      <c r="G197" s="444"/>
      <c r="H197" s="444"/>
      <c r="I197" s="444"/>
      <c r="J197" s="444"/>
      <c r="K197" s="444"/>
      <c r="L197" s="444"/>
      <c r="M197" s="444"/>
      <c r="N197" s="444"/>
      <c r="O197" s="189"/>
      <c r="P197" s="91"/>
      <c r="Q197" s="462">
        <f>Q85+Q103+Q121+Q167</f>
        <v>0</v>
      </c>
      <c r="AA197" s="189"/>
      <c r="AB197" s="91"/>
      <c r="AC197" s="462">
        <f>AC85+AC103+AC121+AC167</f>
        <v>0</v>
      </c>
      <c r="AL197" s="147"/>
      <c r="AO197" t="s">
        <v>0</v>
      </c>
    </row>
    <row r="198" spans="1:41">
      <c r="A198" s="456" t="s">
        <v>408</v>
      </c>
      <c r="B198" s="68"/>
      <c r="C198" s="188"/>
      <c r="D198" s="444"/>
      <c r="E198" s="444"/>
      <c r="F198" s="464">
        <f>F86+F104+F122+F168</f>
        <v>0</v>
      </c>
      <c r="G198" s="444"/>
      <c r="H198" s="444"/>
      <c r="I198" s="444"/>
      <c r="J198" s="444"/>
      <c r="K198" s="444"/>
      <c r="L198" s="444"/>
      <c r="M198" s="444"/>
      <c r="N198" s="444"/>
      <c r="O198" s="189"/>
      <c r="P198" s="91"/>
      <c r="R198" s="465">
        <f>R86+R104+R122+R168</f>
        <v>0</v>
      </c>
      <c r="AA198" s="189"/>
      <c r="AB198" s="91"/>
      <c r="AD198" s="465">
        <f>AD86+AD104+AD122+AD168</f>
        <v>0</v>
      </c>
      <c r="AL198" s="147"/>
    </row>
    <row r="199" spans="1:41">
      <c r="A199" s="468" t="s">
        <v>409</v>
      </c>
      <c r="B199" s="53"/>
      <c r="C199" s="53"/>
      <c r="D199" s="444"/>
      <c r="E199" s="444"/>
      <c r="F199" s="444"/>
      <c r="G199" s="467">
        <f>G87+G105+G123+G169</f>
        <v>0</v>
      </c>
      <c r="H199" s="444"/>
      <c r="I199" s="444"/>
      <c r="J199" s="444"/>
      <c r="K199" s="444"/>
      <c r="L199" s="444"/>
      <c r="M199" s="444"/>
      <c r="N199" s="444"/>
      <c r="O199" s="189"/>
      <c r="P199" s="91"/>
      <c r="S199" s="466">
        <f>S87+S105+S123+S169</f>
        <v>0</v>
      </c>
      <c r="AA199" s="189"/>
      <c r="AB199" s="91"/>
      <c r="AE199" s="466">
        <f>AE87+AE105+AE123+AE169</f>
        <v>0</v>
      </c>
      <c r="AL199" s="147"/>
    </row>
    <row r="200" spans="1:41">
      <c r="A200" s="472" t="s">
        <v>410</v>
      </c>
      <c r="B200" s="68"/>
      <c r="C200" s="188"/>
      <c r="D200" s="444"/>
      <c r="E200" s="444"/>
      <c r="F200" s="444"/>
      <c r="G200" s="444"/>
      <c r="H200" s="473">
        <f>H88+H106+H124+H170</f>
        <v>0</v>
      </c>
      <c r="I200" s="444"/>
      <c r="J200" s="444"/>
      <c r="K200" s="444"/>
      <c r="L200" s="444"/>
      <c r="M200" s="444"/>
      <c r="N200" s="444"/>
      <c r="O200" s="189"/>
      <c r="P200" s="91"/>
      <c r="T200" s="474">
        <f>T88+T106+T124+T170</f>
        <v>0</v>
      </c>
      <c r="AA200" s="189"/>
      <c r="AB200" s="91"/>
      <c r="AF200" s="474">
        <f>AF88+AF106+AF124+AF170</f>
        <v>0</v>
      </c>
      <c r="AL200" s="147"/>
    </row>
    <row r="201" spans="1:41">
      <c r="A201" s="507" t="s">
        <v>411</v>
      </c>
      <c r="B201" s="53"/>
      <c r="C201" s="53"/>
      <c r="D201" s="444"/>
      <c r="E201" s="444"/>
      <c r="F201" s="444"/>
      <c r="G201" s="444"/>
      <c r="H201" s="444"/>
      <c r="I201" s="479">
        <f>I89+I107+I125+I171</f>
        <v>0</v>
      </c>
      <c r="J201" s="444"/>
      <c r="K201" s="444"/>
      <c r="L201" s="444"/>
      <c r="M201" s="444"/>
      <c r="N201" s="444"/>
      <c r="O201" s="189"/>
      <c r="P201" s="91"/>
      <c r="U201" s="475">
        <f>U89+U107+U125+U171</f>
        <v>0</v>
      </c>
      <c r="AA201" s="189"/>
      <c r="AB201" s="91"/>
      <c r="AG201" s="475">
        <f>AG89+AG107+AG125+AG171</f>
        <v>0</v>
      </c>
      <c r="AL201" s="147"/>
    </row>
    <row r="202" spans="1:41">
      <c r="A202" s="508" t="s">
        <v>412</v>
      </c>
      <c r="B202" s="68"/>
      <c r="C202" s="188"/>
      <c r="D202" s="444"/>
      <c r="E202" s="444"/>
      <c r="F202" s="444"/>
      <c r="G202" s="444"/>
      <c r="H202" s="444"/>
      <c r="I202" s="444"/>
      <c r="J202" s="480">
        <f>J90+J108+J126+J172</f>
        <v>0</v>
      </c>
      <c r="K202" s="444"/>
      <c r="L202" s="444"/>
      <c r="M202" s="444"/>
      <c r="N202" s="444"/>
      <c r="O202" s="189"/>
      <c r="P202" s="91"/>
      <c r="V202" s="476">
        <f>V90+V108+V126+V172</f>
        <v>0</v>
      </c>
      <c r="AA202" s="189"/>
      <c r="AB202" s="91"/>
      <c r="AG202">
        <f>AG90+AG108+AG126+AG172</f>
        <v>0</v>
      </c>
      <c r="AH202" s="476">
        <f>AH90+AH108+AH126+AH172</f>
        <v>0</v>
      </c>
      <c r="AL202" s="147"/>
    </row>
    <row r="203" spans="1:41">
      <c r="A203" s="509" t="s">
        <v>413</v>
      </c>
      <c r="B203" s="53"/>
      <c r="C203" s="53"/>
      <c r="D203" s="444"/>
      <c r="E203" s="444"/>
      <c r="F203" s="444"/>
      <c r="G203" s="444"/>
      <c r="H203" s="444"/>
      <c r="I203" s="444"/>
      <c r="J203" s="444"/>
      <c r="K203" s="481">
        <f>K91+K109+K127+K173</f>
        <v>0</v>
      </c>
      <c r="L203" s="444"/>
      <c r="M203" s="444"/>
      <c r="N203" s="444"/>
      <c r="O203" s="189"/>
      <c r="P203" s="91"/>
      <c r="W203" s="477">
        <f>W91+W109+W127+W173</f>
        <v>0</v>
      </c>
      <c r="AA203" s="189"/>
      <c r="AB203" s="91"/>
      <c r="AI203" s="477">
        <f>AI91+AI109+AI127+AI173</f>
        <v>0</v>
      </c>
      <c r="AL203" s="147"/>
    </row>
    <row r="204" spans="1:41">
      <c r="A204" s="510" t="s">
        <v>414</v>
      </c>
      <c r="B204" s="68"/>
      <c r="C204" s="188"/>
      <c r="D204" s="444"/>
      <c r="E204" s="444"/>
      <c r="F204" s="444"/>
      <c r="G204" s="444"/>
      <c r="H204" s="444"/>
      <c r="I204" s="444"/>
      <c r="J204" s="444"/>
      <c r="K204" s="444"/>
      <c r="L204" s="483">
        <f>L92+L110+L128+L174</f>
        <v>0</v>
      </c>
      <c r="M204" s="444"/>
      <c r="N204" s="444"/>
      <c r="O204" s="189"/>
      <c r="P204" s="91"/>
      <c r="X204" s="478">
        <f>X92+X110+X128+X174</f>
        <v>0</v>
      </c>
      <c r="AA204" s="189"/>
      <c r="AB204" s="91"/>
      <c r="AJ204" s="478">
        <f>AJ92+AJ110+AJ128+AJ174</f>
        <v>0</v>
      </c>
      <c r="AL204" s="147"/>
    </row>
    <row r="205" spans="1:41">
      <c r="A205" s="511" t="s">
        <v>415</v>
      </c>
      <c r="B205" s="53"/>
      <c r="C205" s="53"/>
      <c r="D205" s="444"/>
      <c r="E205" s="444"/>
      <c r="F205" s="444"/>
      <c r="G205" s="444"/>
      <c r="H205" s="444"/>
      <c r="I205" s="444"/>
      <c r="J205" s="444"/>
      <c r="K205" s="444"/>
      <c r="L205" s="444"/>
      <c r="M205" s="485">
        <f>M93+M111+M129+M175</f>
        <v>0</v>
      </c>
      <c r="N205" s="444"/>
      <c r="O205" s="189"/>
      <c r="P205" s="91"/>
      <c r="Y205" s="484">
        <f>Y93+Y111+Y129+Y175</f>
        <v>0</v>
      </c>
      <c r="AA205" s="189"/>
      <c r="AB205" s="91"/>
      <c r="AK205" s="484">
        <f>AK93+AK111+AK129+AK175</f>
        <v>0</v>
      </c>
      <c r="AL205" s="147"/>
    </row>
    <row r="206" spans="1:41" ht="12.9" thickBot="1">
      <c r="A206" s="512" t="s">
        <v>416</v>
      </c>
      <c r="B206" s="513"/>
      <c r="C206" s="191"/>
      <c r="D206" s="514"/>
      <c r="E206" s="514"/>
      <c r="F206" s="514"/>
      <c r="G206" s="514"/>
      <c r="H206" s="514"/>
      <c r="I206" s="514"/>
      <c r="J206" s="514"/>
      <c r="K206" s="514"/>
      <c r="L206" s="514"/>
      <c r="M206" s="514"/>
      <c r="N206" s="515">
        <f>N94+N112+N130+N176</f>
        <v>0</v>
      </c>
      <c r="O206" s="271"/>
      <c r="P206" s="516"/>
      <c r="Q206" s="152"/>
      <c r="R206" s="152"/>
      <c r="S206" s="152"/>
      <c r="T206" s="152"/>
      <c r="U206" s="152"/>
      <c r="V206" s="152"/>
      <c r="W206" s="152"/>
      <c r="X206" s="152"/>
      <c r="Y206" s="152"/>
      <c r="Z206" s="517">
        <f>Z94+Z112+Z130+Z176</f>
        <v>0</v>
      </c>
      <c r="AA206" s="271"/>
      <c r="AB206" s="516"/>
      <c r="AC206" s="152"/>
      <c r="AD206" s="152"/>
      <c r="AE206" s="152"/>
      <c r="AF206" s="152"/>
      <c r="AG206" s="152"/>
      <c r="AH206" s="152"/>
      <c r="AI206" s="152"/>
      <c r="AJ206" s="152"/>
      <c r="AK206" s="152"/>
      <c r="AL206" s="518">
        <f>AL94+AL112+AL130+AL176</f>
        <v>0</v>
      </c>
    </row>
    <row r="207" spans="1:41">
      <c r="B207" s="200"/>
      <c r="C207" s="211"/>
      <c r="D207" s="8"/>
      <c r="E207" s="8"/>
      <c r="F207" s="8"/>
      <c r="G207" s="8"/>
      <c r="H207" s="8"/>
      <c r="I207" s="8"/>
      <c r="J207" s="8"/>
      <c r="K207" s="8"/>
      <c r="L207" s="8"/>
      <c r="M207" s="8"/>
      <c r="N207" s="8"/>
      <c r="O207" s="8"/>
      <c r="P207" s="8"/>
      <c r="AL207" t="s">
        <v>441</v>
      </c>
    </row>
    <row r="208" spans="1:41">
      <c r="B208" s="200"/>
      <c r="C208" s="200"/>
      <c r="D208" s="91"/>
      <c r="E208" s="91"/>
      <c r="F208" s="91"/>
      <c r="G208" s="91"/>
      <c r="H208" s="91"/>
      <c r="I208" s="91"/>
      <c r="J208" s="91"/>
      <c r="K208" s="91"/>
      <c r="L208" s="91"/>
      <c r="M208" s="91"/>
      <c r="N208" s="91"/>
      <c r="O208" s="91"/>
      <c r="P208" s="91"/>
    </row>
    <row r="209" spans="2:16">
      <c r="B209" s="200"/>
      <c r="C209" s="211"/>
      <c r="D209" s="8"/>
      <c r="E209" s="8"/>
      <c r="F209" s="8"/>
      <c r="G209" s="8"/>
      <c r="H209" s="8"/>
      <c r="I209" s="8"/>
      <c r="J209" s="8"/>
      <c r="K209" s="8"/>
      <c r="L209" s="8"/>
      <c r="M209" s="8"/>
      <c r="N209" s="8"/>
      <c r="O209" s="8"/>
      <c r="P209" s="8"/>
    </row>
    <row r="210" spans="2:16">
      <c r="B210" s="200"/>
      <c r="C210" s="200"/>
      <c r="D210" s="91"/>
      <c r="E210" s="91"/>
      <c r="F210" s="91"/>
      <c r="G210" s="91"/>
      <c r="H210" s="91"/>
      <c r="I210" s="91"/>
      <c r="J210" s="91"/>
      <c r="K210" s="91"/>
      <c r="L210" s="91"/>
      <c r="M210" s="91"/>
      <c r="N210" s="91"/>
      <c r="O210" s="91"/>
      <c r="P210" s="91"/>
    </row>
    <row r="211" spans="2:16">
      <c r="B211" s="200"/>
      <c r="C211" s="211"/>
      <c r="D211" s="8"/>
      <c r="E211" s="8"/>
      <c r="F211" s="8"/>
      <c r="G211" s="8"/>
      <c r="H211" s="8"/>
      <c r="I211" s="8"/>
      <c r="J211" s="8"/>
      <c r="K211" s="8"/>
      <c r="L211" s="8"/>
      <c r="M211" s="8"/>
      <c r="N211" s="8"/>
      <c r="O211" s="8"/>
      <c r="P211" s="8"/>
    </row>
    <row r="212" spans="2:16">
      <c r="B212" s="200"/>
      <c r="C212" s="200"/>
      <c r="D212" s="91"/>
      <c r="E212" s="91"/>
      <c r="F212" s="91"/>
      <c r="G212" s="91"/>
      <c r="H212" s="91"/>
      <c r="I212" s="91"/>
      <c r="J212" s="91"/>
      <c r="K212" s="91"/>
      <c r="L212" s="91"/>
      <c r="M212" s="91"/>
      <c r="N212" s="91"/>
      <c r="O212" s="91"/>
      <c r="P212" s="91"/>
    </row>
    <row r="213" spans="2:16">
      <c r="B213" s="200"/>
      <c r="C213" s="211"/>
      <c r="D213" s="8"/>
      <c r="E213" s="8"/>
      <c r="F213" s="8"/>
      <c r="G213" s="8"/>
      <c r="H213" s="8"/>
      <c r="I213" s="8"/>
      <c r="J213" s="8"/>
      <c r="K213" s="8"/>
      <c r="L213" s="8"/>
      <c r="M213" s="8"/>
      <c r="N213" s="8"/>
      <c r="O213" s="8"/>
      <c r="P213" s="8"/>
    </row>
    <row r="214" spans="2:16">
      <c r="B214" s="200"/>
      <c r="C214" s="200"/>
      <c r="D214" s="91"/>
      <c r="E214" s="91"/>
      <c r="F214" s="91"/>
      <c r="G214" s="91"/>
      <c r="H214" s="91"/>
      <c r="I214" s="91"/>
      <c r="J214" s="91"/>
      <c r="K214" s="91"/>
      <c r="L214" s="91"/>
      <c r="M214" s="91"/>
      <c r="N214" s="91"/>
      <c r="O214" s="91"/>
      <c r="P214" s="91"/>
    </row>
    <row r="215" spans="2:16">
      <c r="B215" s="200"/>
      <c r="C215" s="211"/>
      <c r="D215" s="8"/>
      <c r="E215" s="8"/>
      <c r="F215" s="8"/>
      <c r="G215" s="8"/>
      <c r="H215" s="8"/>
      <c r="I215" s="8"/>
      <c r="J215" s="8"/>
      <c r="K215" s="8"/>
      <c r="L215" s="8"/>
      <c r="M215" s="8"/>
      <c r="N215" s="8"/>
      <c r="O215" s="8"/>
      <c r="P215" s="8"/>
    </row>
    <row r="216" spans="2:16">
      <c r="B216" s="200"/>
      <c r="C216" s="200"/>
      <c r="D216" s="91"/>
      <c r="E216" s="91"/>
      <c r="F216" s="91"/>
      <c r="G216" s="91"/>
      <c r="H216" s="91"/>
      <c r="I216" s="91"/>
      <c r="J216" s="91"/>
      <c r="K216" s="91"/>
      <c r="L216" s="91"/>
      <c r="M216" s="91"/>
      <c r="N216" s="91"/>
      <c r="O216" s="91"/>
      <c r="P216" s="91"/>
    </row>
    <row r="217" spans="2:16">
      <c r="B217" s="200"/>
      <c r="C217" s="211"/>
      <c r="D217" s="8"/>
      <c r="E217" s="8"/>
      <c r="F217" s="8"/>
      <c r="G217" s="8"/>
      <c r="H217" s="8"/>
      <c r="I217" s="8"/>
      <c r="J217" s="8"/>
      <c r="K217" s="8"/>
      <c r="L217" s="8"/>
      <c r="M217" s="8"/>
      <c r="N217" s="8"/>
      <c r="O217" s="8"/>
      <c r="P217" s="8"/>
    </row>
    <row r="218" spans="2:16">
      <c r="B218" s="200"/>
      <c r="C218" s="200"/>
      <c r="D218" s="91"/>
      <c r="E218" s="91"/>
      <c r="F218" s="91"/>
      <c r="G218" s="91"/>
      <c r="H218" s="91"/>
      <c r="I218" s="91"/>
      <c r="J218" s="91"/>
      <c r="K218" s="91"/>
      <c r="L218" s="91"/>
      <c r="M218" s="91"/>
      <c r="N218" s="91"/>
      <c r="O218" s="91"/>
      <c r="P218" s="91"/>
    </row>
    <row r="219" spans="2:16">
      <c r="B219" s="200"/>
      <c r="C219" s="211"/>
      <c r="D219" s="8"/>
      <c r="E219" s="8"/>
      <c r="F219" s="8"/>
      <c r="G219" s="8"/>
      <c r="H219" s="8"/>
      <c r="I219" s="8"/>
      <c r="J219" s="8"/>
      <c r="K219" s="8"/>
      <c r="L219" s="8"/>
      <c r="M219" s="8"/>
      <c r="N219" s="8"/>
      <c r="O219" s="8"/>
      <c r="P219" s="8"/>
    </row>
    <row r="220" spans="2:16">
      <c r="B220" s="68"/>
      <c r="C220" s="53"/>
      <c r="D220" s="90"/>
      <c r="E220" s="90"/>
      <c r="F220" s="90"/>
      <c r="G220" s="90"/>
      <c r="H220" s="90"/>
      <c r="I220" s="90"/>
      <c r="J220" s="90"/>
      <c r="K220" s="90"/>
      <c r="L220" s="90"/>
      <c r="M220" s="90"/>
      <c r="N220" s="90"/>
      <c r="O220" s="90"/>
      <c r="P220" s="90"/>
    </row>
    <row r="221" spans="2:16">
      <c r="B221" s="53"/>
      <c r="C221" s="53"/>
      <c r="D221" s="53"/>
      <c r="E221" s="53"/>
      <c r="F221" s="53"/>
      <c r="G221" s="53"/>
      <c r="H221" s="53"/>
      <c r="I221" s="53"/>
      <c r="J221" s="53"/>
      <c r="K221" s="53"/>
      <c r="L221" s="53"/>
      <c r="M221" s="53"/>
      <c r="N221" s="53"/>
      <c r="O221" s="53"/>
      <c r="P221" s="53"/>
    </row>
    <row r="222" spans="2:16">
      <c r="B222" s="200"/>
      <c r="C222" s="53"/>
      <c r="D222" s="53"/>
      <c r="E222" s="8"/>
      <c r="F222" s="8"/>
      <c r="G222" s="8"/>
      <c r="H222" s="8"/>
      <c r="I222" s="8"/>
      <c r="J222" s="8"/>
      <c r="K222" s="8"/>
      <c r="L222" s="8"/>
      <c r="M222" s="8"/>
      <c r="N222" s="8"/>
      <c r="O222" s="8"/>
      <c r="P222" s="53"/>
    </row>
  </sheetData>
  <sheetProtection algorithmName="SHA-512" hashValue="oDSq5MslH7jUz2SNkQOAgEMyZ6tpsFRZxQGueMW6RSdpn7jE+E/zUsF3PMx+UB2FePDROAtMbG/xTXkCYzLkFw==" saltValue="kKyVnryVz8ujGolOp6J7EA==" spinCount="100000" sheet="1" objects="1" scenarios="1" selectLockedCells="1" selectUnlockedCells="1"/>
  <mergeCells count="4">
    <mergeCell ref="B28:E28"/>
    <mergeCell ref="D2:E2"/>
    <mergeCell ref="G19:I19"/>
    <mergeCell ref="F37:I37"/>
  </mergeCells>
  <pageMargins left="0.7" right="0.7" top="0.75" bottom="0.75" header="0.3" footer="0.3"/>
  <pageSetup paperSize="9" orientation="portrait" verticalDpi="4"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ul7"/>
  <dimension ref="C1:V94"/>
  <sheetViews>
    <sheetView workbookViewId="0">
      <selection activeCell="J39" sqref="J39"/>
    </sheetView>
  </sheetViews>
  <sheetFormatPr defaultRowHeight="12.45"/>
  <cols>
    <col min="2" max="2" width="9.07421875" customWidth="1"/>
    <col min="3" max="3" width="42.07421875" customWidth="1"/>
    <col min="4" max="4" width="8.3046875" customWidth="1"/>
    <col min="5" max="5" width="10.3046875" bestFit="1" customWidth="1"/>
    <col min="6" max="6" width="11.3046875" customWidth="1"/>
    <col min="15" max="15" width="9.84375" customWidth="1"/>
  </cols>
  <sheetData>
    <row r="1" spans="3:21">
      <c r="C1" s="566" t="s">
        <v>126</v>
      </c>
      <c r="D1" s="255" t="s">
        <v>478</v>
      </c>
      <c r="E1" s="2015" t="s">
        <v>0</v>
      </c>
      <c r="F1" s="2015"/>
      <c r="G1" s="2015"/>
    </row>
    <row r="2" spans="3:21">
      <c r="C2" s="567" t="s">
        <v>479</v>
      </c>
      <c r="D2" s="255" t="s">
        <v>480</v>
      </c>
      <c r="E2" s="255" t="s">
        <v>481</v>
      </c>
      <c r="F2" s="255" t="s">
        <v>482</v>
      </c>
      <c r="G2" s="255"/>
    </row>
    <row r="3" spans="3:21">
      <c r="C3" s="568" t="s">
        <v>483</v>
      </c>
      <c r="D3" s="439">
        <f>'Kustannukset K1'!F13</f>
        <v>12</v>
      </c>
      <c r="E3">
        <f>IF('Kustannukset K1'!$F13=12,'Kustannukset K1'!F14,IF('Kustannukset K1'!$F13&lt;12,12*('Kustannukset K1'!F14+'Kustannukset K1'!G14)/('Kustannukset K1'!$F13+'Kustannukset K1'!$G13),12*'Kustannukset K1'!F16))</f>
        <v>0</v>
      </c>
      <c r="F3">
        <f>IF('Kustannukset K1'!$F13=12,12*'Kustannukset K1'!F17,IF('Kustannukset K1'!$F13&lt;12,12*('Kustannukset K1'!F13*'Kustannukset K1'!F17+'Kustannukset K1'!G13*'Kustannukset K1'!G17)/('Kustannukset K1'!$F13+'Kustannukset K1'!$G13),12*'Kustannukset K1'!F17))</f>
        <v>0</v>
      </c>
    </row>
    <row r="4" spans="3:21">
      <c r="C4" s="568" t="s">
        <v>484</v>
      </c>
      <c r="D4" s="569">
        <f>'Kustannukset Y1'!F13</f>
        <v>12</v>
      </c>
      <c r="E4">
        <f>IF('Kustannukset Y1'!$F13=12,'Kustannukset Y1'!F14,IF('Kustannukset Y1'!$F13&lt;12,12*('Kustannukset Y1'!F14+'Kustannukset Y1'!G14)/('Kustannukset Y1'!$F13+'Kustannukset Y1'!$G13),12*'Kustannukset Y1'!F16))</f>
        <v>0</v>
      </c>
      <c r="F4">
        <f>IF('Kustannukset Y1'!$F13=12,12*'Kustannukset Y1'!F17,IF('Kustannukset Y1'!$F13&lt;12,12*('Kustannukset Y1'!F13*'Kustannukset Y1'!F17+'Kustannukset Y1'!G13*'Kustannukset Y1'!G17)/('Kustannukset Y1'!$F13+'Kustannukset Y1'!$G13),12*'Kustannukset Y1'!F17))</f>
        <v>0</v>
      </c>
    </row>
    <row r="6" spans="3:21" ht="12.9" thickBot="1">
      <c r="C6" s="2"/>
    </row>
    <row r="7" spans="3:21">
      <c r="C7" s="660" t="s">
        <v>126</v>
      </c>
      <c r="D7" s="161" t="s">
        <v>100</v>
      </c>
      <c r="E7" s="337">
        <f>'4. Kassabudjetti'!G6</f>
        <v>45292</v>
      </c>
      <c r="F7" s="337">
        <f>'4. Kassabudjetti'!H6</f>
        <v>45323</v>
      </c>
      <c r="G7" s="337">
        <f>'4. Kassabudjetti'!I6</f>
        <v>45354</v>
      </c>
      <c r="H7" s="337">
        <f>'4. Kassabudjetti'!J6</f>
        <v>45385</v>
      </c>
      <c r="I7" s="337">
        <f>'4. Kassabudjetti'!K6</f>
        <v>45416</v>
      </c>
      <c r="J7" s="337">
        <f>'4. Kassabudjetti'!L6</f>
        <v>45447</v>
      </c>
      <c r="K7" s="337">
        <f>'4. Kassabudjetti'!M6</f>
        <v>45478</v>
      </c>
      <c r="L7" s="337">
        <f>'4. Kassabudjetti'!N6</f>
        <v>45509</v>
      </c>
      <c r="M7" s="337">
        <f>'4. Kassabudjetti'!O6</f>
        <v>45540</v>
      </c>
      <c r="N7" s="337">
        <f>'4. Kassabudjetti'!P6</f>
        <v>45571</v>
      </c>
      <c r="O7" s="337">
        <f>'4. Kassabudjetti'!Q6</f>
        <v>45602</v>
      </c>
      <c r="P7" s="337">
        <f>'4. Kassabudjetti'!R6</f>
        <v>45633</v>
      </c>
      <c r="Q7" s="162" t="s">
        <v>104</v>
      </c>
    </row>
    <row r="8" spans="3:21">
      <c r="C8" s="163" t="s">
        <v>127</v>
      </c>
      <c r="D8" s="201"/>
      <c r="E8" s="164">
        <f>'4. Kassabudjetti'!G33</f>
        <v>0</v>
      </c>
      <c r="F8" s="164">
        <f>'4. Kassabudjetti'!H33</f>
        <v>0</v>
      </c>
      <c r="G8" s="164">
        <f>'4. Kassabudjetti'!I33</f>
        <v>0</v>
      </c>
      <c r="H8" s="164">
        <f>'4. Kassabudjetti'!J33</f>
        <v>0</v>
      </c>
      <c r="I8" s="164">
        <f>'4. Kassabudjetti'!K33</f>
        <v>0</v>
      </c>
      <c r="J8" s="164">
        <f>'4. Kassabudjetti'!L33</f>
        <v>0</v>
      </c>
      <c r="K8" s="164">
        <f>'4. Kassabudjetti'!M33</f>
        <v>0</v>
      </c>
      <c r="L8" s="164">
        <f>'4. Kassabudjetti'!N33</f>
        <v>0</v>
      </c>
      <c r="M8" s="164">
        <f>'4. Kassabudjetti'!O33</f>
        <v>0</v>
      </c>
      <c r="N8" s="164">
        <f>'4. Kassabudjetti'!P33</f>
        <v>0</v>
      </c>
      <c r="O8" s="164">
        <f>'4. Kassabudjetti'!Q33</f>
        <v>0</v>
      </c>
      <c r="P8" s="164">
        <f>'4. Kassabudjetti'!R33</f>
        <v>0</v>
      </c>
      <c r="Q8" s="168">
        <f t="shared" ref="Q8:Q14" si="0">SUM(E8:P8)</f>
        <v>0</v>
      </c>
    </row>
    <row r="9" spans="3:21">
      <c r="C9" s="163" t="s">
        <v>128</v>
      </c>
      <c r="D9" s="208"/>
      <c r="E9" s="164">
        <f>'4. Kassabudjetti'!G34</f>
        <v>0</v>
      </c>
      <c r="F9" s="164">
        <f>'4. Kassabudjetti'!H34</f>
        <v>0</v>
      </c>
      <c r="G9" s="164">
        <f>'4. Kassabudjetti'!I34</f>
        <v>0</v>
      </c>
      <c r="H9" s="164">
        <f>'4. Kassabudjetti'!J34</f>
        <v>0</v>
      </c>
      <c r="I9" s="164">
        <f>'4. Kassabudjetti'!K34</f>
        <v>0</v>
      </c>
      <c r="J9" s="164">
        <f>'4. Kassabudjetti'!L34</f>
        <v>0</v>
      </c>
      <c r="K9" s="164">
        <f>'4. Kassabudjetti'!M34</f>
        <v>0</v>
      </c>
      <c r="L9" s="164">
        <f>'4. Kassabudjetti'!N34</f>
        <v>0</v>
      </c>
      <c r="M9" s="164">
        <f>'4. Kassabudjetti'!O34</f>
        <v>0</v>
      </c>
      <c r="N9" s="164">
        <f>'4. Kassabudjetti'!P34</f>
        <v>0</v>
      </c>
      <c r="O9" s="164">
        <f>'4. Kassabudjetti'!Q34</f>
        <v>0</v>
      </c>
      <c r="P9" s="164">
        <f>'4. Kassabudjetti'!R34</f>
        <v>0</v>
      </c>
      <c r="Q9" s="168">
        <f t="shared" si="0"/>
        <v>0</v>
      </c>
    </row>
    <row r="10" spans="3:21">
      <c r="C10" s="163" t="s">
        <v>129</v>
      </c>
      <c r="D10" s="208"/>
      <c r="E10" s="164">
        <f t="shared" ref="E10:P10" si="1">SUM(E8:E9)</f>
        <v>0</v>
      </c>
      <c r="F10" s="164">
        <f t="shared" si="1"/>
        <v>0</v>
      </c>
      <c r="G10" s="164">
        <f t="shared" si="1"/>
        <v>0</v>
      </c>
      <c r="H10" s="164">
        <f t="shared" si="1"/>
        <v>0</v>
      </c>
      <c r="I10" s="164">
        <f t="shared" si="1"/>
        <v>0</v>
      </c>
      <c r="J10" s="164">
        <f t="shared" si="1"/>
        <v>0</v>
      </c>
      <c r="K10" s="164">
        <f t="shared" si="1"/>
        <v>0</v>
      </c>
      <c r="L10" s="164">
        <f t="shared" si="1"/>
        <v>0</v>
      </c>
      <c r="M10" s="164">
        <f t="shared" si="1"/>
        <v>0</v>
      </c>
      <c r="N10" s="164">
        <f t="shared" si="1"/>
        <v>0</v>
      </c>
      <c r="O10" s="164">
        <f t="shared" si="1"/>
        <v>0</v>
      </c>
      <c r="P10" s="164">
        <f t="shared" si="1"/>
        <v>0</v>
      </c>
      <c r="Q10" s="168">
        <f t="shared" si="0"/>
        <v>0</v>
      </c>
    </row>
    <row r="11" spans="3:21">
      <c r="C11" s="163" t="s">
        <v>130</v>
      </c>
      <c r="D11" s="209">
        <f>'4. Kassabudjetti'!F33</f>
        <v>29</v>
      </c>
      <c r="E11" s="164">
        <f t="shared" ref="E11:P11" si="2">E10*$D11%</f>
        <v>0</v>
      </c>
      <c r="F11" s="164">
        <f t="shared" si="2"/>
        <v>0</v>
      </c>
      <c r="G11" s="164">
        <f t="shared" si="2"/>
        <v>0</v>
      </c>
      <c r="H11" s="164">
        <f t="shared" si="2"/>
        <v>0</v>
      </c>
      <c r="I11" s="164">
        <f t="shared" si="2"/>
        <v>0</v>
      </c>
      <c r="J11" s="164">
        <f t="shared" si="2"/>
        <v>0</v>
      </c>
      <c r="K11" s="164">
        <f t="shared" si="2"/>
        <v>0</v>
      </c>
      <c r="L11" s="164">
        <f t="shared" si="2"/>
        <v>0</v>
      </c>
      <c r="M11" s="164">
        <f t="shared" si="2"/>
        <v>0</v>
      </c>
      <c r="N11" s="164">
        <f t="shared" si="2"/>
        <v>0</v>
      </c>
      <c r="O11" s="164">
        <f t="shared" si="2"/>
        <v>0</v>
      </c>
      <c r="P11" s="164">
        <f t="shared" si="2"/>
        <v>0</v>
      </c>
      <c r="Q11" s="168">
        <f t="shared" si="0"/>
        <v>0</v>
      </c>
    </row>
    <row r="12" spans="3:21">
      <c r="C12" s="500" t="s">
        <v>518</v>
      </c>
      <c r="D12" s="210">
        <v>0</v>
      </c>
      <c r="E12" s="164">
        <f t="shared" ref="E12:P12" si="3">E10*$D12%</f>
        <v>0</v>
      </c>
      <c r="F12" s="164">
        <f t="shared" si="3"/>
        <v>0</v>
      </c>
      <c r="G12" s="164">
        <f t="shared" si="3"/>
        <v>0</v>
      </c>
      <c r="H12" s="164">
        <f t="shared" si="3"/>
        <v>0</v>
      </c>
      <c r="I12" s="164">
        <f t="shared" si="3"/>
        <v>0</v>
      </c>
      <c r="J12" s="164">
        <f t="shared" si="3"/>
        <v>0</v>
      </c>
      <c r="K12" s="164">
        <f t="shared" si="3"/>
        <v>0</v>
      </c>
      <c r="L12" s="164">
        <f t="shared" si="3"/>
        <v>0</v>
      </c>
      <c r="M12" s="164">
        <f t="shared" si="3"/>
        <v>0</v>
      </c>
      <c r="N12" s="164">
        <f t="shared" si="3"/>
        <v>0</v>
      </c>
      <c r="O12" s="164">
        <f t="shared" si="3"/>
        <v>0</v>
      </c>
      <c r="P12" s="164">
        <f t="shared" si="3"/>
        <v>0</v>
      </c>
      <c r="Q12" s="168">
        <f t="shared" si="0"/>
        <v>0</v>
      </c>
    </row>
    <row r="13" spans="3:21" ht="12.9" thickBot="1">
      <c r="C13" s="166" t="s">
        <v>131</v>
      </c>
      <c r="D13" s="346" t="s">
        <v>0</v>
      </c>
      <c r="E13" s="167">
        <f t="shared" ref="E13:P13" si="4">E8-E11-E12</f>
        <v>0</v>
      </c>
      <c r="F13" s="167">
        <f t="shared" si="4"/>
        <v>0</v>
      </c>
      <c r="G13" s="167">
        <f t="shared" si="4"/>
        <v>0</v>
      </c>
      <c r="H13" s="167">
        <f t="shared" si="4"/>
        <v>0</v>
      </c>
      <c r="I13" s="167">
        <f t="shared" si="4"/>
        <v>0</v>
      </c>
      <c r="J13" s="167">
        <f t="shared" si="4"/>
        <v>0</v>
      </c>
      <c r="K13" s="167">
        <f t="shared" si="4"/>
        <v>0</v>
      </c>
      <c r="L13" s="167">
        <f t="shared" si="4"/>
        <v>0</v>
      </c>
      <c r="M13" s="167">
        <f t="shared" si="4"/>
        <v>0</v>
      </c>
      <c r="N13" s="167">
        <f t="shared" si="4"/>
        <v>0</v>
      </c>
      <c r="O13" s="167">
        <f t="shared" si="4"/>
        <v>0</v>
      </c>
      <c r="P13" s="167">
        <f t="shared" si="4"/>
        <v>0</v>
      </c>
      <c r="Q13" s="168">
        <f t="shared" si="0"/>
        <v>0</v>
      </c>
    </row>
    <row r="14" spans="3:21" ht="12.9" thickBot="1">
      <c r="C14" s="166" t="s">
        <v>132</v>
      </c>
      <c r="D14" s="2027">
        <f>D11+1.16</f>
        <v>30.16</v>
      </c>
      <c r="E14" s="169">
        <f t="shared" ref="E14:P14" si="5">E10*$D14%</f>
        <v>0</v>
      </c>
      <c r="F14" s="169">
        <f t="shared" si="5"/>
        <v>0</v>
      </c>
      <c r="G14" s="169">
        <f t="shared" si="5"/>
        <v>0</v>
      </c>
      <c r="H14" s="169">
        <f t="shared" si="5"/>
        <v>0</v>
      </c>
      <c r="I14" s="169">
        <f t="shared" si="5"/>
        <v>0</v>
      </c>
      <c r="J14" s="169">
        <f t="shared" si="5"/>
        <v>0</v>
      </c>
      <c r="K14" s="169">
        <f t="shared" si="5"/>
        <v>0</v>
      </c>
      <c r="L14" s="169">
        <f t="shared" si="5"/>
        <v>0</v>
      </c>
      <c r="M14" s="169">
        <f t="shared" si="5"/>
        <v>0</v>
      </c>
      <c r="N14" s="169">
        <f t="shared" si="5"/>
        <v>0</v>
      </c>
      <c r="O14" s="169">
        <f t="shared" si="5"/>
        <v>0</v>
      </c>
      <c r="P14" s="169">
        <f t="shared" si="5"/>
        <v>0</v>
      </c>
      <c r="Q14" s="170">
        <f t="shared" si="0"/>
        <v>0</v>
      </c>
      <c r="R14" s="2018">
        <f>'Rahoitus K3'!H38</f>
        <v>2026</v>
      </c>
      <c r="S14" s="2019"/>
      <c r="T14" s="2018">
        <f>'Rahoitus K3'!K38</f>
        <v>2027</v>
      </c>
      <c r="U14" s="2019"/>
    </row>
    <row r="15" spans="3:21">
      <c r="C15" s="364" t="s">
        <v>342</v>
      </c>
      <c r="D15" s="392" t="s">
        <v>517</v>
      </c>
      <c r="E15" s="2016" t="s">
        <v>383</v>
      </c>
      <c r="F15" s="2017"/>
      <c r="G15" s="398">
        <f>'Rahoitus K3'!F38</f>
        <v>2025</v>
      </c>
      <c r="H15" s="2016" t="s">
        <v>384</v>
      </c>
      <c r="I15" s="2017"/>
      <c r="J15" s="398">
        <f>'Rahoitus Y3'!F38</f>
        <v>2025</v>
      </c>
      <c r="K15" s="400"/>
      <c r="L15" s="366"/>
      <c r="M15" s="366"/>
      <c r="N15" s="366"/>
      <c r="O15" s="366"/>
      <c r="P15" s="366"/>
      <c r="Q15" s="367"/>
      <c r="R15" s="368" t="s">
        <v>385</v>
      </c>
      <c r="S15" s="369" t="s">
        <v>386</v>
      </c>
      <c r="T15" s="368" t="s">
        <v>385</v>
      </c>
      <c r="U15" s="369" t="s">
        <v>386</v>
      </c>
    </row>
    <row r="16" spans="3:21">
      <c r="C16" s="370" t="s">
        <v>343</v>
      </c>
      <c r="D16" s="394"/>
      <c r="E16" s="399">
        <f>'Kustannukset K1'!F14+'Kustannukset K1'!F17*'Kustannukset K1'!F18</f>
        <v>0</v>
      </c>
      <c r="F16" s="372"/>
      <c r="G16" s="389"/>
      <c r="H16" s="401">
        <f>'Kustannukset Y1'!F14+'Kustannukset Y1'!F17*'Kustannukset Y1'!F18</f>
        <v>0</v>
      </c>
      <c r="I16" s="372"/>
      <c r="J16" s="389"/>
      <c r="K16" s="396"/>
      <c r="L16" s="372"/>
      <c r="M16" s="372"/>
      <c r="N16" s="372"/>
      <c r="O16" s="372"/>
      <c r="P16" s="372"/>
      <c r="Q16" s="373"/>
      <c r="R16" s="371">
        <f>'Kustannukset K1'!G14+'Kustannukset K1'!G17*'Kustannukset K1'!G18</f>
        <v>0</v>
      </c>
      <c r="S16" s="375">
        <f>'Kustannukset Y1'!G14+'Kustannukset Y1'!G17*'Kustannukset Y1'!G18</f>
        <v>0</v>
      </c>
      <c r="T16" s="371">
        <f>'Kustannukset K1'!H14+'Kustannukset K1'!H17*'Kustannukset K1'!H18</f>
        <v>0</v>
      </c>
      <c r="U16" s="375">
        <f>'Kustannukset Y1'!H14+'Kustannukset Y1'!H17*'Kustannukset Y1'!H18</f>
        <v>0</v>
      </c>
    </row>
    <row r="17" spans="3:21">
      <c r="C17" s="370" t="s">
        <v>344</v>
      </c>
      <c r="D17" s="434">
        <v>0</v>
      </c>
      <c r="E17" s="390">
        <f>(E16/12/25)*30+30*0.5*(E16/12/25)</f>
        <v>0</v>
      </c>
      <c r="F17" s="372"/>
      <c r="G17" s="389"/>
      <c r="H17" s="390">
        <f>(H16/12/25)*30+30*0.5*(H16/12/25)</f>
        <v>0</v>
      </c>
      <c r="I17" s="372"/>
      <c r="J17" s="389"/>
      <c r="K17" s="396"/>
      <c r="L17" s="372"/>
      <c r="M17" s="372"/>
      <c r="N17" s="372"/>
      <c r="O17" s="372"/>
      <c r="P17" s="372"/>
      <c r="Q17" s="373"/>
      <c r="R17" s="390">
        <f>(R16/12.5/25)*30+30*0.5*(R16/12.5/25)</f>
        <v>0</v>
      </c>
      <c r="S17" s="390">
        <f>(S16/12.5/25)*30+30*0.5*(S16/12.5/25)</f>
        <v>0</v>
      </c>
      <c r="T17" s="390">
        <f>(T16/12.5/25)*30+30*0.5*(T16/12.5/25)</f>
        <v>0</v>
      </c>
      <c r="U17" s="390">
        <f>(U16/12.5/25)*30+30*0.5*(U16/12.5/25)</f>
        <v>0</v>
      </c>
    </row>
    <row r="18" spans="3:21">
      <c r="C18" s="370" t="s">
        <v>345</v>
      </c>
      <c r="D18" s="394"/>
      <c r="E18" s="375">
        <f>SUM(E17:E17)</f>
        <v>0</v>
      </c>
      <c r="F18" s="375"/>
      <c r="G18" s="389"/>
      <c r="H18" s="375">
        <f>SUM(H17:H17)</f>
        <v>0</v>
      </c>
      <c r="I18" s="372"/>
      <c r="J18" s="389"/>
      <c r="K18" s="396"/>
      <c r="L18" s="372"/>
      <c r="M18" s="372"/>
      <c r="N18" s="372"/>
      <c r="O18" s="372"/>
      <c r="P18" s="372"/>
      <c r="Q18" s="373"/>
      <c r="R18" s="375">
        <f>SUM(R17:R17)</f>
        <v>0</v>
      </c>
      <c r="S18" s="373">
        <f>SUM(S17:S17)</f>
        <v>0</v>
      </c>
      <c r="T18" s="375">
        <f>SUM(T17:T17)</f>
        <v>0</v>
      </c>
      <c r="U18" s="373">
        <f>SUM(U17:U17)</f>
        <v>0</v>
      </c>
    </row>
    <row r="19" spans="3:21">
      <c r="C19" s="370" t="s">
        <v>873</v>
      </c>
      <c r="D19" s="393">
        <v>0.03</v>
      </c>
      <c r="E19" s="376">
        <f>$D19*E18</f>
        <v>0</v>
      </c>
      <c r="F19" s="372"/>
      <c r="G19" s="389"/>
      <c r="H19" s="376">
        <f>$D19*H18</f>
        <v>0</v>
      </c>
      <c r="I19" s="372"/>
      <c r="J19" s="389"/>
      <c r="K19" s="396"/>
      <c r="L19" s="372"/>
      <c r="M19" s="372"/>
      <c r="N19" s="372"/>
      <c r="O19" s="372"/>
      <c r="P19" s="372"/>
      <c r="Q19" s="373"/>
      <c r="R19" s="376">
        <f>$D19*R18</f>
        <v>0</v>
      </c>
      <c r="S19" s="373">
        <f>$D19*S18</f>
        <v>0</v>
      </c>
      <c r="T19" s="376">
        <f>$D19*T18</f>
        <v>0</v>
      </c>
      <c r="U19" s="373">
        <f>$D19*U18</f>
        <v>0</v>
      </c>
    </row>
    <row r="20" spans="3:21" ht="12.9" thickBot="1">
      <c r="C20" s="377" t="s">
        <v>490</v>
      </c>
      <c r="D20" s="395"/>
      <c r="E20" s="381">
        <f>E18+E19</f>
        <v>0</v>
      </c>
      <c r="F20" s="379"/>
      <c r="G20" s="382"/>
      <c r="H20" s="381">
        <f>H18+H19</f>
        <v>0</v>
      </c>
      <c r="I20" s="379"/>
      <c r="J20" s="382"/>
      <c r="K20" s="397"/>
      <c r="L20" s="380"/>
      <c r="M20" s="380"/>
      <c r="N20" s="380"/>
      <c r="O20" s="380"/>
      <c r="P20" s="2010" t="s">
        <v>489</v>
      </c>
      <c r="Q20" s="2011"/>
      <c r="R20" s="381">
        <f>R19</f>
        <v>0</v>
      </c>
      <c r="S20" s="381">
        <f>S19</f>
        <v>0</v>
      </c>
      <c r="T20" s="381">
        <f>T19</f>
        <v>0</v>
      </c>
      <c r="U20" s="381">
        <f>U19</f>
        <v>0</v>
      </c>
    </row>
    <row r="21" spans="3:21" ht="12.9" thickBot="1">
      <c r="C21" s="333"/>
      <c r="D21" s="334"/>
      <c r="E21" s="189"/>
      <c r="F21" s="189"/>
      <c r="G21" s="189"/>
      <c r="H21" s="189"/>
      <c r="I21" s="189"/>
      <c r="J21" s="189"/>
      <c r="K21" s="189"/>
      <c r="L21" s="189"/>
      <c r="M21" s="189"/>
      <c r="N21" s="189"/>
      <c r="O21" s="189"/>
      <c r="P21" s="189"/>
      <c r="Q21" s="242"/>
      <c r="R21" s="383"/>
      <c r="S21" s="384"/>
      <c r="T21" s="383"/>
      <c r="U21" s="384"/>
    </row>
    <row r="22" spans="3:21" ht="12.9" thickBot="1">
      <c r="C22" s="171"/>
      <c r="D22" s="172"/>
      <c r="E22" s="173"/>
      <c r="F22" s="173"/>
      <c r="G22" s="173"/>
      <c r="H22" s="173"/>
      <c r="I22" s="173"/>
      <c r="J22" s="173"/>
      <c r="K22" s="173"/>
      <c r="L22" s="173"/>
      <c r="M22" s="173"/>
      <c r="N22" s="173"/>
      <c r="O22" s="173"/>
      <c r="P22" s="173"/>
      <c r="Q22" s="174"/>
    </row>
    <row r="23" spans="3:21">
      <c r="C23" s="660" t="s">
        <v>133</v>
      </c>
      <c r="D23" s="161" t="s">
        <v>100</v>
      </c>
      <c r="E23" s="337">
        <f t="shared" ref="E23:Q23" si="6">E7</f>
        <v>45292</v>
      </c>
      <c r="F23" s="337">
        <f t="shared" si="6"/>
        <v>45323</v>
      </c>
      <c r="G23" s="337">
        <f t="shared" si="6"/>
        <v>45354</v>
      </c>
      <c r="H23" s="337">
        <f t="shared" si="6"/>
        <v>45385</v>
      </c>
      <c r="I23" s="337">
        <f t="shared" si="6"/>
        <v>45416</v>
      </c>
      <c r="J23" s="337">
        <f t="shared" si="6"/>
        <v>45447</v>
      </c>
      <c r="K23" s="337">
        <f t="shared" si="6"/>
        <v>45478</v>
      </c>
      <c r="L23" s="337">
        <f t="shared" si="6"/>
        <v>45509</v>
      </c>
      <c r="M23" s="337">
        <f t="shared" si="6"/>
        <v>45540</v>
      </c>
      <c r="N23" s="337">
        <f t="shared" si="6"/>
        <v>45571</v>
      </c>
      <c r="O23" s="337">
        <f t="shared" si="6"/>
        <v>45602</v>
      </c>
      <c r="P23" s="337">
        <f t="shared" si="6"/>
        <v>45633</v>
      </c>
      <c r="Q23" s="162" t="str">
        <f t="shared" si="6"/>
        <v>YHT</v>
      </c>
    </row>
    <row r="24" spans="3:21">
      <c r="C24" s="163" t="s">
        <v>127</v>
      </c>
      <c r="D24" s="201"/>
      <c r="E24" s="175">
        <f>'4. Kassabudjetti'!G35</f>
        <v>0</v>
      </c>
      <c r="F24" s="175">
        <f>'4. Kassabudjetti'!H35</f>
        <v>0</v>
      </c>
      <c r="G24" s="175">
        <f>'4. Kassabudjetti'!I35</f>
        <v>0</v>
      </c>
      <c r="H24" s="175">
        <f>'4. Kassabudjetti'!J35</f>
        <v>0</v>
      </c>
      <c r="I24" s="175">
        <f>'4. Kassabudjetti'!K35</f>
        <v>0</v>
      </c>
      <c r="J24" s="175">
        <f>'4. Kassabudjetti'!L35</f>
        <v>0</v>
      </c>
      <c r="K24" s="175">
        <f>'4. Kassabudjetti'!M35</f>
        <v>0</v>
      </c>
      <c r="L24" s="175">
        <f>'4. Kassabudjetti'!N35</f>
        <v>0</v>
      </c>
      <c r="M24" s="175">
        <f>'4. Kassabudjetti'!O35</f>
        <v>0</v>
      </c>
      <c r="N24" s="175">
        <f>'4. Kassabudjetti'!P35</f>
        <v>0</v>
      </c>
      <c r="O24" s="175">
        <f>'4. Kassabudjetti'!Q35</f>
        <v>0</v>
      </c>
      <c r="P24" s="175">
        <f>'4. Kassabudjetti'!R35</f>
        <v>0</v>
      </c>
      <c r="Q24" s="168">
        <f t="shared" ref="Q24:Q30" si="7">SUM(E24:P24)</f>
        <v>0</v>
      </c>
    </row>
    <row r="25" spans="3:21">
      <c r="C25" s="163" t="s">
        <v>128</v>
      </c>
      <c r="D25" s="208"/>
      <c r="E25" s="164">
        <f>'4. Kassabudjetti'!G36</f>
        <v>0</v>
      </c>
      <c r="F25" s="164">
        <f>'4. Kassabudjetti'!H36</f>
        <v>0</v>
      </c>
      <c r="G25" s="164">
        <f>'4. Kassabudjetti'!I36</f>
        <v>0</v>
      </c>
      <c r="H25" s="164">
        <f>'4. Kassabudjetti'!J36</f>
        <v>0</v>
      </c>
      <c r="I25" s="164">
        <f>'4. Kassabudjetti'!K36</f>
        <v>0</v>
      </c>
      <c r="J25" s="164">
        <f>'4. Kassabudjetti'!L36</f>
        <v>0</v>
      </c>
      <c r="K25" s="164">
        <f>'4. Kassabudjetti'!M36</f>
        <v>0</v>
      </c>
      <c r="L25" s="164">
        <f>'4. Kassabudjetti'!N36</f>
        <v>0</v>
      </c>
      <c r="M25" s="164">
        <f>'4. Kassabudjetti'!O36</f>
        <v>0</v>
      </c>
      <c r="N25" s="164">
        <f>'4. Kassabudjetti'!P36</f>
        <v>0</v>
      </c>
      <c r="O25" s="164">
        <f>'4. Kassabudjetti'!Q36</f>
        <v>0</v>
      </c>
      <c r="P25" s="164">
        <f>'4. Kassabudjetti'!R36</f>
        <v>0</v>
      </c>
      <c r="Q25" s="168">
        <f t="shared" si="7"/>
        <v>0</v>
      </c>
    </row>
    <row r="26" spans="3:21">
      <c r="C26" s="163" t="s">
        <v>129</v>
      </c>
      <c r="D26" s="208"/>
      <c r="E26" s="164">
        <f t="shared" ref="E26:P26" si="8">SUM(E24:E25)</f>
        <v>0</v>
      </c>
      <c r="F26" s="164">
        <f t="shared" si="8"/>
        <v>0</v>
      </c>
      <c r="G26" s="164">
        <f t="shared" si="8"/>
        <v>0</v>
      </c>
      <c r="H26" s="164">
        <f t="shared" si="8"/>
        <v>0</v>
      </c>
      <c r="I26" s="164">
        <f t="shared" si="8"/>
        <v>0</v>
      </c>
      <c r="J26" s="164">
        <f t="shared" si="8"/>
        <v>0</v>
      </c>
      <c r="K26" s="164">
        <f t="shared" si="8"/>
        <v>0</v>
      </c>
      <c r="L26" s="164">
        <f t="shared" si="8"/>
        <v>0</v>
      </c>
      <c r="M26" s="164">
        <f t="shared" si="8"/>
        <v>0</v>
      </c>
      <c r="N26" s="164">
        <f t="shared" si="8"/>
        <v>0</v>
      </c>
      <c r="O26" s="164">
        <f t="shared" si="8"/>
        <v>0</v>
      </c>
      <c r="P26" s="164">
        <f t="shared" si="8"/>
        <v>0</v>
      </c>
      <c r="Q26" s="168">
        <f t="shared" si="7"/>
        <v>0</v>
      </c>
    </row>
    <row r="27" spans="3:21" ht="12.9" thickBot="1">
      <c r="C27" s="163" t="s">
        <v>130</v>
      </c>
      <c r="D27" s="165">
        <f>'4. Kassabudjetti'!F35</f>
        <v>20</v>
      </c>
      <c r="E27" s="164">
        <f t="shared" ref="E27:P27" si="9">E26*$D27%</f>
        <v>0</v>
      </c>
      <c r="F27" s="164">
        <f t="shared" si="9"/>
        <v>0</v>
      </c>
      <c r="G27" s="164">
        <f t="shared" si="9"/>
        <v>0</v>
      </c>
      <c r="H27" s="164">
        <f t="shared" si="9"/>
        <v>0</v>
      </c>
      <c r="I27" s="164">
        <f t="shared" si="9"/>
        <v>0</v>
      </c>
      <c r="J27" s="164">
        <f t="shared" si="9"/>
        <v>0</v>
      </c>
      <c r="K27" s="164">
        <f t="shared" si="9"/>
        <v>0</v>
      </c>
      <c r="L27" s="164">
        <f t="shared" si="9"/>
        <v>0</v>
      </c>
      <c r="M27" s="164">
        <f t="shared" si="9"/>
        <v>0</v>
      </c>
      <c r="N27" s="164">
        <f t="shared" si="9"/>
        <v>0</v>
      </c>
      <c r="O27" s="164">
        <f t="shared" si="9"/>
        <v>0</v>
      </c>
      <c r="P27" s="164">
        <f t="shared" si="9"/>
        <v>0</v>
      </c>
      <c r="Q27" s="168">
        <f t="shared" si="7"/>
        <v>0</v>
      </c>
    </row>
    <row r="28" spans="3:21" ht="12.9" thickBot="1">
      <c r="C28" s="638" t="s">
        <v>519</v>
      </c>
      <c r="D28" s="176">
        <f>'4. Kassabudjetti'!F37</f>
        <v>7.94</v>
      </c>
      <c r="E28" s="177">
        <f t="shared" ref="E28:P28" si="10">E26*$D28%</f>
        <v>0</v>
      </c>
      <c r="F28" s="177">
        <f t="shared" si="10"/>
        <v>0</v>
      </c>
      <c r="G28" s="177">
        <f t="shared" si="10"/>
        <v>0</v>
      </c>
      <c r="H28" s="177">
        <f t="shared" si="10"/>
        <v>0</v>
      </c>
      <c r="I28" s="177">
        <f t="shared" si="10"/>
        <v>0</v>
      </c>
      <c r="J28" s="177">
        <f t="shared" si="10"/>
        <v>0</v>
      </c>
      <c r="K28" s="177">
        <f t="shared" si="10"/>
        <v>0</v>
      </c>
      <c r="L28" s="177">
        <f t="shared" si="10"/>
        <v>0</v>
      </c>
      <c r="M28" s="177">
        <f t="shared" si="10"/>
        <v>0</v>
      </c>
      <c r="N28" s="177">
        <f t="shared" si="10"/>
        <v>0</v>
      </c>
      <c r="O28" s="177">
        <f t="shared" si="10"/>
        <v>0</v>
      </c>
      <c r="P28" s="177">
        <f t="shared" si="10"/>
        <v>0</v>
      </c>
      <c r="Q28" s="168">
        <f t="shared" si="7"/>
        <v>0</v>
      </c>
    </row>
    <row r="29" spans="3:21" ht="12.9" thickBot="1">
      <c r="C29" s="178" t="s">
        <v>134</v>
      </c>
      <c r="D29" s="179"/>
      <c r="E29" s="180">
        <f t="shared" ref="E29:P29" si="11">E24-E28-E27</f>
        <v>0</v>
      </c>
      <c r="F29" s="180">
        <f t="shared" si="11"/>
        <v>0</v>
      </c>
      <c r="G29" s="180">
        <f t="shared" si="11"/>
        <v>0</v>
      </c>
      <c r="H29" s="180">
        <f t="shared" si="11"/>
        <v>0</v>
      </c>
      <c r="I29" s="180">
        <f t="shared" si="11"/>
        <v>0</v>
      </c>
      <c r="J29" s="180">
        <f t="shared" si="11"/>
        <v>0</v>
      </c>
      <c r="K29" s="180">
        <f t="shared" si="11"/>
        <v>0</v>
      </c>
      <c r="L29" s="180">
        <f t="shared" si="11"/>
        <v>0</v>
      </c>
      <c r="M29" s="180">
        <f t="shared" si="11"/>
        <v>0</v>
      </c>
      <c r="N29" s="180">
        <f t="shared" si="11"/>
        <v>0</v>
      </c>
      <c r="O29" s="180">
        <f t="shared" si="11"/>
        <v>0</v>
      </c>
      <c r="P29" s="180">
        <f t="shared" si="11"/>
        <v>0</v>
      </c>
      <c r="Q29" s="168">
        <f t="shared" si="7"/>
        <v>0</v>
      </c>
    </row>
    <row r="30" spans="3:21" ht="12.9" thickBot="1">
      <c r="C30" s="181" t="s">
        <v>132</v>
      </c>
      <c r="D30" s="2026">
        <f>D27+1.16</f>
        <v>21.16</v>
      </c>
      <c r="E30" s="182">
        <f t="shared" ref="E30:P30" si="12">E26*$D30%</f>
        <v>0</v>
      </c>
      <c r="F30" s="182">
        <f t="shared" si="12"/>
        <v>0</v>
      </c>
      <c r="G30" s="182">
        <f t="shared" si="12"/>
        <v>0</v>
      </c>
      <c r="H30" s="182">
        <f t="shared" si="12"/>
        <v>0</v>
      </c>
      <c r="I30" s="182">
        <f t="shared" si="12"/>
        <v>0</v>
      </c>
      <c r="J30" s="182">
        <f t="shared" si="12"/>
        <v>0</v>
      </c>
      <c r="K30" s="182">
        <f t="shared" si="12"/>
        <v>0</v>
      </c>
      <c r="L30" s="182">
        <f t="shared" si="12"/>
        <v>0</v>
      </c>
      <c r="M30" s="182">
        <f t="shared" si="12"/>
        <v>0</v>
      </c>
      <c r="N30" s="182">
        <f t="shared" si="12"/>
        <v>0</v>
      </c>
      <c r="O30" s="182">
        <f t="shared" si="12"/>
        <v>0</v>
      </c>
      <c r="P30" s="182">
        <f t="shared" si="12"/>
        <v>0</v>
      </c>
      <c r="Q30" s="183">
        <f t="shared" si="7"/>
        <v>0</v>
      </c>
      <c r="R30" s="2013">
        <f>R14</f>
        <v>2026</v>
      </c>
      <c r="S30" s="2014"/>
      <c r="T30" s="2013">
        <f>T14</f>
        <v>2027</v>
      </c>
      <c r="U30" s="2014"/>
    </row>
    <row r="31" spans="3:21">
      <c r="C31" s="364" t="s">
        <v>342</v>
      </c>
      <c r="D31" s="365"/>
      <c r="E31" s="2012" t="s">
        <v>383</v>
      </c>
      <c r="F31" s="2012"/>
      <c r="G31" s="366"/>
      <c r="H31" s="2012" t="s">
        <v>384</v>
      </c>
      <c r="I31" s="2012"/>
      <c r="J31" s="366"/>
      <c r="K31" s="366"/>
      <c r="L31" s="366"/>
      <c r="M31" s="366"/>
      <c r="N31" s="366"/>
      <c r="O31" s="366"/>
      <c r="P31" s="366"/>
      <c r="Q31" s="385"/>
      <c r="R31" s="368" t="s">
        <v>385</v>
      </c>
      <c r="S31" s="369" t="s">
        <v>386</v>
      </c>
      <c r="T31" s="368" t="s">
        <v>385</v>
      </c>
      <c r="U31" s="369" t="s">
        <v>386</v>
      </c>
    </row>
    <row r="32" spans="3:21">
      <c r="C32" s="370" t="s">
        <v>343</v>
      </c>
      <c r="D32" s="374">
        <v>0</v>
      </c>
      <c r="E32" s="386">
        <f>'Palkat '!C86</f>
        <v>0</v>
      </c>
      <c r="F32" s="372"/>
      <c r="G32" s="372"/>
      <c r="H32" s="372">
        <f>'Palkat '!C86</f>
        <v>0</v>
      </c>
      <c r="I32" s="372"/>
      <c r="J32" s="372"/>
      <c r="K32" s="372"/>
      <c r="L32" s="372"/>
      <c r="M32" s="372"/>
      <c r="N32" s="372"/>
      <c r="O32" s="372"/>
      <c r="P32" s="372"/>
      <c r="Q32" s="387"/>
      <c r="R32" s="388">
        <f>'Palkat '!D86</f>
        <v>0</v>
      </c>
      <c r="S32" s="389">
        <f>'Palkat '!D86</f>
        <v>0</v>
      </c>
      <c r="T32" s="388">
        <f>'Palkat '!E86</f>
        <v>0</v>
      </c>
      <c r="U32" s="389">
        <f>'Palkat '!E86</f>
        <v>0</v>
      </c>
    </row>
    <row r="33" spans="3:21">
      <c r="C33" s="370" t="s">
        <v>344</v>
      </c>
      <c r="D33" s="434">
        <v>0</v>
      </c>
      <c r="E33" s="390">
        <f>(E32/12/25)*30+30*0.5*(E32/12/25)</f>
        <v>0</v>
      </c>
      <c r="F33" s="391"/>
      <c r="G33" s="391"/>
      <c r="H33" s="390">
        <f>(H32/12/25)*30+30*0.5*(H32/12/25)</f>
        <v>0</v>
      </c>
      <c r="I33" s="372"/>
      <c r="J33" s="372"/>
      <c r="K33" s="372"/>
      <c r="L33" s="372"/>
      <c r="M33" s="372"/>
      <c r="N33" s="372"/>
      <c r="O33" s="372"/>
      <c r="P33" s="372"/>
      <c r="Q33" s="387"/>
      <c r="R33" s="390">
        <f>(R32/12.5/25)*30+30*0.5*(R32/12.5/25)</f>
        <v>0</v>
      </c>
      <c r="S33" s="390">
        <f>(S32/12.5/25)*30+30*0.5*(S32/12.5/25)</f>
        <v>0</v>
      </c>
      <c r="T33" s="390">
        <f>(T32/12.5/25)*30+30*0.5*(T32/12.5/25)</f>
        <v>0</v>
      </c>
      <c r="U33" s="390">
        <f>(U32/12.5/25)*30+30*0.5*(U32/12.5/25)</f>
        <v>0</v>
      </c>
    </row>
    <row r="34" spans="3:21">
      <c r="C34" s="370" t="s">
        <v>345</v>
      </c>
      <c r="D34" s="374"/>
      <c r="E34" s="375">
        <f>SUM(E33:E33)</f>
        <v>0</v>
      </c>
      <c r="F34" s="375"/>
      <c r="G34" s="372"/>
      <c r="H34" s="375">
        <f>SUM(H33:H33)</f>
        <v>0</v>
      </c>
      <c r="I34" s="372"/>
      <c r="J34" s="372"/>
      <c r="K34" s="372"/>
      <c r="L34" s="372"/>
      <c r="M34" s="372"/>
      <c r="N34" s="372"/>
      <c r="O34" s="372"/>
      <c r="P34" s="372"/>
      <c r="Q34" s="387"/>
      <c r="R34" s="376">
        <f>SUM(R33:R33)</f>
        <v>0</v>
      </c>
      <c r="S34" s="373">
        <f>SUM(S33:S33)</f>
        <v>0</v>
      </c>
      <c r="T34" s="376">
        <f>SUM(T33:T33)</f>
        <v>0</v>
      </c>
      <c r="U34" s="373">
        <f>SUM(U33:U33)</f>
        <v>0</v>
      </c>
    </row>
    <row r="35" spans="3:21">
      <c r="C35" s="370" t="s">
        <v>873</v>
      </c>
      <c r="D35" s="626">
        <v>0.19950000000000001</v>
      </c>
      <c r="E35" s="375">
        <f>$D35*E34</f>
        <v>0</v>
      </c>
      <c r="F35" s="372"/>
      <c r="G35" s="372"/>
      <c r="H35" s="375">
        <f>$D35*H34</f>
        <v>0</v>
      </c>
      <c r="I35" s="372"/>
      <c r="J35" s="372"/>
      <c r="K35" s="372"/>
      <c r="L35" s="372"/>
      <c r="M35" s="372"/>
      <c r="N35" s="372"/>
      <c r="O35" s="372"/>
      <c r="P35" s="372"/>
      <c r="Q35" s="387"/>
      <c r="R35" s="376">
        <f>$D35*R34</f>
        <v>0</v>
      </c>
      <c r="S35" s="373">
        <f>$D35*S34</f>
        <v>0</v>
      </c>
      <c r="T35" s="376">
        <f>$D35*T34</f>
        <v>0</v>
      </c>
      <c r="U35" s="373">
        <f>$D35*U34</f>
        <v>0</v>
      </c>
    </row>
    <row r="36" spans="3:21" ht="12.9" thickBot="1">
      <c r="C36" s="377" t="s">
        <v>490</v>
      </c>
      <c r="D36" s="378"/>
      <c r="E36" s="379">
        <f>E34+E35</f>
        <v>0</v>
      </c>
      <c r="F36" s="379"/>
      <c r="G36" s="379"/>
      <c r="H36" s="379">
        <f>H34+H35</f>
        <v>0</v>
      </c>
      <c r="I36" s="379"/>
      <c r="J36" s="379"/>
      <c r="K36" s="379"/>
      <c r="L36" s="380"/>
      <c r="M36" s="380"/>
      <c r="N36" s="380"/>
      <c r="O36" s="380"/>
      <c r="P36" s="2010" t="s">
        <v>489</v>
      </c>
      <c r="Q36" s="2011"/>
      <c r="R36" s="381">
        <f>R35</f>
        <v>0</v>
      </c>
      <c r="S36" s="381">
        <f>S35</f>
        <v>0</v>
      </c>
      <c r="T36" s="381">
        <f>T35</f>
        <v>0</v>
      </c>
      <c r="U36" s="381">
        <f>U35</f>
        <v>0</v>
      </c>
    </row>
    <row r="37" spans="3:21" ht="12.9" thickBot="1">
      <c r="C37" s="333"/>
      <c r="D37" s="334"/>
      <c r="E37" s="189"/>
      <c r="F37" s="189"/>
      <c r="G37" s="189"/>
      <c r="H37" s="189"/>
      <c r="I37" s="189"/>
      <c r="J37" s="189"/>
      <c r="K37" s="189"/>
      <c r="L37" s="53"/>
      <c r="M37" s="53"/>
      <c r="N37" s="53"/>
      <c r="O37" s="53"/>
      <c r="P37" s="53"/>
      <c r="Q37" s="242"/>
      <c r="R37" s="335"/>
      <c r="S37" s="336"/>
      <c r="T37" s="335"/>
      <c r="U37" s="384"/>
    </row>
    <row r="38" spans="3:21">
      <c r="C38" s="53"/>
      <c r="D38" s="53"/>
      <c r="E38" s="53"/>
      <c r="F38" s="53"/>
      <c r="G38" s="53"/>
      <c r="H38" s="53"/>
      <c r="I38" s="53"/>
      <c r="J38" s="53"/>
      <c r="K38" s="53"/>
      <c r="L38" s="53"/>
      <c r="M38" s="53"/>
      <c r="N38" s="53"/>
      <c r="O38" s="53"/>
      <c r="P38" s="53"/>
      <c r="Q38" s="53"/>
    </row>
    <row r="39" spans="3:21">
      <c r="C39" s="53"/>
      <c r="D39" s="53"/>
      <c r="E39" s="53"/>
      <c r="F39" s="53"/>
      <c r="G39" s="53"/>
      <c r="H39" s="53"/>
      <c r="I39" s="53"/>
      <c r="J39" s="53"/>
      <c r="K39" s="53"/>
      <c r="L39" s="53"/>
      <c r="M39" s="53"/>
      <c r="N39" s="53"/>
      <c r="O39" s="53"/>
      <c r="P39" s="53"/>
      <c r="Q39" s="53"/>
    </row>
    <row r="40" spans="3:21">
      <c r="C40" s="53"/>
      <c r="D40" s="53"/>
      <c r="E40" s="53"/>
      <c r="F40" s="53"/>
      <c r="G40" s="53"/>
      <c r="H40" s="53"/>
      <c r="I40" s="53"/>
      <c r="J40" s="207"/>
      <c r="K40" s="53"/>
      <c r="L40" s="53"/>
      <c r="M40" s="53"/>
      <c r="N40" s="53"/>
      <c r="O40" s="53"/>
      <c r="P40" s="53"/>
      <c r="Q40" s="53"/>
    </row>
    <row r="41" spans="3:21">
      <c r="C41" s="7" t="s">
        <v>135</v>
      </c>
      <c r="D41" s="53"/>
      <c r="E41" s="53"/>
      <c r="F41" s="53"/>
      <c r="G41" s="53"/>
      <c r="H41" s="53"/>
      <c r="I41" s="53"/>
      <c r="J41" s="53"/>
      <c r="K41" s="53"/>
      <c r="L41" s="53"/>
      <c r="M41" s="53"/>
      <c r="N41" s="53"/>
      <c r="O41" s="53"/>
      <c r="P41" s="53"/>
      <c r="Q41" s="53"/>
    </row>
    <row r="42" spans="3:21" ht="12.9" thickBot="1">
      <c r="C42" s="53"/>
      <c r="D42" s="53"/>
      <c r="E42" s="53"/>
      <c r="F42" s="53"/>
      <c r="G42" s="53"/>
      <c r="H42" s="53"/>
      <c r="I42" s="53"/>
      <c r="J42" s="53"/>
      <c r="K42" s="53"/>
      <c r="L42" s="53"/>
      <c r="M42" s="53"/>
      <c r="N42" s="53"/>
      <c r="O42" s="53"/>
      <c r="P42" s="53"/>
      <c r="Q42" s="53"/>
    </row>
    <row r="43" spans="3:21">
      <c r="C43" s="777" t="s">
        <v>0</v>
      </c>
      <c r="D43" s="185" t="s">
        <v>136</v>
      </c>
      <c r="E43" s="338">
        <f>E7</f>
        <v>45292</v>
      </c>
      <c r="F43" s="338">
        <f t="shared" ref="F43:P43" si="13">F7</f>
        <v>45323</v>
      </c>
      <c r="G43" s="338">
        <f t="shared" si="13"/>
        <v>45354</v>
      </c>
      <c r="H43" s="338">
        <f t="shared" si="13"/>
        <v>45385</v>
      </c>
      <c r="I43" s="338">
        <f t="shared" si="13"/>
        <v>45416</v>
      </c>
      <c r="J43" s="338">
        <f t="shared" si="13"/>
        <v>45447</v>
      </c>
      <c r="K43" s="338">
        <f t="shared" si="13"/>
        <v>45478</v>
      </c>
      <c r="L43" s="338">
        <f t="shared" si="13"/>
        <v>45509</v>
      </c>
      <c r="M43" s="338">
        <f t="shared" si="13"/>
        <v>45540</v>
      </c>
      <c r="N43" s="338">
        <f t="shared" si="13"/>
        <v>45571</v>
      </c>
      <c r="O43" s="338">
        <f t="shared" si="13"/>
        <v>45602</v>
      </c>
      <c r="P43" s="338">
        <f t="shared" si="13"/>
        <v>45633</v>
      </c>
      <c r="Q43" s="186" t="s">
        <v>104</v>
      </c>
    </row>
    <row r="44" spans="3:21">
      <c r="C44" s="776" t="s">
        <v>742</v>
      </c>
      <c r="D44" s="778">
        <f>IF('Kustannukset K1'!C9&gt;0,'4 AT  Myynnin alv'!B30,'4 AT  Myynnin alv'!H46)</f>
        <v>0</v>
      </c>
      <c r="E44" s="267">
        <f>'4. Kassabudjetti'!G8</f>
        <v>0</v>
      </c>
      <c r="F44" s="267">
        <f>'4. Kassabudjetti'!H8</f>
        <v>0</v>
      </c>
      <c r="G44" s="267">
        <f>'4. Kassabudjetti'!I8</f>
        <v>0</v>
      </c>
      <c r="H44" s="267">
        <f>'4. Kassabudjetti'!J8</f>
        <v>0</v>
      </c>
      <c r="I44" s="267">
        <f>'4. Kassabudjetti'!K8</f>
        <v>0</v>
      </c>
      <c r="J44" s="267">
        <f>'4. Kassabudjetti'!L8</f>
        <v>0</v>
      </c>
      <c r="K44" s="267">
        <f>'4. Kassabudjetti'!M8</f>
        <v>0</v>
      </c>
      <c r="L44" s="267">
        <f>'4. Kassabudjetti'!N8</f>
        <v>0</v>
      </c>
      <c r="M44" s="267">
        <f>'4. Kassabudjetti'!O8</f>
        <v>0</v>
      </c>
      <c r="N44" s="267">
        <f>'4. Kassabudjetti'!P8</f>
        <v>0</v>
      </c>
      <c r="O44" s="267">
        <f>'4. Kassabudjetti'!Q8</f>
        <v>0</v>
      </c>
      <c r="P44" s="267">
        <f>'4. Kassabudjetti'!R8</f>
        <v>0</v>
      </c>
      <c r="Q44" s="268">
        <f>SUM(E44:P44)</f>
        <v>0</v>
      </c>
    </row>
    <row r="45" spans="3:21">
      <c r="C45" s="187" t="s">
        <v>137</v>
      </c>
      <c r="D45" s="779"/>
      <c r="E45" s="269">
        <f>$D44*E44</f>
        <v>0</v>
      </c>
      <c r="F45" s="269">
        <f t="shared" ref="F45:P45" si="14">$D44*F44</f>
        <v>0</v>
      </c>
      <c r="G45" s="269">
        <f t="shared" si="14"/>
        <v>0</v>
      </c>
      <c r="H45" s="269">
        <f t="shared" si="14"/>
        <v>0</v>
      </c>
      <c r="I45" s="269">
        <f t="shared" si="14"/>
        <v>0</v>
      </c>
      <c r="J45" s="269">
        <f t="shared" si="14"/>
        <v>0</v>
      </c>
      <c r="K45" s="269">
        <f t="shared" si="14"/>
        <v>0</v>
      </c>
      <c r="L45" s="269">
        <f t="shared" si="14"/>
        <v>0</v>
      </c>
      <c r="M45" s="269">
        <f t="shared" si="14"/>
        <v>0</v>
      </c>
      <c r="N45" s="269">
        <f t="shared" si="14"/>
        <v>0</v>
      </c>
      <c r="O45" s="269">
        <f t="shared" si="14"/>
        <v>0</v>
      </c>
      <c r="P45" s="269">
        <f t="shared" si="14"/>
        <v>0</v>
      </c>
      <c r="Q45" s="270">
        <f>SUM(E45:P45)</f>
        <v>0</v>
      </c>
    </row>
    <row r="46" spans="3:21">
      <c r="C46" s="776" t="s">
        <v>743</v>
      </c>
      <c r="D46" s="780">
        <f>D44</f>
        <v>0</v>
      </c>
      <c r="E46" s="267">
        <f>'4. Kassabudjetti'!G10</f>
        <v>0</v>
      </c>
      <c r="F46" s="267">
        <f>'4. Kassabudjetti'!H10</f>
        <v>0</v>
      </c>
      <c r="G46" s="267">
        <f>'4. Kassabudjetti'!I10</f>
        <v>0</v>
      </c>
      <c r="H46" s="267">
        <f>'4. Kassabudjetti'!J10</f>
        <v>0</v>
      </c>
      <c r="I46" s="267">
        <f>'4. Kassabudjetti'!K10</f>
        <v>0</v>
      </c>
      <c r="J46" s="267">
        <f>'4. Kassabudjetti'!L10</f>
        <v>0</v>
      </c>
      <c r="K46" s="267">
        <f>'4. Kassabudjetti'!M10</f>
        <v>0</v>
      </c>
      <c r="L46" s="267">
        <f>'4. Kassabudjetti'!N10</f>
        <v>0</v>
      </c>
      <c r="M46" s="267">
        <f>'4. Kassabudjetti'!O10</f>
        <v>0</v>
      </c>
      <c r="N46" s="267">
        <f>'4. Kassabudjetti'!P10</f>
        <v>0</v>
      </c>
      <c r="O46" s="267">
        <f>'4. Kassabudjetti'!Q10</f>
        <v>0</v>
      </c>
      <c r="P46" s="267">
        <f>'4. Kassabudjetti'!R10</f>
        <v>0</v>
      </c>
      <c r="Q46" s="268">
        <f>SUM(E46:P46)</f>
        <v>0</v>
      </c>
    </row>
    <row r="47" spans="3:21">
      <c r="C47" s="187" t="s">
        <v>137</v>
      </c>
      <c r="D47" s="779"/>
      <c r="E47" s="269">
        <f>$D46*E46</f>
        <v>0</v>
      </c>
      <c r="F47" s="269">
        <f t="shared" ref="F47" si="15">$D46*F46</f>
        <v>0</v>
      </c>
      <c r="G47" s="269">
        <f t="shared" ref="G47" si="16">$D46*G46</f>
        <v>0</v>
      </c>
      <c r="H47" s="269">
        <f t="shared" ref="H47" si="17">$D46*H46</f>
        <v>0</v>
      </c>
      <c r="I47" s="269">
        <f t="shared" ref="I47" si="18">$D46*I46</f>
        <v>0</v>
      </c>
      <c r="J47" s="269">
        <f t="shared" ref="J47" si="19">$D46*J46</f>
        <v>0</v>
      </c>
      <c r="K47" s="269">
        <f t="shared" ref="K47" si="20">$D46*K46</f>
        <v>0</v>
      </c>
      <c r="L47" s="269">
        <f t="shared" ref="L47" si="21">$D46*L46</f>
        <v>0</v>
      </c>
      <c r="M47" s="269">
        <f t="shared" ref="M47" si="22">$D46*M46</f>
        <v>0</v>
      </c>
      <c r="N47" s="269">
        <f t="shared" ref="N47" si="23">$D46*N46</f>
        <v>0</v>
      </c>
      <c r="O47" s="269">
        <f t="shared" ref="O47" si="24">$D46*O46</f>
        <v>0</v>
      </c>
      <c r="P47" s="269">
        <f t="shared" ref="P47" si="25">$D46*P46</f>
        <v>0</v>
      </c>
      <c r="Q47" s="270">
        <f>SUM(E47:P47)</f>
        <v>0</v>
      </c>
    </row>
    <row r="48" spans="3:21">
      <c r="C48" s="163"/>
      <c r="D48" s="188"/>
      <c r="E48" s="189"/>
      <c r="F48" s="189"/>
      <c r="G48" s="189"/>
      <c r="H48" s="189"/>
      <c r="I48" s="189"/>
      <c r="J48" s="189"/>
      <c r="K48" s="189"/>
      <c r="L48" s="189"/>
      <c r="M48" s="189"/>
      <c r="N48" s="189"/>
      <c r="O48" s="189"/>
      <c r="P48" s="189"/>
      <c r="Q48" s="170"/>
    </row>
    <row r="49" spans="3:17" ht="12.9" thickBot="1">
      <c r="C49" s="775" t="s">
        <v>744</v>
      </c>
      <c r="D49" s="191"/>
      <c r="E49" s="271">
        <f>E45+E47</f>
        <v>0</v>
      </c>
      <c r="F49" s="271">
        <f t="shared" ref="F49:P49" si="26">F45+F47</f>
        <v>0</v>
      </c>
      <c r="G49" s="271">
        <f t="shared" si="26"/>
        <v>0</v>
      </c>
      <c r="H49" s="271">
        <f t="shared" si="26"/>
        <v>0</v>
      </c>
      <c r="I49" s="271">
        <f t="shared" si="26"/>
        <v>0</v>
      </c>
      <c r="J49" s="271">
        <f t="shared" si="26"/>
        <v>0</v>
      </c>
      <c r="K49" s="271">
        <f t="shared" si="26"/>
        <v>0</v>
      </c>
      <c r="L49" s="271">
        <f t="shared" si="26"/>
        <v>0</v>
      </c>
      <c r="M49" s="271">
        <f t="shared" si="26"/>
        <v>0</v>
      </c>
      <c r="N49" s="271">
        <f t="shared" si="26"/>
        <v>0</v>
      </c>
      <c r="O49" s="271">
        <f t="shared" si="26"/>
        <v>0</v>
      </c>
      <c r="P49" s="271">
        <f t="shared" si="26"/>
        <v>0</v>
      </c>
      <c r="Q49" s="418">
        <f>SUM(E49:P49)</f>
        <v>0</v>
      </c>
    </row>
    <row r="50" spans="3:17">
      <c r="C50" s="68"/>
      <c r="D50" s="188"/>
      <c r="E50" s="214"/>
      <c r="F50" s="214"/>
      <c r="G50" s="214"/>
      <c r="H50" s="214"/>
      <c r="I50" s="214"/>
      <c r="J50" s="214"/>
      <c r="K50" s="214"/>
      <c r="L50" s="214"/>
      <c r="M50" s="214"/>
      <c r="N50" s="214"/>
      <c r="O50" s="214"/>
      <c r="P50" s="214"/>
      <c r="Q50" s="215"/>
    </row>
    <row r="51" spans="3:17">
      <c r="C51" s="68"/>
      <c r="D51" s="188"/>
      <c r="E51" s="214"/>
      <c r="F51" s="214"/>
      <c r="G51" s="214"/>
      <c r="H51" s="214"/>
      <c r="I51" s="214"/>
      <c r="J51" s="214"/>
      <c r="K51" s="214"/>
      <c r="L51" s="214"/>
      <c r="M51" s="214"/>
      <c r="N51" s="214"/>
      <c r="O51" s="214"/>
      <c r="P51" s="214"/>
      <c r="Q51" s="215"/>
    </row>
    <row r="52" spans="3:17" ht="12.9" thickBot="1">
      <c r="C52" s="68"/>
      <c r="D52" s="188"/>
      <c r="E52" s="189"/>
      <c r="F52" s="189"/>
      <c r="G52" s="189"/>
      <c r="H52" s="189"/>
      <c r="I52" s="189"/>
      <c r="J52" s="189"/>
      <c r="K52" s="189"/>
      <c r="L52" s="189"/>
      <c r="M52" s="189"/>
      <c r="N52" s="189"/>
      <c r="O52" s="189"/>
      <c r="P52" s="189"/>
      <c r="Q52" s="91"/>
    </row>
    <row r="53" spans="3:17">
      <c r="C53" s="184" t="s">
        <v>138</v>
      </c>
      <c r="D53" s="185" t="s">
        <v>136</v>
      </c>
      <c r="E53" s="339">
        <f t="shared" ref="E53:P53" si="27">E7</f>
        <v>45292</v>
      </c>
      <c r="F53" s="339">
        <f t="shared" si="27"/>
        <v>45323</v>
      </c>
      <c r="G53" s="339">
        <f t="shared" si="27"/>
        <v>45354</v>
      </c>
      <c r="H53" s="339">
        <f t="shared" si="27"/>
        <v>45385</v>
      </c>
      <c r="I53" s="339">
        <f t="shared" si="27"/>
        <v>45416</v>
      </c>
      <c r="J53" s="339">
        <f t="shared" si="27"/>
        <v>45447</v>
      </c>
      <c r="K53" s="339">
        <f t="shared" si="27"/>
        <v>45478</v>
      </c>
      <c r="L53" s="339">
        <f t="shared" si="27"/>
        <v>45509</v>
      </c>
      <c r="M53" s="339">
        <f t="shared" si="27"/>
        <v>45540</v>
      </c>
      <c r="N53" s="339">
        <f t="shared" si="27"/>
        <v>45571</v>
      </c>
      <c r="O53" s="339">
        <f t="shared" si="27"/>
        <v>45602</v>
      </c>
      <c r="P53" s="339">
        <f t="shared" si="27"/>
        <v>45633</v>
      </c>
      <c r="Q53" s="192" t="s">
        <v>104</v>
      </c>
    </row>
    <row r="54" spans="3:17">
      <c r="C54" s="959" t="s">
        <v>756</v>
      </c>
      <c r="D54" s="964">
        <f>'4. Kassabudjetti'!$F18/(1+'4. Kassabudjetti'!$F18/100)</f>
        <v>19.35483870967742</v>
      </c>
      <c r="E54" s="958">
        <f>IF('4. Kassabudjetti'!$V11=0,0,'4. Kassabudjetti'!$V18*(E44+E46)/'4. Kassabudjetti'!$V11)</f>
        <v>0</v>
      </c>
      <c r="F54" s="958">
        <f>IF('4. Kassabudjetti'!$V11=0,0,'4. Kassabudjetti'!$V18*(F44+F46)/'4. Kassabudjetti'!$V11)</f>
        <v>0</v>
      </c>
      <c r="G54" s="958">
        <f>IF('4. Kassabudjetti'!$V11=0,0,'4. Kassabudjetti'!$V18*(G44+G46)/'4. Kassabudjetti'!$V11)</f>
        <v>0</v>
      </c>
      <c r="H54" s="958">
        <f>IF('4. Kassabudjetti'!$V11=0,0,'4. Kassabudjetti'!$V18*(H44+H46)/'4. Kassabudjetti'!$V11)</f>
        <v>0</v>
      </c>
      <c r="I54" s="958">
        <f>IF('4. Kassabudjetti'!$V11=0,0,'4. Kassabudjetti'!$V18*(I44+I46)/'4. Kassabudjetti'!$V11)</f>
        <v>0</v>
      </c>
      <c r="J54" s="958">
        <f>IF('4. Kassabudjetti'!$V11=0,0,'4. Kassabudjetti'!$V18*(J44+J46)/'4. Kassabudjetti'!$V11)</f>
        <v>0</v>
      </c>
      <c r="K54" s="958">
        <f>IF('4. Kassabudjetti'!$V11=0,0,'4. Kassabudjetti'!$V18*(K44+K46)/'4. Kassabudjetti'!$V11)</f>
        <v>0</v>
      </c>
      <c r="L54" s="958">
        <f>IF('4. Kassabudjetti'!$V11=0,0,'4. Kassabudjetti'!$V18*(L44+L46)/'4. Kassabudjetti'!$V11)</f>
        <v>0</v>
      </c>
      <c r="M54" s="958">
        <f>IF('4. Kassabudjetti'!$V11=0,0,'4. Kassabudjetti'!$V18*(M44+M46)/'4. Kassabudjetti'!$V11)</f>
        <v>0</v>
      </c>
      <c r="N54" s="958">
        <f>IF('4. Kassabudjetti'!$V11=0,0,'4. Kassabudjetti'!$V18*(N44+N46)/'4. Kassabudjetti'!$V11)</f>
        <v>0</v>
      </c>
      <c r="O54" s="958">
        <f>IF('4. Kassabudjetti'!$V11=0,0,'4. Kassabudjetti'!$V18*(O44+O46)/'4. Kassabudjetti'!$V11)</f>
        <v>0</v>
      </c>
      <c r="P54" s="958">
        <f>IF('4. Kassabudjetti'!$V11=0,0,'4. Kassabudjetti'!$V18*(P44+P46)/'4. Kassabudjetti'!$V11)</f>
        <v>0</v>
      </c>
      <c r="Q54" s="990">
        <f>SUM(E54:P54)</f>
        <v>0</v>
      </c>
    </row>
    <row r="55" spans="3:17">
      <c r="C55" s="960" t="s">
        <v>139</v>
      </c>
      <c r="D55" s="196"/>
      <c r="E55" s="269">
        <f>$D54*E54/100</f>
        <v>0</v>
      </c>
      <c r="F55" s="269">
        <f t="shared" ref="F55:P55" si="28">$D54*F54/100</f>
        <v>0</v>
      </c>
      <c r="G55" s="269">
        <f t="shared" si="28"/>
        <v>0</v>
      </c>
      <c r="H55" s="269">
        <f t="shared" si="28"/>
        <v>0</v>
      </c>
      <c r="I55" s="269">
        <f t="shared" si="28"/>
        <v>0</v>
      </c>
      <c r="J55" s="269">
        <f t="shared" si="28"/>
        <v>0</v>
      </c>
      <c r="K55" s="269">
        <f t="shared" si="28"/>
        <v>0</v>
      </c>
      <c r="L55" s="269">
        <f t="shared" si="28"/>
        <v>0</v>
      </c>
      <c r="M55" s="269">
        <f t="shared" si="28"/>
        <v>0</v>
      </c>
      <c r="N55" s="269">
        <f t="shared" si="28"/>
        <v>0</v>
      </c>
      <c r="O55" s="269">
        <f t="shared" si="28"/>
        <v>0</v>
      </c>
      <c r="P55" s="269">
        <f t="shared" si="28"/>
        <v>0</v>
      </c>
      <c r="Q55" s="991">
        <f>SUM(E55:P55)</f>
        <v>0</v>
      </c>
    </row>
    <row r="56" spans="3:17">
      <c r="C56" s="959" t="str">
        <f>'4. Kassabudjetti'!C20</f>
        <v xml:space="preserve"> Toimitilavuokrat</v>
      </c>
      <c r="D56" s="211">
        <f>'4. Kassabudjetti'!F20</f>
        <v>24</v>
      </c>
      <c r="E56" s="274">
        <f>'4. Kassabudjetti'!G20</f>
        <v>0</v>
      </c>
      <c r="F56" s="274">
        <f>'4. Kassabudjetti'!H20</f>
        <v>0</v>
      </c>
      <c r="G56" s="274">
        <f>'4. Kassabudjetti'!I20</f>
        <v>0</v>
      </c>
      <c r="H56" s="274">
        <f>'4. Kassabudjetti'!J20</f>
        <v>0</v>
      </c>
      <c r="I56" s="274">
        <f>'4. Kassabudjetti'!K20</f>
        <v>0</v>
      </c>
      <c r="J56" s="274">
        <f>'4. Kassabudjetti'!L20</f>
        <v>0</v>
      </c>
      <c r="K56" s="274">
        <f>'4. Kassabudjetti'!M20</f>
        <v>0</v>
      </c>
      <c r="L56" s="274">
        <f>'4. Kassabudjetti'!N20</f>
        <v>0</v>
      </c>
      <c r="M56" s="274">
        <f>'4. Kassabudjetti'!O20</f>
        <v>0</v>
      </c>
      <c r="N56" s="274">
        <f>'4. Kassabudjetti'!P20</f>
        <v>0</v>
      </c>
      <c r="O56" s="274">
        <f>'4. Kassabudjetti'!Q20</f>
        <v>0</v>
      </c>
      <c r="P56" s="274">
        <f>'4. Kassabudjetti'!R20</f>
        <v>0</v>
      </c>
      <c r="Q56" s="275">
        <f>SUM(E56:P56)</f>
        <v>0</v>
      </c>
    </row>
    <row r="57" spans="3:17">
      <c r="C57" s="960" t="s">
        <v>139</v>
      </c>
      <c r="D57" s="211"/>
      <c r="E57" s="269">
        <f>E56-E56/(1+$D56/100)</f>
        <v>0</v>
      </c>
      <c r="F57" s="269">
        <f t="shared" ref="F57:P57" si="29">F56-F56/(1+$D56/100)</f>
        <v>0</v>
      </c>
      <c r="G57" s="269">
        <f t="shared" si="29"/>
        <v>0</v>
      </c>
      <c r="H57" s="269">
        <f t="shared" si="29"/>
        <v>0</v>
      </c>
      <c r="I57" s="269">
        <f t="shared" si="29"/>
        <v>0</v>
      </c>
      <c r="J57" s="269">
        <f t="shared" si="29"/>
        <v>0</v>
      </c>
      <c r="K57" s="269">
        <f t="shared" si="29"/>
        <v>0</v>
      </c>
      <c r="L57" s="269">
        <f t="shared" si="29"/>
        <v>0</v>
      </c>
      <c r="M57" s="269">
        <f t="shared" si="29"/>
        <v>0</v>
      </c>
      <c r="N57" s="269">
        <f t="shared" si="29"/>
        <v>0</v>
      </c>
      <c r="O57" s="269">
        <f t="shared" si="29"/>
        <v>0</v>
      </c>
      <c r="P57" s="269">
        <f t="shared" si="29"/>
        <v>0</v>
      </c>
      <c r="Q57" s="273"/>
    </row>
    <row r="58" spans="3:17">
      <c r="C58" s="193" t="str">
        <f>'4. Kassabudjetti'!C21</f>
        <v xml:space="preserve"> Leasingvuokrat, muut kone- ja laitevuokrat</v>
      </c>
      <c r="D58" s="194">
        <f>'4. Kassabudjetti'!F21</f>
        <v>24</v>
      </c>
      <c r="E58" s="272">
        <f>'4. Kassabudjetti'!G21</f>
        <v>0</v>
      </c>
      <c r="F58" s="272">
        <f>'4. Kassabudjetti'!H21</f>
        <v>0</v>
      </c>
      <c r="G58" s="272">
        <f>'4. Kassabudjetti'!I21</f>
        <v>0</v>
      </c>
      <c r="H58" s="272">
        <f>'4. Kassabudjetti'!J21</f>
        <v>0</v>
      </c>
      <c r="I58" s="272">
        <f>'4. Kassabudjetti'!K21</f>
        <v>0</v>
      </c>
      <c r="J58" s="272">
        <f>'4. Kassabudjetti'!L21</f>
        <v>0</v>
      </c>
      <c r="K58" s="272">
        <f>'4. Kassabudjetti'!M21</f>
        <v>0</v>
      </c>
      <c r="L58" s="272">
        <f>'4. Kassabudjetti'!N21</f>
        <v>0</v>
      </c>
      <c r="M58" s="272">
        <f>'4. Kassabudjetti'!O21</f>
        <v>0</v>
      </c>
      <c r="N58" s="272">
        <f>'4. Kassabudjetti'!P21</f>
        <v>0</v>
      </c>
      <c r="O58" s="272">
        <f>'4. Kassabudjetti'!Q21</f>
        <v>0</v>
      </c>
      <c r="P58" s="272">
        <f>'4. Kassabudjetti'!R21</f>
        <v>0</v>
      </c>
      <c r="Q58" s="268">
        <f>SUM(E58:P58)</f>
        <v>0</v>
      </c>
    </row>
    <row r="59" spans="3:17">
      <c r="C59" s="195" t="s">
        <v>139</v>
      </c>
      <c r="D59" s="196"/>
      <c r="E59" s="269">
        <f>E58-E58/(1+$D58/100)</f>
        <v>0</v>
      </c>
      <c r="F59" s="269">
        <f t="shared" ref="F59:P59" si="30">F58-F58/(1+$D58/100)</f>
        <v>0</v>
      </c>
      <c r="G59" s="269">
        <f t="shared" si="30"/>
        <v>0</v>
      </c>
      <c r="H59" s="269">
        <f t="shared" si="30"/>
        <v>0</v>
      </c>
      <c r="I59" s="269">
        <f t="shared" si="30"/>
        <v>0</v>
      </c>
      <c r="J59" s="269">
        <f t="shared" si="30"/>
        <v>0</v>
      </c>
      <c r="K59" s="269">
        <f t="shared" si="30"/>
        <v>0</v>
      </c>
      <c r="L59" s="269">
        <f t="shared" si="30"/>
        <v>0</v>
      </c>
      <c r="M59" s="269">
        <f t="shared" si="30"/>
        <v>0</v>
      </c>
      <c r="N59" s="269">
        <f t="shared" si="30"/>
        <v>0</v>
      </c>
      <c r="O59" s="269">
        <f t="shared" si="30"/>
        <v>0</v>
      </c>
      <c r="P59" s="269">
        <f t="shared" si="30"/>
        <v>0</v>
      </c>
      <c r="Q59" s="273"/>
    </row>
    <row r="60" spans="3:17">
      <c r="C60" s="197" t="str">
        <f>'4. Kassabudjetti'!C22</f>
        <v xml:space="preserve"> Sähkö-, vesi- ja lämmityskulut</v>
      </c>
      <c r="D60" s="198">
        <f>'4. Kassabudjetti'!F22</f>
        <v>24</v>
      </c>
      <c r="E60" s="274">
        <f>'4. Kassabudjetti'!G22</f>
        <v>0</v>
      </c>
      <c r="F60" s="274">
        <f>'4. Kassabudjetti'!H22</f>
        <v>0</v>
      </c>
      <c r="G60" s="274">
        <f>'4. Kassabudjetti'!I22</f>
        <v>0</v>
      </c>
      <c r="H60" s="274">
        <f>'4. Kassabudjetti'!J22</f>
        <v>0</v>
      </c>
      <c r="I60" s="274">
        <f>'4. Kassabudjetti'!K22</f>
        <v>0</v>
      </c>
      <c r="J60" s="274">
        <f>'4. Kassabudjetti'!L22</f>
        <v>0</v>
      </c>
      <c r="K60" s="274">
        <f>'4. Kassabudjetti'!M22</f>
        <v>0</v>
      </c>
      <c r="L60" s="274">
        <f>'4. Kassabudjetti'!N22</f>
        <v>0</v>
      </c>
      <c r="M60" s="274">
        <f>'4. Kassabudjetti'!O22</f>
        <v>0</v>
      </c>
      <c r="N60" s="274">
        <f>'4. Kassabudjetti'!P22</f>
        <v>0</v>
      </c>
      <c r="O60" s="274">
        <f>'4. Kassabudjetti'!Q22</f>
        <v>0</v>
      </c>
      <c r="P60" s="274">
        <f>'4. Kassabudjetti'!R22</f>
        <v>0</v>
      </c>
      <c r="Q60" s="268">
        <f>SUM(E60:P60)</f>
        <v>0</v>
      </c>
    </row>
    <row r="61" spans="3:17">
      <c r="C61" s="197" t="s">
        <v>139</v>
      </c>
      <c r="D61" s="198"/>
      <c r="E61" s="269">
        <f>E60-E60/(1+$D60/100)</f>
        <v>0</v>
      </c>
      <c r="F61" s="269">
        <f t="shared" ref="F61:P61" si="31">F60-F60/(1+$D60/100)</f>
        <v>0</v>
      </c>
      <c r="G61" s="269">
        <f t="shared" si="31"/>
        <v>0</v>
      </c>
      <c r="H61" s="269">
        <f t="shared" si="31"/>
        <v>0</v>
      </c>
      <c r="I61" s="269">
        <f t="shared" si="31"/>
        <v>0</v>
      </c>
      <c r="J61" s="269">
        <f t="shared" si="31"/>
        <v>0</v>
      </c>
      <c r="K61" s="269">
        <f t="shared" si="31"/>
        <v>0</v>
      </c>
      <c r="L61" s="269">
        <f t="shared" si="31"/>
        <v>0</v>
      </c>
      <c r="M61" s="269">
        <f t="shared" si="31"/>
        <v>0</v>
      </c>
      <c r="N61" s="269">
        <f t="shared" si="31"/>
        <v>0</v>
      </c>
      <c r="O61" s="269">
        <f t="shared" si="31"/>
        <v>0</v>
      </c>
      <c r="P61" s="269">
        <f t="shared" si="31"/>
        <v>0</v>
      </c>
      <c r="Q61" s="275"/>
    </row>
    <row r="62" spans="3:17">
      <c r="C62" s="193" t="str">
        <f>'4. Kassabudjetti'!C23</f>
        <v xml:space="preserve"> Tietoliikennekulut</v>
      </c>
      <c r="D62" s="194">
        <f>'4. Kassabudjetti'!F23</f>
        <v>24</v>
      </c>
      <c r="E62" s="272">
        <f>'4. Kassabudjetti'!G23</f>
        <v>0</v>
      </c>
      <c r="F62" s="272">
        <f>'4. Kassabudjetti'!H23</f>
        <v>0</v>
      </c>
      <c r="G62" s="272">
        <f>'4. Kassabudjetti'!I23</f>
        <v>0</v>
      </c>
      <c r="H62" s="272">
        <f>'4. Kassabudjetti'!J23</f>
        <v>0</v>
      </c>
      <c r="I62" s="272">
        <f>'4. Kassabudjetti'!K23</f>
        <v>0</v>
      </c>
      <c r="J62" s="272">
        <f>'4. Kassabudjetti'!L23</f>
        <v>0</v>
      </c>
      <c r="K62" s="272">
        <f>'4. Kassabudjetti'!M23</f>
        <v>0</v>
      </c>
      <c r="L62" s="272">
        <f>'4. Kassabudjetti'!N23</f>
        <v>0</v>
      </c>
      <c r="M62" s="272">
        <f>'4. Kassabudjetti'!O23</f>
        <v>0</v>
      </c>
      <c r="N62" s="272">
        <f>'4. Kassabudjetti'!P23</f>
        <v>0</v>
      </c>
      <c r="O62" s="272">
        <f>'4. Kassabudjetti'!Q23</f>
        <v>0</v>
      </c>
      <c r="P62" s="272">
        <f>'4. Kassabudjetti'!R23</f>
        <v>0</v>
      </c>
      <c r="Q62" s="268">
        <f>SUM(E62:P62)</f>
        <v>0</v>
      </c>
    </row>
    <row r="63" spans="3:17">
      <c r="C63" s="195" t="s">
        <v>139</v>
      </c>
      <c r="D63" s="196"/>
      <c r="E63" s="269">
        <f>E62-E62/(1+$D62/100)</f>
        <v>0</v>
      </c>
      <c r="F63" s="269">
        <f t="shared" ref="F63:P63" si="32">F62-F62/(1+$D62/100)</f>
        <v>0</v>
      </c>
      <c r="G63" s="269">
        <f t="shared" si="32"/>
        <v>0</v>
      </c>
      <c r="H63" s="269">
        <f t="shared" si="32"/>
        <v>0</v>
      </c>
      <c r="I63" s="269">
        <f t="shared" si="32"/>
        <v>0</v>
      </c>
      <c r="J63" s="269">
        <f t="shared" si="32"/>
        <v>0</v>
      </c>
      <c r="K63" s="269">
        <f t="shared" si="32"/>
        <v>0</v>
      </c>
      <c r="L63" s="269">
        <f t="shared" si="32"/>
        <v>0</v>
      </c>
      <c r="M63" s="269">
        <f t="shared" si="32"/>
        <v>0</v>
      </c>
      <c r="N63" s="269">
        <f t="shared" si="32"/>
        <v>0</v>
      </c>
      <c r="O63" s="269">
        <f t="shared" si="32"/>
        <v>0</v>
      </c>
      <c r="P63" s="269">
        <f t="shared" si="32"/>
        <v>0</v>
      </c>
      <c r="Q63" s="273"/>
    </row>
    <row r="64" spans="3:17">
      <c r="C64" s="197" t="str">
        <f>'4. Kassabudjetti'!C24</f>
        <v xml:space="preserve"> Markkinointi ja mainonta</v>
      </c>
      <c r="D64" s="198">
        <f>'4. Kassabudjetti'!F24</f>
        <v>24</v>
      </c>
      <c r="E64" s="274">
        <f>'4. Kassabudjetti'!G24</f>
        <v>0</v>
      </c>
      <c r="F64" s="274">
        <f>'4. Kassabudjetti'!H24</f>
        <v>0</v>
      </c>
      <c r="G64" s="274">
        <f>'4. Kassabudjetti'!I24</f>
        <v>0</v>
      </c>
      <c r="H64" s="274">
        <f>'4. Kassabudjetti'!J24</f>
        <v>0</v>
      </c>
      <c r="I64" s="274">
        <f>'4. Kassabudjetti'!K24</f>
        <v>0</v>
      </c>
      <c r="J64" s="274">
        <f>'4. Kassabudjetti'!L24</f>
        <v>0</v>
      </c>
      <c r="K64" s="274">
        <f>'4. Kassabudjetti'!M24</f>
        <v>0</v>
      </c>
      <c r="L64" s="274">
        <f>'4. Kassabudjetti'!N24</f>
        <v>0</v>
      </c>
      <c r="M64" s="274">
        <f>'4. Kassabudjetti'!O24</f>
        <v>0</v>
      </c>
      <c r="N64" s="274">
        <f>'4. Kassabudjetti'!P24</f>
        <v>0</v>
      </c>
      <c r="O64" s="274">
        <f>'4. Kassabudjetti'!Q24</f>
        <v>0</v>
      </c>
      <c r="P64" s="274">
        <f>'4. Kassabudjetti'!R24</f>
        <v>0</v>
      </c>
      <c r="Q64" s="268">
        <f>SUM(E64:P64)</f>
        <v>0</v>
      </c>
    </row>
    <row r="65" spans="3:22">
      <c r="C65" s="197" t="s">
        <v>139</v>
      </c>
      <c r="D65" s="198"/>
      <c r="E65" s="269">
        <f>E64-E64/(1+$D64/100)</f>
        <v>0</v>
      </c>
      <c r="F65" s="269">
        <f t="shared" ref="F65:N65" si="33">F64-F64/(1+$D64/100)</f>
        <v>0</v>
      </c>
      <c r="G65" s="269">
        <f t="shared" si="33"/>
        <v>0</v>
      </c>
      <c r="H65" s="269">
        <f t="shared" si="33"/>
        <v>0</v>
      </c>
      <c r="I65" s="269">
        <f t="shared" si="33"/>
        <v>0</v>
      </c>
      <c r="J65" s="269">
        <f t="shared" si="33"/>
        <v>0</v>
      </c>
      <c r="K65" s="269">
        <f t="shared" si="33"/>
        <v>0</v>
      </c>
      <c r="L65" s="269">
        <f t="shared" si="33"/>
        <v>0</v>
      </c>
      <c r="M65" s="269">
        <f t="shared" si="33"/>
        <v>0</v>
      </c>
      <c r="N65" s="269">
        <f t="shared" si="33"/>
        <v>0</v>
      </c>
      <c r="O65" s="269">
        <f>O64-O64/(1+$D64/100)</f>
        <v>0</v>
      </c>
      <c r="P65" s="269">
        <f>P64-P64/(1+$D64/100)</f>
        <v>0</v>
      </c>
      <c r="Q65" s="275"/>
    </row>
    <row r="66" spans="3:22">
      <c r="C66" s="193" t="str">
        <f>'4. Kassabudjetti'!C25</f>
        <v xml:space="preserve"> Investoinnit sisältäen alv:n</v>
      </c>
      <c r="D66" s="194">
        <f>'4. Kassabudjetti'!F25</f>
        <v>24</v>
      </c>
      <c r="E66" s="272">
        <f>'4. Kassabudjetti'!G25</f>
        <v>0</v>
      </c>
      <c r="F66" s="272">
        <f>'4. Kassabudjetti'!H25</f>
        <v>0</v>
      </c>
      <c r="G66" s="272">
        <f>'4. Kassabudjetti'!I25</f>
        <v>0</v>
      </c>
      <c r="H66" s="272">
        <f>'4. Kassabudjetti'!J25</f>
        <v>0</v>
      </c>
      <c r="I66" s="272">
        <f>'4. Kassabudjetti'!K25</f>
        <v>0</v>
      </c>
      <c r="J66" s="272">
        <f>'4. Kassabudjetti'!L25</f>
        <v>0</v>
      </c>
      <c r="K66" s="272">
        <f>'4. Kassabudjetti'!M25</f>
        <v>0</v>
      </c>
      <c r="L66" s="272">
        <f>'4. Kassabudjetti'!N25</f>
        <v>0</v>
      </c>
      <c r="M66" s="272">
        <f>'4. Kassabudjetti'!O25</f>
        <v>0</v>
      </c>
      <c r="N66" s="272">
        <f>'4. Kassabudjetti'!P25</f>
        <v>0</v>
      </c>
      <c r="O66" s="272">
        <f>'4. Kassabudjetti'!Q25</f>
        <v>0</v>
      </c>
      <c r="P66" s="272">
        <f>'4. Kassabudjetti'!R25</f>
        <v>0</v>
      </c>
      <c r="Q66" s="268">
        <f>SUM(E66:P66)</f>
        <v>0</v>
      </c>
    </row>
    <row r="67" spans="3:22">
      <c r="C67" s="195" t="s">
        <v>139</v>
      </c>
      <c r="D67" s="196"/>
      <c r="E67" s="269">
        <f>E66-E66/(1+$D66/100)</f>
        <v>0</v>
      </c>
      <c r="F67" s="269">
        <f t="shared" ref="F67:P69" si="34">F66-F66/(1+$D66/100)</f>
        <v>0</v>
      </c>
      <c r="G67" s="269">
        <f t="shared" si="34"/>
        <v>0</v>
      </c>
      <c r="H67" s="269">
        <f t="shared" si="34"/>
        <v>0</v>
      </c>
      <c r="I67" s="269">
        <f t="shared" si="34"/>
        <v>0</v>
      </c>
      <c r="J67" s="269">
        <f t="shared" si="34"/>
        <v>0</v>
      </c>
      <c r="K67" s="269">
        <f t="shared" si="34"/>
        <v>0</v>
      </c>
      <c r="L67" s="269">
        <f t="shared" si="34"/>
        <v>0</v>
      </c>
      <c r="M67" s="269">
        <f t="shared" si="34"/>
        <v>0</v>
      </c>
      <c r="N67" s="269">
        <f t="shared" si="34"/>
        <v>0</v>
      </c>
      <c r="O67" s="269">
        <f t="shared" si="34"/>
        <v>0</v>
      </c>
      <c r="P67" s="269">
        <f t="shared" si="34"/>
        <v>0</v>
      </c>
      <c r="Q67" s="273"/>
    </row>
    <row r="68" spans="3:22">
      <c r="C68" s="197" t="str">
        <f>'4. Kassabudjetti'!C26</f>
        <v xml:space="preserve"> Auto- ja työkonekulut (alv-vähennyskelpoiset)</v>
      </c>
      <c r="D68" s="213">
        <f>'4. Kassabudjetti'!F26</f>
        <v>24</v>
      </c>
      <c r="E68" s="169">
        <f>'4. Kassabudjetti'!G26</f>
        <v>0</v>
      </c>
      <c r="F68" s="169">
        <f>'4. Kassabudjetti'!H26</f>
        <v>0</v>
      </c>
      <c r="G68" s="169">
        <f>'4. Kassabudjetti'!I26</f>
        <v>0</v>
      </c>
      <c r="H68" s="169">
        <f>'4. Kassabudjetti'!J26</f>
        <v>0</v>
      </c>
      <c r="I68" s="169">
        <f>'4. Kassabudjetti'!K26</f>
        <v>0</v>
      </c>
      <c r="J68" s="169">
        <f>'4. Kassabudjetti'!L26</f>
        <v>0</v>
      </c>
      <c r="K68" s="169">
        <f>'4. Kassabudjetti'!M26</f>
        <v>0</v>
      </c>
      <c r="L68" s="169">
        <f>'4. Kassabudjetti'!N26</f>
        <v>0</v>
      </c>
      <c r="M68" s="169">
        <f>'4. Kassabudjetti'!O26</f>
        <v>0</v>
      </c>
      <c r="N68" s="169">
        <f>'4. Kassabudjetti'!P26</f>
        <v>0</v>
      </c>
      <c r="O68" s="169">
        <f>'4. Kassabudjetti'!Q26</f>
        <v>0</v>
      </c>
      <c r="P68" s="169">
        <f>'4. Kassabudjetti'!R26</f>
        <v>0</v>
      </c>
      <c r="Q68" s="268">
        <f>SUM(E68:P68)</f>
        <v>0</v>
      </c>
    </row>
    <row r="69" spans="3:22">
      <c r="C69" s="195" t="s">
        <v>139</v>
      </c>
      <c r="D69" s="198"/>
      <c r="E69" s="269">
        <f>E68-E68/(1+$D68/100)</f>
        <v>0</v>
      </c>
      <c r="F69" s="269">
        <f t="shared" si="34"/>
        <v>0</v>
      </c>
      <c r="G69" s="269">
        <f t="shared" si="34"/>
        <v>0</v>
      </c>
      <c r="H69" s="269">
        <f t="shared" si="34"/>
        <v>0</v>
      </c>
      <c r="I69" s="269">
        <f t="shared" si="34"/>
        <v>0</v>
      </c>
      <c r="J69" s="269">
        <f t="shared" si="34"/>
        <v>0</v>
      </c>
      <c r="K69" s="269">
        <f t="shared" si="34"/>
        <v>0</v>
      </c>
      <c r="L69" s="269">
        <f t="shared" si="34"/>
        <v>0</v>
      </c>
      <c r="M69" s="269">
        <f t="shared" si="34"/>
        <v>0</v>
      </c>
      <c r="N69" s="269">
        <f t="shared" si="34"/>
        <v>0</v>
      </c>
      <c r="O69" s="269">
        <f t="shared" si="34"/>
        <v>0</v>
      </c>
      <c r="P69" s="269">
        <f t="shared" si="34"/>
        <v>0</v>
      </c>
      <c r="Q69" s="273"/>
    </row>
    <row r="70" spans="3:22">
      <c r="C70" s="197" t="str">
        <f>'4. Kassabudjetti'!C27</f>
        <v xml:space="preserve"> Puhtaanapito, korjaus, vartiointi, muut kulut</v>
      </c>
      <c r="D70" s="213">
        <f>'4. Kassabudjetti'!F27</f>
        <v>24</v>
      </c>
      <c r="E70" s="169">
        <f>'4. Kassabudjetti'!G27</f>
        <v>0</v>
      </c>
      <c r="F70" s="169">
        <f>'4. Kassabudjetti'!H27</f>
        <v>0</v>
      </c>
      <c r="G70" s="169">
        <f>'4. Kassabudjetti'!I27</f>
        <v>0</v>
      </c>
      <c r="H70" s="169">
        <f>'4. Kassabudjetti'!J27</f>
        <v>0</v>
      </c>
      <c r="I70" s="169">
        <f>'4. Kassabudjetti'!K27</f>
        <v>0</v>
      </c>
      <c r="J70" s="169">
        <f>'4. Kassabudjetti'!L27</f>
        <v>0</v>
      </c>
      <c r="K70" s="169">
        <f>'4. Kassabudjetti'!M27</f>
        <v>0</v>
      </c>
      <c r="L70" s="169">
        <f>'4. Kassabudjetti'!N27</f>
        <v>0</v>
      </c>
      <c r="M70" s="169">
        <f>'4. Kassabudjetti'!O27</f>
        <v>0</v>
      </c>
      <c r="N70" s="169">
        <f>'4. Kassabudjetti'!P27</f>
        <v>0</v>
      </c>
      <c r="O70" s="169">
        <f>'4. Kassabudjetti'!Q27</f>
        <v>0</v>
      </c>
      <c r="P70" s="169">
        <f>'4. Kassabudjetti'!R27</f>
        <v>0</v>
      </c>
      <c r="Q70" s="268">
        <f>SUM(E70:P70)</f>
        <v>0</v>
      </c>
    </row>
    <row r="71" spans="3:22">
      <c r="C71" s="195" t="s">
        <v>139</v>
      </c>
      <c r="D71" s="198"/>
      <c r="E71" s="269">
        <f>E70-E70/(1+$D70/100)</f>
        <v>0</v>
      </c>
      <c r="F71" s="269">
        <f t="shared" ref="F71:P71" si="35">F70-F70/(1+$D70/100)</f>
        <v>0</v>
      </c>
      <c r="G71" s="269">
        <f t="shared" si="35"/>
        <v>0</v>
      </c>
      <c r="H71" s="269">
        <f t="shared" si="35"/>
        <v>0</v>
      </c>
      <c r="I71" s="269">
        <f t="shared" si="35"/>
        <v>0</v>
      </c>
      <c r="J71" s="269">
        <f t="shared" si="35"/>
        <v>0</v>
      </c>
      <c r="K71" s="269">
        <f t="shared" si="35"/>
        <v>0</v>
      </c>
      <c r="L71" s="269">
        <f t="shared" si="35"/>
        <v>0</v>
      </c>
      <c r="M71" s="269">
        <f t="shared" si="35"/>
        <v>0</v>
      </c>
      <c r="N71" s="269">
        <f t="shared" si="35"/>
        <v>0</v>
      </c>
      <c r="O71" s="269">
        <f t="shared" si="35"/>
        <v>0</v>
      </c>
      <c r="P71" s="269">
        <f t="shared" si="35"/>
        <v>0</v>
      </c>
      <c r="Q71" s="273"/>
    </row>
    <row r="72" spans="3:22">
      <c r="C72" s="193" t="s">
        <v>109</v>
      </c>
      <c r="D72" s="194">
        <f>'4. Kassabudjetti'!F30</f>
        <v>24</v>
      </c>
      <c r="E72" s="272">
        <f>'4. Kassabudjetti'!G30</f>
        <v>0</v>
      </c>
      <c r="F72" s="272">
        <f>'4. Kassabudjetti'!H30</f>
        <v>0</v>
      </c>
      <c r="G72" s="272">
        <f>'4. Kassabudjetti'!I30</f>
        <v>0</v>
      </c>
      <c r="H72" s="272">
        <f>'4. Kassabudjetti'!J30</f>
        <v>0</v>
      </c>
      <c r="I72" s="272">
        <f>'4. Kassabudjetti'!K30</f>
        <v>0</v>
      </c>
      <c r="J72" s="272">
        <f>'4. Kassabudjetti'!L30</f>
        <v>0</v>
      </c>
      <c r="K72" s="272">
        <f>'4. Kassabudjetti'!M30</f>
        <v>0</v>
      </c>
      <c r="L72" s="272">
        <f>'4. Kassabudjetti'!N30</f>
        <v>0</v>
      </c>
      <c r="M72" s="272">
        <f>'4. Kassabudjetti'!O30</f>
        <v>0</v>
      </c>
      <c r="N72" s="272">
        <f>'4. Kassabudjetti'!P30</f>
        <v>0</v>
      </c>
      <c r="O72" s="272">
        <f>'4. Kassabudjetti'!Q30</f>
        <v>0</v>
      </c>
      <c r="P72" s="272">
        <f>'4. Kassabudjetti'!R30</f>
        <v>0</v>
      </c>
      <c r="Q72" s="268">
        <f>SUM(E72:P72)</f>
        <v>0</v>
      </c>
    </row>
    <row r="73" spans="3:22">
      <c r="C73" s="195" t="s">
        <v>139</v>
      </c>
      <c r="D73" s="196"/>
      <c r="E73" s="269">
        <f>E72-E72/(1+$D72/100)</f>
        <v>0</v>
      </c>
      <c r="F73" s="269">
        <f t="shared" ref="F73:P73" si="36">F72-F72/(1+$D72/100)</f>
        <v>0</v>
      </c>
      <c r="G73" s="269">
        <f t="shared" si="36"/>
        <v>0</v>
      </c>
      <c r="H73" s="269">
        <f t="shared" si="36"/>
        <v>0</v>
      </c>
      <c r="I73" s="269">
        <f t="shared" si="36"/>
        <v>0</v>
      </c>
      <c r="J73" s="269">
        <f t="shared" si="36"/>
        <v>0</v>
      </c>
      <c r="K73" s="269">
        <f t="shared" si="36"/>
        <v>0</v>
      </c>
      <c r="L73" s="269">
        <f t="shared" si="36"/>
        <v>0</v>
      </c>
      <c r="M73" s="269">
        <f t="shared" si="36"/>
        <v>0</v>
      </c>
      <c r="N73" s="269">
        <f t="shared" si="36"/>
        <v>0</v>
      </c>
      <c r="O73" s="269">
        <f t="shared" si="36"/>
        <v>0</v>
      </c>
      <c r="P73" s="269">
        <f t="shared" si="36"/>
        <v>0</v>
      </c>
      <c r="Q73" s="273"/>
    </row>
    <row r="74" spans="3:22" ht="12.9" thickBot="1">
      <c r="C74" s="190" t="s">
        <v>140</v>
      </c>
      <c r="D74" s="199"/>
      <c r="E74" s="276">
        <f>E55+E57+E59+E61+E63+E65+E67+E73+E69+E71</f>
        <v>0</v>
      </c>
      <c r="F74" s="276">
        <f t="shared" ref="F74:P74" si="37">F55+F57+F59+F61+F63+F65+F67+F73+F69+F71</f>
        <v>0</v>
      </c>
      <c r="G74" s="276">
        <f t="shared" si="37"/>
        <v>0</v>
      </c>
      <c r="H74" s="276">
        <f t="shared" si="37"/>
        <v>0</v>
      </c>
      <c r="I74" s="276">
        <f t="shared" si="37"/>
        <v>0</v>
      </c>
      <c r="J74" s="276">
        <f t="shared" si="37"/>
        <v>0</v>
      </c>
      <c r="K74" s="276">
        <f t="shared" si="37"/>
        <v>0</v>
      </c>
      <c r="L74" s="276">
        <f t="shared" si="37"/>
        <v>0</v>
      </c>
      <c r="M74" s="276">
        <f t="shared" si="37"/>
        <v>0</v>
      </c>
      <c r="N74" s="276">
        <f t="shared" si="37"/>
        <v>0</v>
      </c>
      <c r="O74" s="276">
        <f t="shared" si="37"/>
        <v>0</v>
      </c>
      <c r="P74" s="276">
        <f t="shared" si="37"/>
        <v>0</v>
      </c>
      <c r="Q74" s="277">
        <f>SUM(E74:P74)</f>
        <v>0</v>
      </c>
    </row>
    <row r="75" spans="3:22">
      <c r="C75" s="53"/>
      <c r="D75" s="53"/>
      <c r="E75" s="274"/>
      <c r="F75" s="274"/>
      <c r="G75" s="274"/>
      <c r="H75" s="274"/>
      <c r="I75" s="274"/>
      <c r="J75" s="274"/>
      <c r="K75" s="274"/>
      <c r="L75" s="274"/>
      <c r="M75" s="274"/>
      <c r="N75" s="274"/>
      <c r="O75" s="274"/>
      <c r="P75" s="274"/>
      <c r="Q75" s="275"/>
    </row>
    <row r="76" spans="3:22" ht="12.9" thickBot="1">
      <c r="C76" s="200" t="s">
        <v>141</v>
      </c>
      <c r="D76" s="53"/>
      <c r="E76" s="276">
        <f t="shared" ref="E76:P76" si="38">E49-E74</f>
        <v>0</v>
      </c>
      <c r="F76" s="276">
        <f t="shared" si="38"/>
        <v>0</v>
      </c>
      <c r="G76" s="276">
        <f t="shared" si="38"/>
        <v>0</v>
      </c>
      <c r="H76" s="276">
        <f t="shared" si="38"/>
        <v>0</v>
      </c>
      <c r="I76" s="276">
        <f t="shared" si="38"/>
        <v>0</v>
      </c>
      <c r="J76" s="276">
        <f t="shared" si="38"/>
        <v>0</v>
      </c>
      <c r="K76" s="276">
        <f t="shared" si="38"/>
        <v>0</v>
      </c>
      <c r="L76" s="276">
        <f t="shared" si="38"/>
        <v>0</v>
      </c>
      <c r="M76" s="276">
        <f t="shared" si="38"/>
        <v>0</v>
      </c>
      <c r="N76" s="276">
        <f t="shared" si="38"/>
        <v>0</v>
      </c>
      <c r="O76" s="276">
        <f t="shared" si="38"/>
        <v>0</v>
      </c>
      <c r="P76" s="276">
        <f t="shared" si="38"/>
        <v>0</v>
      </c>
      <c r="Q76" s="277">
        <f>SUM(E76:P76)</f>
        <v>0</v>
      </c>
    </row>
    <row r="78" spans="3:22">
      <c r="T78" s="642" t="s">
        <v>532</v>
      </c>
      <c r="U78" s="642" t="s">
        <v>533</v>
      </c>
    </row>
    <row r="79" spans="3:22">
      <c r="C79" s="2" t="s">
        <v>530</v>
      </c>
      <c r="E79" s="52">
        <f>SUM(E80:E85)</f>
        <v>0</v>
      </c>
      <c r="F79" s="52">
        <f t="shared" ref="F79:P79" si="39">SUM(F80:F85)</f>
        <v>0</v>
      </c>
      <c r="G79" s="52">
        <f t="shared" si="39"/>
        <v>0</v>
      </c>
      <c r="H79" s="52">
        <f t="shared" si="39"/>
        <v>0</v>
      </c>
      <c r="I79" s="52">
        <f t="shared" si="39"/>
        <v>0</v>
      </c>
      <c r="J79" s="52">
        <f t="shared" si="39"/>
        <v>0</v>
      </c>
      <c r="K79" s="52">
        <f t="shared" si="39"/>
        <v>0</v>
      </c>
      <c r="L79" s="52">
        <f t="shared" si="39"/>
        <v>0</v>
      </c>
      <c r="M79" s="52">
        <f t="shared" si="39"/>
        <v>0</v>
      </c>
      <c r="N79" s="52">
        <f t="shared" si="39"/>
        <v>0</v>
      </c>
      <c r="O79" s="52">
        <f t="shared" si="39"/>
        <v>0</v>
      </c>
      <c r="P79" s="52">
        <f t="shared" si="39"/>
        <v>0</v>
      </c>
      <c r="Q79" s="52">
        <f t="shared" ref="Q79:Q84" si="40">SUM(E79:P79)</f>
        <v>0</v>
      </c>
      <c r="T79" s="52">
        <f>SUM(T80:T85)</f>
        <v>0</v>
      </c>
      <c r="U79" s="52">
        <f>SUM(U80:U85)</f>
        <v>0</v>
      </c>
    </row>
    <row r="80" spans="3:22">
      <c r="C80" s="553" t="s">
        <v>290</v>
      </c>
      <c r="D80" s="643">
        <f>'4. Kassabudjetti'!F30</f>
        <v>24</v>
      </c>
      <c r="E80" s="265">
        <f>'2 AT Palkat, alv'!$U80/12*(1+$D80/100)</f>
        <v>0</v>
      </c>
      <c r="F80" s="265">
        <f>'2 AT Palkat, alv'!$U80/12*(1+$D80/100)</f>
        <v>0</v>
      </c>
      <c r="G80" s="265">
        <f>'2 AT Palkat, alv'!$U80/12*(1+$D80/100)</f>
        <v>0</v>
      </c>
      <c r="H80" s="265">
        <f>'2 AT Palkat, alv'!$U80/12*(1+$D80/100)</f>
        <v>0</v>
      </c>
      <c r="I80" s="265">
        <f>'2 AT Palkat, alv'!$U80/12*(1+$D80/100)</f>
        <v>0</v>
      </c>
      <c r="J80" s="265">
        <f>'2 AT Palkat, alv'!$U80/12*(1+$D80/100)</f>
        <v>0</v>
      </c>
      <c r="K80" s="265">
        <f>'2 AT Palkat, alv'!$U80/12*(1+$D80/100)</f>
        <v>0</v>
      </c>
      <c r="L80" s="265">
        <f>'2 AT Palkat, alv'!$U80/12*(1+$D80/100)</f>
        <v>0</v>
      </c>
      <c r="M80" s="265">
        <f>'2 AT Palkat, alv'!$U80/12*(1+$D80/100)</f>
        <v>0</v>
      </c>
      <c r="N80" s="265">
        <f>'2 AT Palkat, alv'!$U80/12*(1+$D80/100)</f>
        <v>0</v>
      </c>
      <c r="O80" s="265">
        <f>'2 AT Palkat, alv'!$U80/12*(1+$D80/100)</f>
        <v>0</v>
      </c>
      <c r="P80" s="265">
        <f>'2 AT Palkat, alv'!$U80/12*(1+$D80/100)</f>
        <v>0</v>
      </c>
      <c r="Q80" s="249">
        <f t="shared" si="40"/>
        <v>0</v>
      </c>
      <c r="S80" s="649"/>
      <c r="T80" s="253">
        <f>U80*(1+'2 AT Palkat, alv'!D80/100)</f>
        <v>0</v>
      </c>
      <c r="U80" s="248">
        <f>IF('Kustannukset K1'!$C$9&gt;0,(IF('Kustannukset K1'!$F$13=12,'Kustannukset K1'!$F45,IF('Kustannukset K1'!$F$13&lt;12,12*(('Kustannukset K1'!$F45+'Kustannukset K1'!$G45)/('Kustannukset K1'!$F$13+'Kustannukset K1'!$G$13)),12*'Kustannukset K1'!$F45/'Kustannukset K1'!$F$13))),(IF('Kustannukset Y1'!$F$13=12,'Kustannukset Y1'!$F45,IF('Kustannukset Y1'!$F$13&lt;12,12*(('Kustannukset Y1'!$F45+'Kustannukset Y1'!$G45)/('Kustannukset Y1'!$F$13+'Kustannukset Y1'!$G$13)),12*'Kustannukset Y1'!$F45/'Kustannukset Y1'!$F$13))))</f>
        <v>0</v>
      </c>
      <c r="V80" s="264" t="s">
        <v>387</v>
      </c>
    </row>
    <row r="81" spans="3:22">
      <c r="C81" s="644" t="s">
        <v>291</v>
      </c>
      <c r="D81" s="643">
        <f>'4. Kassabudjetti'!F29</f>
        <v>24</v>
      </c>
      <c r="E81" s="265">
        <f>'2 AT Palkat, alv'!$U81/12*(1+$D81/100)</f>
        <v>0</v>
      </c>
      <c r="F81" s="265">
        <f>'2 AT Palkat, alv'!$U81/12*(1+$D81/100)</f>
        <v>0</v>
      </c>
      <c r="G81" s="265">
        <f>'2 AT Palkat, alv'!$U81/12*(1+$D81/100)</f>
        <v>0</v>
      </c>
      <c r="H81" s="265">
        <f>'2 AT Palkat, alv'!$U81/12*(1+$D81/100)</f>
        <v>0</v>
      </c>
      <c r="I81" s="265">
        <f>'2 AT Palkat, alv'!$U81/12*(1+$D81/100)</f>
        <v>0</v>
      </c>
      <c r="J81" s="265">
        <f>'2 AT Palkat, alv'!$U81/12*(1+$D81/100)</f>
        <v>0</v>
      </c>
      <c r="K81" s="265">
        <f>'2 AT Palkat, alv'!$U81/12*(1+$D81/100)</f>
        <v>0</v>
      </c>
      <c r="L81" s="265">
        <f>'2 AT Palkat, alv'!$U81/12*(1+$D81/100)</f>
        <v>0</v>
      </c>
      <c r="M81" s="265">
        <f>'2 AT Palkat, alv'!$U81/12*(1+$D81/100)</f>
        <v>0</v>
      </c>
      <c r="N81" s="265">
        <f>'2 AT Palkat, alv'!$U81/12*(1+$D81/100)</f>
        <v>0</v>
      </c>
      <c r="O81" s="265">
        <f>'2 AT Palkat, alv'!$U81/12*(1+$D81/100)</f>
        <v>0</v>
      </c>
      <c r="P81" s="265">
        <f>'2 AT Palkat, alv'!$U81/12*(1+$D81/100)</f>
        <v>0</v>
      </c>
      <c r="Q81" s="249">
        <f t="shared" si="40"/>
        <v>0</v>
      </c>
      <c r="S81" s="649"/>
      <c r="T81" s="253">
        <f>U81*(1+'2 AT Palkat, alv'!D81/100)</f>
        <v>0</v>
      </c>
      <c r="U81" s="248">
        <f>IF('Kustannukset K1'!$C$9&gt;0,(IF('Kustannukset K1'!$F$13=12,'Kustannukset K1'!$F114,IF('Kustannukset K1'!$F$13&lt;12,12*(('Kustannukset K1'!$F114+'Kustannukset K1'!$G114)/('Kustannukset K1'!$F$13+'Kustannukset K1'!$G$13)),12*'Kustannukset K1'!$F114/'Kustannukset K1'!$F$13))),(IF('Kustannukset Y1'!$F$13=12,'Kustannukset Y1'!$F114,IF('Kustannukset Y1'!$F$13&lt;12,12*(('Kustannukset Y1'!$F114+'Kustannukset Y1'!$G114)/('Kustannukset Y1'!$F$13+'Kustannukset Y1'!$G$13)),12*'Kustannukset Y1'!$F114/'Kustannukset Y1'!$F$13))))</f>
        <v>0</v>
      </c>
      <c r="V81" s="264" t="s">
        <v>464</v>
      </c>
    </row>
    <row r="82" spans="3:22">
      <c r="C82" s="644" t="s">
        <v>278</v>
      </c>
      <c r="D82" s="643">
        <f>D81</f>
        <v>24</v>
      </c>
      <c r="E82" s="265">
        <f>'2 AT Palkat, alv'!$U82/12*(1+$D82/100)</f>
        <v>0</v>
      </c>
      <c r="F82" s="265">
        <f>'2 AT Palkat, alv'!$U82/12*(1+$D82/100)</f>
        <v>0</v>
      </c>
      <c r="G82" s="265">
        <f>'2 AT Palkat, alv'!$U82/12*(1+$D82/100)</f>
        <v>0</v>
      </c>
      <c r="H82" s="265">
        <f>'2 AT Palkat, alv'!$U82/12*(1+$D82/100)</f>
        <v>0</v>
      </c>
      <c r="I82" s="265">
        <f>'2 AT Palkat, alv'!$U82/12*(1+$D82/100)</f>
        <v>0</v>
      </c>
      <c r="J82" s="265">
        <f>'2 AT Palkat, alv'!$U82/12*(1+$D82/100)</f>
        <v>0</v>
      </c>
      <c r="K82" s="265">
        <f>'2 AT Palkat, alv'!$U82/12*(1+$D82/100)</f>
        <v>0</v>
      </c>
      <c r="L82" s="265">
        <f>'2 AT Palkat, alv'!$U82/12*(1+$D82/100)</f>
        <v>0</v>
      </c>
      <c r="M82" s="265">
        <f>'2 AT Palkat, alv'!$U82/12*(1+$D82/100)</f>
        <v>0</v>
      </c>
      <c r="N82" s="265">
        <f>'2 AT Palkat, alv'!$U82/12*(1+$D82/100)</f>
        <v>0</v>
      </c>
      <c r="O82" s="265">
        <f>'2 AT Palkat, alv'!$U82/12*(1+$D82/100)</f>
        <v>0</v>
      </c>
      <c r="P82" s="265">
        <f>'2 AT Palkat, alv'!$U82/12*(1+$D82/100)</f>
        <v>0</v>
      </c>
      <c r="Q82" s="249">
        <f t="shared" si="40"/>
        <v>0</v>
      </c>
      <c r="S82" s="649"/>
      <c r="T82" s="253">
        <f>U82*(1+'2 AT Palkat, alv'!D82/100)</f>
        <v>0</v>
      </c>
      <c r="U82" s="248">
        <f>IF('Kustannukset K1'!$C$9&gt;0,(IF('Kustannukset K1'!$F$13=12,'Kustannukset K1'!$F115,IF('Kustannukset K1'!$F$13&lt;12,12*(('Kustannukset K1'!$F115+'Kustannukset K1'!$G115)/('Kustannukset K1'!$F$13+'Kustannukset K1'!$G$13)),12*'Kustannukset K1'!$F115/'Kustannukset K1'!$F$13))),(IF('Kustannukset Y1'!$F$13=12,'Kustannukset Y1'!$F115,IF('Kustannukset Y1'!$F$13&lt;12,12*(('Kustannukset Y1'!$F115+'Kustannukset Y1'!$G115)/('Kustannukset Y1'!$F$13+'Kustannukset Y1'!$G$13)),12*'Kustannukset Y1'!$F115/'Kustannukset Y1'!$F$13))))</f>
        <v>0</v>
      </c>
      <c r="V82" s="264" t="s">
        <v>463</v>
      </c>
    </row>
    <row r="83" spans="3:22">
      <c r="C83" s="644" t="s">
        <v>293</v>
      </c>
      <c r="D83" s="643">
        <f>D82</f>
        <v>24</v>
      </c>
      <c r="E83" s="265">
        <f>'2 AT Palkat, alv'!$U83/12*(1+$D83/100)</f>
        <v>0</v>
      </c>
      <c r="F83" s="265">
        <f>'2 AT Palkat, alv'!$U83/12*(1+$D83/100)</f>
        <v>0</v>
      </c>
      <c r="G83" s="265">
        <f>'2 AT Palkat, alv'!$U83/12*(1+$D83/100)</f>
        <v>0</v>
      </c>
      <c r="H83" s="265">
        <f>'2 AT Palkat, alv'!$U83/12*(1+$D83/100)</f>
        <v>0</v>
      </c>
      <c r="I83" s="265">
        <f>'2 AT Palkat, alv'!$U83/12*(1+$D83/100)</f>
        <v>0</v>
      </c>
      <c r="J83" s="265">
        <f>'2 AT Palkat, alv'!$U83/12*(1+$D83/100)</f>
        <v>0</v>
      </c>
      <c r="K83" s="265">
        <f>'2 AT Palkat, alv'!$U83/12*(1+$D83/100)</f>
        <v>0</v>
      </c>
      <c r="L83" s="265">
        <f>'2 AT Palkat, alv'!$U83/12*(1+$D83/100)</f>
        <v>0</v>
      </c>
      <c r="M83" s="265">
        <f>'2 AT Palkat, alv'!$U83/12*(1+$D83/100)</f>
        <v>0</v>
      </c>
      <c r="N83" s="265">
        <f>'2 AT Palkat, alv'!$U83/12*(1+$D83/100)</f>
        <v>0</v>
      </c>
      <c r="O83" s="265">
        <f>'2 AT Palkat, alv'!$U83/12*(1+$D83/100)</f>
        <v>0</v>
      </c>
      <c r="P83" s="265">
        <f>'2 AT Palkat, alv'!$U83/12*(1+$D83/100)</f>
        <v>0</v>
      </c>
      <c r="Q83" s="249">
        <f t="shared" si="40"/>
        <v>0</v>
      </c>
      <c r="S83" s="649"/>
      <c r="T83" s="253">
        <f>U83*(1+'2 AT Palkat, alv'!D83/100)</f>
        <v>0</v>
      </c>
      <c r="U83" s="248">
        <f>IF('Kustannukset K1'!$C$9&gt;0,(IF('Kustannukset K1'!$F$13=12,'Kustannukset K1'!$F98,IF('Kustannukset K1'!$F$13&lt;12,12*(('Kustannukset K1'!$F98+'Kustannukset K1'!$G98)/('Kustannukset K1'!$F$13+'Kustannukset K1'!$G$13)),12*'Kustannukset K1'!$F98/'Kustannukset K1'!$F$13))),(IF('Kustannukset Y1'!$F$13=12,'Kustannukset Y1'!$F98,IF('Kustannukset Y1'!$F$13&lt;12,12*(('Kustannukset Y1'!$F98+'Kustannukset Y1'!$G98)/('Kustannukset Y1'!$F$13+'Kustannukset Y1'!$G$13)),12*'Kustannukset Y1'!$F98/'Kustannukset Y1'!$F$13))))</f>
        <v>0</v>
      </c>
      <c r="V83" s="264" t="s">
        <v>465</v>
      </c>
    </row>
    <row r="84" spans="3:22">
      <c r="C84" s="644" t="s">
        <v>300</v>
      </c>
      <c r="D84" s="643">
        <f>D83</f>
        <v>24</v>
      </c>
      <c r="E84" s="265">
        <f>'2 AT Palkat, alv'!$U84/12*(1+$D84/100)</f>
        <v>0</v>
      </c>
      <c r="F84" s="265">
        <f>'2 AT Palkat, alv'!$U84/12*(1+$D84/100)</f>
        <v>0</v>
      </c>
      <c r="G84" s="265">
        <f>'2 AT Palkat, alv'!$U84/12*(1+$D84/100)</f>
        <v>0</v>
      </c>
      <c r="H84" s="265">
        <f>'2 AT Palkat, alv'!$U84/12*(1+$D84/100)</f>
        <v>0</v>
      </c>
      <c r="I84" s="265">
        <f>'2 AT Palkat, alv'!$U84/12*(1+$D84/100)</f>
        <v>0</v>
      </c>
      <c r="J84" s="265">
        <f>'2 AT Palkat, alv'!$U84/12*(1+$D84/100)</f>
        <v>0</v>
      </c>
      <c r="K84" s="265">
        <f>'2 AT Palkat, alv'!$U84/12*(1+$D84/100)</f>
        <v>0</v>
      </c>
      <c r="L84" s="265">
        <f>'2 AT Palkat, alv'!$U84/12*(1+$D84/100)</f>
        <v>0</v>
      </c>
      <c r="M84" s="265">
        <f>'2 AT Palkat, alv'!$U84/12*(1+$D84/100)</f>
        <v>0</v>
      </c>
      <c r="N84" s="265">
        <f>'2 AT Palkat, alv'!$U84/12*(1+$D84/100)</f>
        <v>0</v>
      </c>
      <c r="O84" s="265">
        <f>'2 AT Palkat, alv'!$U84/12*(1+$D84/100)</f>
        <v>0</v>
      </c>
      <c r="P84" s="265">
        <f>'2 AT Palkat, alv'!$U84/12*(1+$D84/100)</f>
        <v>0</v>
      </c>
      <c r="Q84" s="249">
        <f t="shared" si="40"/>
        <v>0</v>
      </c>
      <c r="S84" s="129"/>
      <c r="T84" s="253">
        <f>U84*(1+'2 AT Palkat, alv'!D84/100)</f>
        <v>0</v>
      </c>
      <c r="U84" s="248">
        <f>IF('Kustannukset K1'!$C$9&gt;0,(IF('Kustannukset K1'!$F$13=12,'Kustannukset K1'!$F95,IF('Kustannukset K1'!$F$13&lt;12,12*(('Kustannukset K1'!$F95+'Kustannukset K1'!$G95)/('Kustannukset K1'!$F$13+'Kustannukset K1'!$G$13)),12*'Kustannukset K1'!$F95/'Kustannukset K1'!$F$13))),(IF('Kustannukset Y1'!$F$13=12,'Kustannukset Y1'!$F95,IF('Kustannukset Y1'!$F$13&lt;12,12*(('Kustannukset Y1'!$F95+'Kustannukset Y1'!$G95)/('Kustannukset Y1'!$F$13+'Kustannukset Y1'!$G$13)),12*'Kustannukset Y1'!$F95/'Kustannukset Y1'!$F$13))))</f>
        <v>0</v>
      </c>
      <c r="V84" s="264" t="s">
        <v>466</v>
      </c>
    </row>
    <row r="85" spans="3:22">
      <c r="C85" s="645" t="str">
        <f>'Kustannukset K1'!D117</f>
        <v>Muut alv-vähennyskelpoiset liikekulut</v>
      </c>
      <c r="D85" s="643">
        <f>D84</f>
        <v>24</v>
      </c>
      <c r="E85" s="265">
        <f>'2 AT Palkat, alv'!$U85/12*(1+$D85/100)</f>
        <v>0</v>
      </c>
      <c r="F85" s="265">
        <f>'2 AT Palkat, alv'!$U85/12*(1+$D85/100)</f>
        <v>0</v>
      </c>
      <c r="G85" s="265">
        <f>'2 AT Palkat, alv'!$U85/12*(1+$D85/100)</f>
        <v>0</v>
      </c>
      <c r="H85" s="265">
        <f>'2 AT Palkat, alv'!$U85/12*(1+$D85/100)</f>
        <v>0</v>
      </c>
      <c r="I85" s="265">
        <f>'2 AT Palkat, alv'!$U85/12*(1+$D85/100)</f>
        <v>0</v>
      </c>
      <c r="J85" s="265">
        <f>'2 AT Palkat, alv'!$U85/12*(1+$D85/100)</f>
        <v>0</v>
      </c>
      <c r="K85" s="265">
        <f>'2 AT Palkat, alv'!$U85/12*(1+$D85/100)</f>
        <v>0</v>
      </c>
      <c r="L85" s="265">
        <f>'2 AT Palkat, alv'!$U85/12*(1+$D85/100)</f>
        <v>0</v>
      </c>
      <c r="M85" s="265">
        <f>'2 AT Palkat, alv'!$U85/12*(1+$D85/100)</f>
        <v>0</v>
      </c>
      <c r="N85" s="265">
        <f>'2 AT Palkat, alv'!$U85/12*(1+$D85/100)</f>
        <v>0</v>
      </c>
      <c r="O85" s="265">
        <f>'2 AT Palkat, alv'!$U85/12*(1+$D85/100)</f>
        <v>0</v>
      </c>
      <c r="P85" s="265">
        <f>'2 AT Palkat, alv'!$U85/12*(1+$D85/100)</f>
        <v>0</v>
      </c>
      <c r="Q85" s="249">
        <f t="shared" ref="Q85" si="41">SUM(E85:P85)</f>
        <v>0</v>
      </c>
      <c r="S85" s="129"/>
      <c r="T85" s="253">
        <f>U85*(1+'2 AT Palkat, alv'!D85/100)</f>
        <v>0</v>
      </c>
      <c r="U85" s="248">
        <f>IF('Kustannukset K1'!$C$9&gt;0,(IF('Kustannukset K1'!$F$13=12,'Kustannukset K1'!$F117,IF('Kustannukset K1'!$F$13&lt;12,12*(('Kustannukset K1'!$F117+'Kustannukset K1'!$G117)/('Kustannukset K1'!$F$13+'Kustannukset K1'!$G$13)),12*'Kustannukset K1'!$F117/'Kustannukset K1'!$F$13))),(IF('Kustannukset Y1'!$F$13=12,'Kustannukset Y1'!$F117,IF('Kustannukset Y1'!$F$13&lt;12,12*(('Kustannukset Y1'!$F117+'Kustannukset Y1'!$G117)/('Kustannukset Y1'!$F$13+'Kustannukset Y1'!$G$13)),12*'Kustannukset Y1'!$F117/'Kustannukset Y1'!$F$13))))</f>
        <v>0</v>
      </c>
      <c r="V85" s="264" t="s">
        <v>531</v>
      </c>
    </row>
    <row r="86" spans="3:22" ht="20.25" customHeight="1">
      <c r="C86" s="295" t="s">
        <v>302</v>
      </c>
      <c r="E86" s="52">
        <f>SUM(E87:E94)</f>
        <v>0</v>
      </c>
      <c r="F86" s="52">
        <f t="shared" ref="F86:Q86" si="42">SUM(F87:F94)</f>
        <v>0</v>
      </c>
      <c r="G86" s="52">
        <f t="shared" si="42"/>
        <v>0</v>
      </c>
      <c r="H86" s="52">
        <f t="shared" si="42"/>
        <v>0</v>
      </c>
      <c r="I86" s="52">
        <f t="shared" si="42"/>
        <v>0</v>
      </c>
      <c r="J86" s="52">
        <f t="shared" si="42"/>
        <v>0</v>
      </c>
      <c r="K86" s="52">
        <f t="shared" si="42"/>
        <v>0</v>
      </c>
      <c r="L86" s="52">
        <f t="shared" si="42"/>
        <v>0</v>
      </c>
      <c r="M86" s="52">
        <f t="shared" si="42"/>
        <v>0</v>
      </c>
      <c r="N86" s="52">
        <f t="shared" si="42"/>
        <v>0</v>
      </c>
      <c r="O86" s="52">
        <f t="shared" si="42"/>
        <v>0</v>
      </c>
      <c r="P86" s="52">
        <f t="shared" si="42"/>
        <v>0</v>
      </c>
      <c r="Q86" s="52">
        <f t="shared" si="42"/>
        <v>0</v>
      </c>
      <c r="R86" s="52" t="s">
        <v>0</v>
      </c>
      <c r="S86" s="52" t="s">
        <v>0</v>
      </c>
      <c r="T86" s="648" t="s">
        <v>0</v>
      </c>
      <c r="U86" s="52">
        <f>SUM(U87:U94)</f>
        <v>0</v>
      </c>
    </row>
    <row r="87" spans="3:22">
      <c r="C87" s="553" t="s">
        <v>119</v>
      </c>
      <c r="D87" s="266"/>
      <c r="E87" s="265"/>
      <c r="F87" s="265">
        <f>U87</f>
        <v>0</v>
      </c>
      <c r="G87" s="265"/>
      <c r="H87" s="265"/>
      <c r="I87" s="265"/>
      <c r="J87" s="265"/>
      <c r="K87" s="265"/>
      <c r="L87" s="265"/>
      <c r="M87" s="265"/>
      <c r="N87" s="265"/>
      <c r="O87" s="265"/>
      <c r="P87" s="265"/>
      <c r="Q87" s="249">
        <f t="shared" ref="Q87:Q92" si="43">SUM(E87:P87)</f>
        <v>0</v>
      </c>
      <c r="R87" s="247"/>
      <c r="S87" s="649"/>
      <c r="T87" s="647"/>
      <c r="U87" s="248">
        <f>IF('Kustannukset K1'!$C$9&gt;0,(IF('Kustannukset K1'!$F$13=12,'Kustannukset K1'!$F103,IF('Kustannukset K1'!$F$13&lt;12,12*(('Kustannukset K1'!$F103+'Kustannukset K1'!$G103)/('Kustannukset K1'!$F$13+'Kustannukset K1'!$G$13)),12*'Kustannukset K1'!$F103/'Kustannukset K1'!$F$13))),(IF('Kustannukset Y1'!$F$13=12,'Kustannukset Y1'!$F103,IF('Kustannukset Y1'!$F$13&lt;12,12*(('Kustannukset Y1'!$F103+'Kustannukset Y1'!$G103)/('Kustannukset Y1'!$F$13+'Kustannukset Y1'!$G$13)),12*'Kustannukset Y1'!$F103/'Kustannukset Y1'!$F$13))))</f>
        <v>0</v>
      </c>
      <c r="V87" s="646" t="s">
        <v>467</v>
      </c>
    </row>
    <row r="88" spans="3:22">
      <c r="C88" s="553" t="s">
        <v>148</v>
      </c>
      <c r="D88" s="266"/>
      <c r="E88" s="265"/>
      <c r="F88" s="265">
        <f>U88</f>
        <v>0</v>
      </c>
      <c r="G88" s="265"/>
      <c r="H88" s="265"/>
      <c r="I88" s="265">
        <v>0</v>
      </c>
      <c r="J88" s="265"/>
      <c r="K88" s="265"/>
      <c r="L88" s="265"/>
      <c r="M88" s="265"/>
      <c r="N88" s="265"/>
      <c r="O88" s="265"/>
      <c r="P88" s="265"/>
      <c r="Q88" s="249">
        <f t="shared" si="43"/>
        <v>0</v>
      </c>
      <c r="R88" s="247"/>
      <c r="S88" s="649"/>
      <c r="T88" s="647"/>
      <c r="U88" s="248">
        <f>IF('Kustannukset K1'!$C$9&gt;0,(IF('Kustannukset K1'!$F$13=12,'Kustannukset K1'!$F104,IF('Kustannukset K1'!$F$13&lt;12,12*(('Kustannukset K1'!$F104+'Kustannukset K1'!$G104)/('Kustannukset K1'!$F$13+'Kustannukset K1'!$G$13)),12*'Kustannukset K1'!$F104/'Kustannukset K1'!$F$13))),(IF('Kustannukset Y1'!$F$13=12,'Kustannukset Y1'!$F104,IF('Kustannukset Y1'!$F$13&lt;12,12*(('Kustannukset Y1'!$F104+'Kustannukset Y1'!$G104)/('Kustannukset Y1'!$F$13+'Kustannukset Y1'!$G$13)),12*'Kustannukset Y1'!$F104/'Kustannukset Y1'!$F$13))))</f>
        <v>0</v>
      </c>
      <c r="V88" s="646" t="s">
        <v>467</v>
      </c>
    </row>
    <row r="89" spans="3:22">
      <c r="C89" s="553" t="s">
        <v>125</v>
      </c>
      <c r="D89" s="266"/>
      <c r="E89" s="265"/>
      <c r="F89" s="265">
        <f>U89</f>
        <v>0</v>
      </c>
      <c r="G89" s="265"/>
      <c r="H89" s="265"/>
      <c r="I89" s="265"/>
      <c r="J89" s="265"/>
      <c r="K89" s="265"/>
      <c r="L89" s="265"/>
      <c r="M89" s="265"/>
      <c r="N89" s="265"/>
      <c r="O89" s="265"/>
      <c r="P89" s="265"/>
      <c r="Q89" s="249">
        <f t="shared" si="43"/>
        <v>0</v>
      </c>
      <c r="R89" s="247"/>
      <c r="S89" s="649"/>
      <c r="T89" s="647"/>
      <c r="U89" s="248">
        <f>IF('Kustannukset K1'!$C$9&gt;0,(IF('Kustannukset K1'!$F$13=12,'Kustannukset K1'!$F105,IF('Kustannukset K1'!$F$13&lt;12,12*(('Kustannukset K1'!$F105+'Kustannukset K1'!$G105)/('Kustannukset K1'!$F$13+'Kustannukset K1'!$G$13)),12*'Kustannukset K1'!$F105/'Kustannukset K1'!$F$13))),(IF('Kustannukset Y1'!$F$13=12,'Kustannukset Y1'!$F105,IF('Kustannukset Y1'!$F$13&lt;12,12*(('Kustannukset Y1'!$F105+'Kustannukset Y1'!$G105)/('Kustannukset Y1'!$F$13+'Kustannukset Y1'!$G$13)),12*'Kustannukset Y1'!$F105/'Kustannukset Y1'!$F$13))))</f>
        <v>0</v>
      </c>
      <c r="V89" s="646" t="s">
        <v>467</v>
      </c>
    </row>
    <row r="90" spans="3:22">
      <c r="C90" s="553" t="s">
        <v>143</v>
      </c>
      <c r="D90" s="266"/>
      <c r="E90" s="265">
        <f t="shared" ref="E90:P91" si="44">$U90/12</f>
        <v>0</v>
      </c>
      <c r="F90" s="265">
        <f t="shared" si="44"/>
        <v>0</v>
      </c>
      <c r="G90" s="265">
        <f t="shared" si="44"/>
        <v>0</v>
      </c>
      <c r="H90" s="265">
        <f t="shared" si="44"/>
        <v>0</v>
      </c>
      <c r="I90" s="265">
        <f t="shared" si="44"/>
        <v>0</v>
      </c>
      <c r="J90" s="265">
        <f t="shared" si="44"/>
        <v>0</v>
      </c>
      <c r="K90" s="265">
        <f t="shared" si="44"/>
        <v>0</v>
      </c>
      <c r="L90" s="265">
        <f t="shared" si="44"/>
        <v>0</v>
      </c>
      <c r="M90" s="265">
        <f t="shared" si="44"/>
        <v>0</v>
      </c>
      <c r="N90" s="265">
        <f t="shared" si="44"/>
        <v>0</v>
      </c>
      <c r="O90" s="265">
        <f t="shared" si="44"/>
        <v>0</v>
      </c>
      <c r="P90" s="265">
        <f t="shared" si="44"/>
        <v>0</v>
      </c>
      <c r="Q90" s="249">
        <f t="shared" si="43"/>
        <v>0</v>
      </c>
      <c r="R90" s="247"/>
      <c r="S90" s="649"/>
      <c r="T90" s="647"/>
      <c r="U90" s="248">
        <f>IF('Kustannukset K1'!$C$9&gt;0,(IF('Kustannukset K1'!$F$13=12,'Kustannukset K1'!$F39,IF('Kustannukset K1'!$F$13&lt;12,12*(('Kustannukset K1'!$F39+'Kustannukset K1'!$G39)/('Kustannukset K1'!$F$13+'Kustannukset K1'!$G$13)),12*'Kustannukset K1'!$F39/'Kustannukset K1'!$F$13))),(IF('Kustannukset Y1'!$F$13=12,'Kustannukset Y1'!$F39,IF('Kustannukset Y1'!$F$13&lt;12,12*(('Kustannukset Y1'!$F39+'Kustannukset Y1'!$G39)/('Kustannukset Y1'!$F$13+'Kustannukset Y1'!$G$13)),12*'Kustannukset Y1'!$F39/'Kustannukset Y1'!$F$13))))</f>
        <v>0</v>
      </c>
      <c r="V90" s="646" t="s">
        <v>468</v>
      </c>
    </row>
    <row r="91" spans="3:22">
      <c r="C91" s="553" t="s">
        <v>142</v>
      </c>
      <c r="D91" s="266"/>
      <c r="E91" s="265">
        <f t="shared" si="44"/>
        <v>0</v>
      </c>
      <c r="F91" s="265">
        <f t="shared" si="44"/>
        <v>0</v>
      </c>
      <c r="G91" s="265">
        <f t="shared" si="44"/>
        <v>0</v>
      </c>
      <c r="H91" s="265">
        <f t="shared" si="44"/>
        <v>0</v>
      </c>
      <c r="I91" s="265">
        <f t="shared" si="44"/>
        <v>0</v>
      </c>
      <c r="J91" s="265">
        <f t="shared" si="44"/>
        <v>0</v>
      </c>
      <c r="K91" s="265">
        <f t="shared" si="44"/>
        <v>0</v>
      </c>
      <c r="L91" s="265">
        <f t="shared" si="44"/>
        <v>0</v>
      </c>
      <c r="M91" s="265">
        <f t="shared" si="44"/>
        <v>0</v>
      </c>
      <c r="N91" s="265">
        <f t="shared" si="44"/>
        <v>0</v>
      </c>
      <c r="O91" s="265">
        <f t="shared" si="44"/>
        <v>0</v>
      </c>
      <c r="P91" s="265">
        <f t="shared" si="44"/>
        <v>0</v>
      </c>
      <c r="Q91" s="249">
        <f t="shared" si="43"/>
        <v>0</v>
      </c>
      <c r="R91" s="247"/>
      <c r="S91" s="649"/>
      <c r="T91" s="647"/>
      <c r="U91" s="248">
        <f>IF('Kustannukset K1'!$C$9&gt;0,(IF('Kustannukset K1'!$F$13=12,'Kustannukset K1'!$F42+'Kustannukset K1'!F43+'Kustannukset K1'!F44+'Kustannukset K1'!F46,IF('Kustannukset K1'!$F$13&lt;12,12*(('Kustannukset K1'!$F42+'Kustannukset K1'!$G42+'Kustannukset K1'!F43+'Kustannukset K1'!G43+'Kustannukset K1'!F44+'Kustannukset K1'!G44+'Kustannukset K1'!F46+'Kustannukset K1'!G46)/('Kustannukset K1'!$F$13+'Kustannukset K1'!$G$13)),12*('Kustannukset K1'!$F42+'Kustannukset K1'!F43+'Kustannukset K1'!F44+'Kustannukset K1'!F46)/'Kustannukset K1'!$F$13))),(IF('Kustannukset Y1'!$F$13=12,'Kustannukset Y1'!$F42+'Kustannukset Y1'!F43+'Kustannukset Y1'!F44+'Kustannukset Y1'!F46,IF('Kustannukset Y1'!$F$13&lt;12,12*(('Kustannukset Y1'!$F42+'Kustannukset Y1'!$G42+'Kustannukset Y1'!F43+'Kustannukset Y1'!G43+'Kustannukset Y1'!F44+'Kustannukset Y1'!G44+'Kustannukset Y1'!F46+'Kustannukset Y1'!G46)/('Kustannukset Y1'!$F$13+'Kustannukset Y1'!$G$13)),12*('Kustannukset Y1'!$F42+'Kustannukset Y1'!F43+'Kustannukset Y1'!F44+'Kustannukset Y1'!F46)/'Kustannukset Y1'!$F$13))))</f>
        <v>0</v>
      </c>
      <c r="V91" s="646" t="s">
        <v>387</v>
      </c>
    </row>
    <row r="92" spans="3:22">
      <c r="C92" s="553" t="s">
        <v>301</v>
      </c>
      <c r="D92" s="204"/>
      <c r="E92" s="265">
        <f>$U92/12</f>
        <v>0</v>
      </c>
      <c r="F92" s="265">
        <f t="shared" ref="F92:P93" si="45">$U92/12</f>
        <v>0</v>
      </c>
      <c r="G92" s="265">
        <f t="shared" si="45"/>
        <v>0</v>
      </c>
      <c r="H92" s="265">
        <f t="shared" si="45"/>
        <v>0</v>
      </c>
      <c r="I92" s="265">
        <f t="shared" si="45"/>
        <v>0</v>
      </c>
      <c r="J92" s="265">
        <f t="shared" si="45"/>
        <v>0</v>
      </c>
      <c r="K92" s="265">
        <f t="shared" si="45"/>
        <v>0</v>
      </c>
      <c r="L92" s="265">
        <f t="shared" si="45"/>
        <v>0</v>
      </c>
      <c r="M92" s="265">
        <f t="shared" si="45"/>
        <v>0</v>
      </c>
      <c r="N92" s="265">
        <f t="shared" si="45"/>
        <v>0</v>
      </c>
      <c r="O92" s="265">
        <f t="shared" si="45"/>
        <v>0</v>
      </c>
      <c r="P92" s="265">
        <f t="shared" si="45"/>
        <v>0</v>
      </c>
      <c r="Q92" s="249">
        <f t="shared" si="43"/>
        <v>0</v>
      </c>
      <c r="S92" s="129"/>
      <c r="T92" s="647"/>
      <c r="U92" s="248">
        <f>IF('Kustannukset K1'!$C$9&gt;0,(IF('Kustannukset K1'!$F$13=12,'Kustannukset K1'!$F88,IF('Kustannukset K1'!$F$13&lt;12,12*(('Kustannukset K1'!$F88+'Kustannukset K1'!$G88)/('Kustannukset K1'!$F$13+'Kustannukset K1'!$G$13)),12*'Kustannukset K1'!$F88/'Kustannukset K1'!$F$13))),(IF('Kustannukset Y1'!$F$13=12,'Kustannukset Y1'!$F88,IF('Kustannukset Y1'!$F$13&lt;12,12*(('Kustannukset Y1'!$F88+'Kustannukset Y1'!$G88)/('Kustannukset Y1'!$F$13+'Kustannukset Y1'!$G$13)),12*'Kustannukset Y1'!$F88/'Kustannukset Y1'!$F$13))))</f>
        <v>0</v>
      </c>
      <c r="V92" s="646" t="s">
        <v>534</v>
      </c>
    </row>
    <row r="93" spans="3:22">
      <c r="C93" s="1581" t="s">
        <v>865</v>
      </c>
      <c r="D93" s="1582"/>
      <c r="E93" s="265">
        <f>$U93/12</f>
        <v>0</v>
      </c>
      <c r="F93" s="265">
        <f t="shared" si="45"/>
        <v>0</v>
      </c>
      <c r="G93" s="265">
        <f t="shared" si="45"/>
        <v>0</v>
      </c>
      <c r="H93" s="265">
        <f t="shared" si="45"/>
        <v>0</v>
      </c>
      <c r="I93" s="265">
        <f t="shared" si="45"/>
        <v>0</v>
      </c>
      <c r="J93" s="265">
        <f t="shared" si="45"/>
        <v>0</v>
      </c>
      <c r="K93" s="265">
        <f t="shared" si="45"/>
        <v>0</v>
      </c>
      <c r="L93" s="265">
        <f t="shared" si="45"/>
        <v>0</v>
      </c>
      <c r="M93" s="265">
        <f t="shared" si="45"/>
        <v>0</v>
      </c>
      <c r="N93" s="265">
        <f t="shared" si="45"/>
        <v>0</v>
      </c>
      <c r="O93" s="265">
        <f t="shared" si="45"/>
        <v>0</v>
      </c>
      <c r="P93" s="265">
        <f t="shared" si="45"/>
        <v>0</v>
      </c>
      <c r="Q93" s="249">
        <f t="shared" ref="Q93" si="46">SUM(E93:P93)</f>
        <v>0</v>
      </c>
      <c r="S93" s="129"/>
      <c r="T93" s="1583"/>
      <c r="U93" s="248">
        <f>IF('Kustannukset K1'!$C$9&gt;0,(IF('Kustannukset K1'!$F$13=12,'Kustannukset K1'!$F110,IF('Kustannukset K1'!$F$13&lt;12,12*(('Kustannukset K1'!$F110+'Kustannukset K1'!$G110)/('Kustannukset K1'!$F$13+'Kustannukset K1'!$G$13)),12*'Kustannukset K1'!$F110/'Kustannukset K1'!$F$13))),(IF('Kustannukset Y1'!$F$13=12,'Kustannukset Y1'!$F110,IF('Kustannukset Y1'!$F$13&lt;12,12*(('Kustannukset Y1'!$F110+'Kustannukset Y1'!$G110)/('Kustannukset Y1'!$F$13+'Kustannukset Y1'!$G$13)),12*'Kustannukset Y1'!$F110/'Kustannukset Y1'!$F$13))))</f>
        <v>0</v>
      </c>
      <c r="V93" s="646" t="s">
        <v>866</v>
      </c>
    </row>
    <row r="94" spans="3:22">
      <c r="C94" s="553" t="str">
        <f>'Kustannukset K1'!D118</f>
        <v xml:space="preserve">Yrityksen perustamisen rekisteröintimaksu ja lainojen toimitusmaksut </v>
      </c>
      <c r="D94" s="204"/>
      <c r="E94" s="265">
        <f>$U94</f>
        <v>0</v>
      </c>
      <c r="F94" s="265">
        <v>0</v>
      </c>
      <c r="G94" s="265">
        <v>0</v>
      </c>
      <c r="H94" s="265">
        <v>0</v>
      </c>
      <c r="I94" s="265">
        <v>0</v>
      </c>
      <c r="J94" s="265">
        <v>0</v>
      </c>
      <c r="K94" s="265">
        <v>0</v>
      </c>
      <c r="L94" s="265">
        <v>0</v>
      </c>
      <c r="M94" s="265">
        <v>0</v>
      </c>
      <c r="N94" s="265">
        <v>0</v>
      </c>
      <c r="O94" s="265">
        <v>0</v>
      </c>
      <c r="P94" s="265">
        <v>0</v>
      </c>
      <c r="Q94" s="249">
        <f t="shared" ref="Q94" si="47">SUM(E94:P94)</f>
        <v>0</v>
      </c>
      <c r="S94" s="129"/>
      <c r="T94" s="647"/>
      <c r="U94" s="248">
        <f>IF('Kustannukset K1'!$C$9&gt;0,(IF('Kustannukset K1'!$F$13=12,'Kustannukset K1'!$F118,IF('Kustannukset K1'!$F$13&lt;12,12*(('Kustannukset K1'!$F118+'Kustannukset K1'!$G118)/('Kustannukset K1'!$F$13+'Kustannukset K1'!$G$13)),12*'Kustannukset K1'!$F118/'Kustannukset K1'!$F$13))),(IF('Kustannukset Y1'!$F$13=12,'Kustannukset Y1'!$F118,IF('Kustannukset Y1'!$F$13&lt;12,12*(('Kustannukset Y1'!$F118+'Kustannukset Y1'!$G118)/('Kustannukset Y1'!$F$13+'Kustannukset Y1'!$G$13)),12*'Kustannukset Y1'!$F118/'Kustannukset Y1'!$F$13))))</f>
        <v>0</v>
      </c>
      <c r="V94" s="646" t="s">
        <v>535</v>
      </c>
    </row>
  </sheetData>
  <sheetProtection algorithmName="SHA-512" hashValue="BTHxxPfSIWoYWDaugvx5pl31ZirbUV/OWW2VvFwZUkrgen2RkOZvNCs1XSwvDLbrARQAk9S0McdARvrQJ2jdEA==" saltValue="SmhJs5UgFZhAwEUzbwEcpw==" spinCount="100000" sheet="1" objects="1" scenarios="1" selectLockedCells="1" selectUnlockedCells="1"/>
  <mergeCells count="11">
    <mergeCell ref="T30:U30"/>
    <mergeCell ref="E1:G1"/>
    <mergeCell ref="E15:F15"/>
    <mergeCell ref="H15:I15"/>
    <mergeCell ref="R14:S14"/>
    <mergeCell ref="T14:U14"/>
    <mergeCell ref="P36:Q36"/>
    <mergeCell ref="P20:Q20"/>
    <mergeCell ref="E31:F31"/>
    <mergeCell ref="H31:I31"/>
    <mergeCell ref="R30:S30"/>
  </mergeCells>
  <pageMargins left="0.7" right="0.7" top="0.75" bottom="0.75" header="0.3" footer="0.3"/>
  <pageSetup paperSize="9" orientation="portrait" verticalDpi="4"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ul16"/>
  <dimension ref="A2:N25"/>
  <sheetViews>
    <sheetView workbookViewId="0"/>
  </sheetViews>
  <sheetFormatPr defaultRowHeight="12.45"/>
  <cols>
    <col min="1" max="1" width="11.07421875" customWidth="1"/>
    <col min="2" max="2" width="20" customWidth="1"/>
  </cols>
  <sheetData>
    <row r="2" spans="1:14">
      <c r="B2" s="63"/>
      <c r="C2" s="403">
        <f>'4. Kassabudjetti'!G6</f>
        <v>45292</v>
      </c>
      <c r="D2" s="403">
        <f>'4. Kassabudjetti'!H6</f>
        <v>45323</v>
      </c>
      <c r="E2" s="403">
        <f>'4. Kassabudjetti'!I6</f>
        <v>45354</v>
      </c>
      <c r="F2" s="403">
        <f>'4. Kassabudjetti'!J6</f>
        <v>45385</v>
      </c>
      <c r="G2" s="403">
        <f>'4. Kassabudjetti'!K6</f>
        <v>45416</v>
      </c>
      <c r="H2" s="403">
        <f>'4. Kassabudjetti'!L6</f>
        <v>45447</v>
      </c>
      <c r="I2" s="403">
        <f>'4. Kassabudjetti'!M6</f>
        <v>45478</v>
      </c>
      <c r="J2" s="403">
        <f>'4. Kassabudjetti'!N6</f>
        <v>45509</v>
      </c>
      <c r="K2" s="403">
        <f>'4. Kassabudjetti'!O6</f>
        <v>45540</v>
      </c>
      <c r="L2" s="403">
        <f>'4. Kassabudjetti'!P6</f>
        <v>45571</v>
      </c>
      <c r="M2" s="403">
        <f>'4. Kassabudjetti'!Q6</f>
        <v>45602</v>
      </c>
      <c r="N2" s="403">
        <f>'4. Kassabudjetti'!R6</f>
        <v>45633</v>
      </c>
    </row>
    <row r="3" spans="1:14">
      <c r="B3" s="63" t="s">
        <v>362</v>
      </c>
      <c r="C3" s="404">
        <f>'4. Kassabudjetti'!E12</f>
        <v>14</v>
      </c>
      <c r="D3" s="404">
        <f>C3</f>
        <v>14</v>
      </c>
      <c r="E3" s="404">
        <f t="shared" ref="E3:N3" si="0">D3</f>
        <v>14</v>
      </c>
      <c r="F3" s="404">
        <f t="shared" si="0"/>
        <v>14</v>
      </c>
      <c r="G3" s="404">
        <f t="shared" si="0"/>
        <v>14</v>
      </c>
      <c r="H3" s="404">
        <f t="shared" si="0"/>
        <v>14</v>
      </c>
      <c r="I3" s="404">
        <f t="shared" si="0"/>
        <v>14</v>
      </c>
      <c r="J3" s="404">
        <f t="shared" si="0"/>
        <v>14</v>
      </c>
      <c r="K3" s="404">
        <f t="shared" si="0"/>
        <v>14</v>
      </c>
      <c r="L3" s="404">
        <f t="shared" si="0"/>
        <v>14</v>
      </c>
      <c r="M3" s="404">
        <f t="shared" si="0"/>
        <v>14</v>
      </c>
      <c r="N3" s="404">
        <f t="shared" si="0"/>
        <v>14</v>
      </c>
    </row>
    <row r="4" spans="1:14">
      <c r="A4" s="63" t="s">
        <v>0</v>
      </c>
      <c r="B4" s="63" t="s">
        <v>378</v>
      </c>
      <c r="C4" s="349">
        <f>'4. Kassabudjetti'!G10</f>
        <v>0</v>
      </c>
      <c r="D4" s="349">
        <f>'4. Kassabudjetti'!H10</f>
        <v>0</v>
      </c>
      <c r="E4" s="349">
        <f>'4. Kassabudjetti'!I10</f>
        <v>0</v>
      </c>
      <c r="F4" s="349">
        <f>'4. Kassabudjetti'!J10</f>
        <v>0</v>
      </c>
      <c r="G4" s="349">
        <f>'4. Kassabudjetti'!K10</f>
        <v>0</v>
      </c>
      <c r="H4" s="349">
        <f>'4. Kassabudjetti'!L10</f>
        <v>0</v>
      </c>
      <c r="I4" s="349">
        <f>'4. Kassabudjetti'!M10</f>
        <v>0</v>
      </c>
      <c r="J4" s="349">
        <f>'4. Kassabudjetti'!N10</f>
        <v>0</v>
      </c>
      <c r="K4" s="349">
        <f>'4. Kassabudjetti'!O10</f>
        <v>0</v>
      </c>
      <c r="L4" s="349">
        <f>'4. Kassabudjetti'!P10</f>
        <v>0</v>
      </c>
      <c r="M4" s="349">
        <f>'4. Kassabudjetti'!Q10</f>
        <v>0</v>
      </c>
      <c r="N4" s="349">
        <f>'4. Kassabudjetti'!R10</f>
        <v>0</v>
      </c>
    </row>
    <row r="5" spans="1:14">
      <c r="A5" s="405" t="s">
        <v>363</v>
      </c>
      <c r="B5" s="405" t="s">
        <v>364</v>
      </c>
      <c r="C5" s="406">
        <f>IF(C$3&lt;31,C$4*(30-C3)/30,0)</f>
        <v>0</v>
      </c>
      <c r="D5" s="406">
        <f t="shared" ref="D5:N5" si="1">IF(D$3&lt;31,D$4*(30-D3)/30,0)</f>
        <v>0</v>
      </c>
      <c r="E5" s="406">
        <f t="shared" si="1"/>
        <v>0</v>
      </c>
      <c r="F5" s="406">
        <f t="shared" si="1"/>
        <v>0</v>
      </c>
      <c r="G5" s="406">
        <f t="shared" si="1"/>
        <v>0</v>
      </c>
      <c r="H5" s="406">
        <f t="shared" si="1"/>
        <v>0</v>
      </c>
      <c r="I5" s="406">
        <f t="shared" si="1"/>
        <v>0</v>
      </c>
      <c r="J5" s="406">
        <f t="shared" si="1"/>
        <v>0</v>
      </c>
      <c r="K5" s="406">
        <f t="shared" si="1"/>
        <v>0</v>
      </c>
      <c r="L5" s="406">
        <f t="shared" si="1"/>
        <v>0</v>
      </c>
      <c r="M5" s="406">
        <f t="shared" si="1"/>
        <v>0</v>
      </c>
      <c r="N5" s="406">
        <f t="shared" si="1"/>
        <v>0</v>
      </c>
    </row>
    <row r="6" spans="1:14">
      <c r="A6" s="9" t="s">
        <v>365</v>
      </c>
      <c r="B6" s="9" t="s">
        <v>366</v>
      </c>
      <c r="C6" s="69">
        <f>IF(C3&gt;30,0,C4-C5)</f>
        <v>0</v>
      </c>
      <c r="D6" s="69">
        <f t="shared" ref="D6:N6" si="2">IF(D3&gt;30,0,D4-D5)</f>
        <v>0</v>
      </c>
      <c r="E6" s="69">
        <f t="shared" si="2"/>
        <v>0</v>
      </c>
      <c r="F6" s="69">
        <f t="shared" si="2"/>
        <v>0</v>
      </c>
      <c r="G6" s="69">
        <f t="shared" si="2"/>
        <v>0</v>
      </c>
      <c r="H6" s="69">
        <f t="shared" si="2"/>
        <v>0</v>
      </c>
      <c r="I6" s="69">
        <f t="shared" si="2"/>
        <v>0</v>
      </c>
      <c r="J6" s="69">
        <f t="shared" si="2"/>
        <v>0</v>
      </c>
      <c r="K6" s="69">
        <f t="shared" si="2"/>
        <v>0</v>
      </c>
      <c r="L6" s="69">
        <f t="shared" si="2"/>
        <v>0</v>
      </c>
      <c r="M6" s="69">
        <f t="shared" si="2"/>
        <v>0</v>
      </c>
      <c r="N6" s="69">
        <f t="shared" si="2"/>
        <v>0</v>
      </c>
    </row>
    <row r="7" spans="1:14">
      <c r="A7" s="405" t="s">
        <v>365</v>
      </c>
      <c r="B7" s="405" t="s">
        <v>366</v>
      </c>
      <c r="C7" s="406">
        <f>IF(C$3&lt;31,0,IF(C$3&gt;60,0,C$4*(60-C$3))/30)</f>
        <v>0</v>
      </c>
      <c r="D7" s="406">
        <f t="shared" ref="D7:N7" si="3">IF(D$3&lt;31,0,IF(D$3&gt;60,0,D$4*(60-D$3))/30)</f>
        <v>0</v>
      </c>
      <c r="E7" s="406">
        <f t="shared" si="3"/>
        <v>0</v>
      </c>
      <c r="F7" s="406">
        <f t="shared" si="3"/>
        <v>0</v>
      </c>
      <c r="G7" s="406">
        <f t="shared" si="3"/>
        <v>0</v>
      </c>
      <c r="H7" s="406">
        <f t="shared" si="3"/>
        <v>0</v>
      </c>
      <c r="I7" s="406">
        <f t="shared" si="3"/>
        <v>0</v>
      </c>
      <c r="J7" s="406">
        <f t="shared" si="3"/>
        <v>0</v>
      </c>
      <c r="K7" s="406">
        <f t="shared" si="3"/>
        <v>0</v>
      </c>
      <c r="L7" s="406">
        <f t="shared" si="3"/>
        <v>0</v>
      </c>
      <c r="M7" s="406">
        <f t="shared" si="3"/>
        <v>0</v>
      </c>
      <c r="N7" s="406">
        <f t="shared" si="3"/>
        <v>0</v>
      </c>
    </row>
    <row r="8" spans="1:14">
      <c r="A8" s="9" t="s">
        <v>367</v>
      </c>
      <c r="B8" s="9" t="s">
        <v>368</v>
      </c>
      <c r="C8" s="69">
        <f>IF(C$3&lt;31,0,IF(C$3&gt;60,0,C4-C7))</f>
        <v>0</v>
      </c>
      <c r="D8" s="69">
        <f t="shared" ref="D8:N8" si="4">IF(D$3&lt;31,0,IF(D$3&gt;60,0,D4-D7))</f>
        <v>0</v>
      </c>
      <c r="E8" s="69">
        <f t="shared" si="4"/>
        <v>0</v>
      </c>
      <c r="F8" s="69">
        <f t="shared" si="4"/>
        <v>0</v>
      </c>
      <c r="G8" s="69">
        <f t="shared" si="4"/>
        <v>0</v>
      </c>
      <c r="H8" s="69">
        <f t="shared" si="4"/>
        <v>0</v>
      </c>
      <c r="I8" s="69">
        <f t="shared" si="4"/>
        <v>0</v>
      </c>
      <c r="J8" s="69">
        <f t="shared" si="4"/>
        <v>0</v>
      </c>
      <c r="K8" s="69">
        <f t="shared" si="4"/>
        <v>0</v>
      </c>
      <c r="L8" s="69">
        <f t="shared" si="4"/>
        <v>0</v>
      </c>
      <c r="M8" s="69">
        <f t="shared" si="4"/>
        <v>0</v>
      </c>
      <c r="N8" s="69">
        <f t="shared" si="4"/>
        <v>0</v>
      </c>
    </row>
    <row r="9" spans="1:14">
      <c r="A9" s="405" t="s">
        <v>367</v>
      </c>
      <c r="B9" s="405" t="s">
        <v>368</v>
      </c>
      <c r="C9" s="406">
        <f>IF(C$3&lt;61,0,IF(C$3&gt;90,0,C$4*(90-C$3))/30)</f>
        <v>0</v>
      </c>
      <c r="D9" s="406">
        <f t="shared" ref="D9:N9" si="5">IF(D$3&lt;61,0,IF(D$3&gt;90,0,D$4*(90-D$3))/30)</f>
        <v>0</v>
      </c>
      <c r="E9" s="406">
        <f t="shared" si="5"/>
        <v>0</v>
      </c>
      <c r="F9" s="406">
        <f t="shared" si="5"/>
        <v>0</v>
      </c>
      <c r="G9" s="406">
        <f t="shared" si="5"/>
        <v>0</v>
      </c>
      <c r="H9" s="406">
        <f t="shared" si="5"/>
        <v>0</v>
      </c>
      <c r="I9" s="406">
        <f t="shared" si="5"/>
        <v>0</v>
      </c>
      <c r="J9" s="406">
        <f t="shared" si="5"/>
        <v>0</v>
      </c>
      <c r="K9" s="406">
        <f t="shared" si="5"/>
        <v>0</v>
      </c>
      <c r="L9" s="406">
        <f t="shared" si="5"/>
        <v>0</v>
      </c>
      <c r="M9" s="406">
        <f t="shared" si="5"/>
        <v>0</v>
      </c>
      <c r="N9" s="406">
        <f t="shared" si="5"/>
        <v>0</v>
      </c>
    </row>
    <row r="10" spans="1:14">
      <c r="A10" s="9" t="s">
        <v>369</v>
      </c>
      <c r="B10" s="9" t="s">
        <v>370</v>
      </c>
      <c r="C10" s="69">
        <f>IF(C$3&lt;61,0,IF(C$3&gt;90,0,C4-C9))</f>
        <v>0</v>
      </c>
      <c r="D10" s="69">
        <f t="shared" ref="D10:N10" si="6">IF(D$3&lt;61,0,IF(D$3&gt;90,0,D4-D9))</f>
        <v>0</v>
      </c>
      <c r="E10" s="69">
        <f t="shared" si="6"/>
        <v>0</v>
      </c>
      <c r="F10" s="69">
        <f t="shared" si="6"/>
        <v>0</v>
      </c>
      <c r="G10" s="69">
        <f t="shared" si="6"/>
        <v>0</v>
      </c>
      <c r="H10" s="69">
        <f t="shared" si="6"/>
        <v>0</v>
      </c>
      <c r="I10" s="69">
        <f t="shared" si="6"/>
        <v>0</v>
      </c>
      <c r="J10" s="69">
        <f t="shared" si="6"/>
        <v>0</v>
      </c>
      <c r="K10" s="69">
        <f t="shared" si="6"/>
        <v>0</v>
      </c>
      <c r="L10" s="69">
        <f t="shared" si="6"/>
        <v>0</v>
      </c>
      <c r="M10" s="69">
        <f t="shared" si="6"/>
        <v>0</v>
      </c>
      <c r="N10" s="69">
        <f t="shared" si="6"/>
        <v>0</v>
      </c>
    </row>
    <row r="11" spans="1:14">
      <c r="A11" s="405" t="s">
        <v>369</v>
      </c>
      <c r="B11" s="405" t="s">
        <v>370</v>
      </c>
      <c r="C11" s="406">
        <f>IF(C$3&lt;91,0,IF(C$3&gt;120,0,C$4*(120-C$3))/30)</f>
        <v>0</v>
      </c>
      <c r="D11" s="406">
        <f t="shared" ref="D11:N11" si="7">IF(D$3&lt;91,0,IF(D$3&gt;120,0,D$4*(120-D$3))/30)</f>
        <v>0</v>
      </c>
      <c r="E11" s="406">
        <f t="shared" si="7"/>
        <v>0</v>
      </c>
      <c r="F11" s="406">
        <f t="shared" si="7"/>
        <v>0</v>
      </c>
      <c r="G11" s="406">
        <f t="shared" si="7"/>
        <v>0</v>
      </c>
      <c r="H11" s="406">
        <f t="shared" si="7"/>
        <v>0</v>
      </c>
      <c r="I11" s="406">
        <f t="shared" si="7"/>
        <v>0</v>
      </c>
      <c r="J11" s="406">
        <f t="shared" si="7"/>
        <v>0</v>
      </c>
      <c r="K11" s="406">
        <f t="shared" si="7"/>
        <v>0</v>
      </c>
      <c r="L11" s="406">
        <f t="shared" si="7"/>
        <v>0</v>
      </c>
      <c r="M11" s="406">
        <f t="shared" si="7"/>
        <v>0</v>
      </c>
      <c r="N11" s="406">
        <f t="shared" si="7"/>
        <v>0</v>
      </c>
    </row>
    <row r="12" spans="1:14">
      <c r="A12" s="9" t="s">
        <v>371</v>
      </c>
      <c r="B12" s="9" t="s">
        <v>372</v>
      </c>
      <c r="C12" s="69">
        <f>IF(C$3&lt;91,0,IF(C$3&gt;120,0,C4-C11))</f>
        <v>0</v>
      </c>
      <c r="D12" s="69">
        <f t="shared" ref="D12:N12" si="8">IF(D$3&lt;91,0,IF(D$3&gt;120,0,D4-D11))</f>
        <v>0</v>
      </c>
      <c r="E12" s="69">
        <f t="shared" si="8"/>
        <v>0</v>
      </c>
      <c r="F12" s="69">
        <f t="shared" si="8"/>
        <v>0</v>
      </c>
      <c r="G12" s="69">
        <f t="shared" si="8"/>
        <v>0</v>
      </c>
      <c r="H12" s="69">
        <f t="shared" si="8"/>
        <v>0</v>
      </c>
      <c r="I12" s="69">
        <f t="shared" si="8"/>
        <v>0</v>
      </c>
      <c r="J12" s="69">
        <f t="shared" si="8"/>
        <v>0</v>
      </c>
      <c r="K12" s="69">
        <f t="shared" si="8"/>
        <v>0</v>
      </c>
      <c r="L12" s="69">
        <f t="shared" si="8"/>
        <v>0</v>
      </c>
      <c r="M12" s="69">
        <f t="shared" si="8"/>
        <v>0</v>
      </c>
      <c r="N12" s="69">
        <f t="shared" si="8"/>
        <v>0</v>
      </c>
    </row>
    <row r="13" spans="1:14">
      <c r="A13" s="405" t="s">
        <v>371</v>
      </c>
      <c r="B13" s="405" t="s">
        <v>372</v>
      </c>
      <c r="C13" s="406">
        <f>IF(C$3&lt;121,0,IF(C$3&gt;150,0,C$4*(150-C$3))/30)</f>
        <v>0</v>
      </c>
      <c r="D13" s="406">
        <f t="shared" ref="D13:N13" si="9">IF(D$3&lt;121,0,IF(D$3&gt;150,0,D$4*(150-D$3))/30)</f>
        <v>0</v>
      </c>
      <c r="E13" s="406">
        <f t="shared" si="9"/>
        <v>0</v>
      </c>
      <c r="F13" s="406">
        <f t="shared" si="9"/>
        <v>0</v>
      </c>
      <c r="G13" s="406">
        <f t="shared" si="9"/>
        <v>0</v>
      </c>
      <c r="H13" s="406">
        <f t="shared" si="9"/>
        <v>0</v>
      </c>
      <c r="I13" s="406">
        <f t="shared" si="9"/>
        <v>0</v>
      </c>
      <c r="J13" s="406">
        <f t="shared" si="9"/>
        <v>0</v>
      </c>
      <c r="K13" s="406">
        <f t="shared" si="9"/>
        <v>0</v>
      </c>
      <c r="L13" s="406">
        <f t="shared" si="9"/>
        <v>0</v>
      </c>
      <c r="M13" s="406">
        <f t="shared" si="9"/>
        <v>0</v>
      </c>
      <c r="N13" s="406">
        <f t="shared" si="9"/>
        <v>0</v>
      </c>
    </row>
    <row r="14" spans="1:14">
      <c r="A14" s="9" t="s">
        <v>373</v>
      </c>
      <c r="B14" s="9" t="s">
        <v>374</v>
      </c>
      <c r="C14" s="69">
        <f>IF(C$3&lt;121,0,IF(C$3&gt;150,0,C4-C13))</f>
        <v>0</v>
      </c>
      <c r="D14" s="69">
        <f t="shared" ref="D14:N14" si="10">IF(D$3&lt;121,0,IF(D$3&gt;150,0,D4-D13))</f>
        <v>0</v>
      </c>
      <c r="E14" s="69">
        <f t="shared" si="10"/>
        <v>0</v>
      </c>
      <c r="F14" s="69">
        <f t="shared" si="10"/>
        <v>0</v>
      </c>
      <c r="G14" s="69">
        <f t="shared" si="10"/>
        <v>0</v>
      </c>
      <c r="H14" s="69">
        <f t="shared" si="10"/>
        <v>0</v>
      </c>
      <c r="I14" s="69">
        <f t="shared" si="10"/>
        <v>0</v>
      </c>
      <c r="J14" s="69">
        <f t="shared" si="10"/>
        <v>0</v>
      </c>
      <c r="K14" s="69">
        <f t="shared" si="10"/>
        <v>0</v>
      </c>
      <c r="L14" s="69">
        <f t="shared" si="10"/>
        <v>0</v>
      </c>
      <c r="M14" s="69">
        <f t="shared" si="10"/>
        <v>0</v>
      </c>
      <c r="N14" s="69">
        <f t="shared" si="10"/>
        <v>0</v>
      </c>
    </row>
    <row r="15" spans="1:14">
      <c r="A15" s="405" t="s">
        <v>373</v>
      </c>
      <c r="B15" s="405" t="s">
        <v>374</v>
      </c>
      <c r="C15" s="406">
        <f>IF(C$3&lt;151,0,IF(C$3&gt;180,0,C$4*(180-C$3))/30)</f>
        <v>0</v>
      </c>
      <c r="D15" s="406">
        <f t="shared" ref="D15:N15" si="11">IF(D$3&lt;151,0,IF(D$3&gt;180,0,D$4*(180-D$3))/30)</f>
        <v>0</v>
      </c>
      <c r="E15" s="406">
        <f t="shared" si="11"/>
        <v>0</v>
      </c>
      <c r="F15" s="406">
        <f t="shared" si="11"/>
        <v>0</v>
      </c>
      <c r="G15" s="406">
        <f t="shared" si="11"/>
        <v>0</v>
      </c>
      <c r="H15" s="406">
        <f t="shared" si="11"/>
        <v>0</v>
      </c>
      <c r="I15" s="406">
        <f t="shared" si="11"/>
        <v>0</v>
      </c>
      <c r="J15" s="406">
        <f t="shared" si="11"/>
        <v>0</v>
      </c>
      <c r="K15" s="406">
        <f t="shared" si="11"/>
        <v>0</v>
      </c>
      <c r="L15" s="406">
        <f t="shared" si="11"/>
        <v>0</v>
      </c>
      <c r="M15" s="406">
        <f t="shared" si="11"/>
        <v>0</v>
      </c>
      <c r="N15" s="406">
        <f t="shared" si="11"/>
        <v>0</v>
      </c>
    </row>
    <row r="16" spans="1:14">
      <c r="A16" s="9"/>
      <c r="B16" s="9" t="s">
        <v>375</v>
      </c>
      <c r="C16" s="69">
        <f>IF(C$3&lt;151,0,IF(C$3&gt;180,0,C4-C15))</f>
        <v>0</v>
      </c>
      <c r="D16" s="69">
        <f t="shared" ref="D16:N16" si="12">IF(D$3&lt;151,0,IF(D$3&gt;180,0,D4-D15))</f>
        <v>0</v>
      </c>
      <c r="E16" s="69">
        <f t="shared" si="12"/>
        <v>0</v>
      </c>
      <c r="F16" s="69">
        <f t="shared" si="12"/>
        <v>0</v>
      </c>
      <c r="G16" s="69">
        <f t="shared" si="12"/>
        <v>0</v>
      </c>
      <c r="H16" s="69">
        <f t="shared" si="12"/>
        <v>0</v>
      </c>
      <c r="I16" s="69">
        <f t="shared" si="12"/>
        <v>0</v>
      </c>
      <c r="J16" s="69">
        <f t="shared" si="12"/>
        <v>0</v>
      </c>
      <c r="K16" s="69">
        <f t="shared" si="12"/>
        <v>0</v>
      </c>
      <c r="L16" s="69">
        <f t="shared" si="12"/>
        <v>0</v>
      </c>
      <c r="M16" s="69">
        <f t="shared" si="12"/>
        <v>0</v>
      </c>
      <c r="N16" s="69">
        <f t="shared" si="12"/>
        <v>0</v>
      </c>
    </row>
    <row r="17" spans="1:14">
      <c r="A17" s="63"/>
      <c r="B17" s="63" t="s">
        <v>376</v>
      </c>
      <c r="C17" s="403">
        <f>C2</f>
        <v>45292</v>
      </c>
      <c r="D17" s="403">
        <f t="shared" ref="D17:N17" si="13">D2</f>
        <v>45323</v>
      </c>
      <c r="E17" s="403">
        <f t="shared" si="13"/>
        <v>45354</v>
      </c>
      <c r="F17" s="403">
        <f t="shared" si="13"/>
        <v>45385</v>
      </c>
      <c r="G17" s="403">
        <f t="shared" si="13"/>
        <v>45416</v>
      </c>
      <c r="H17" s="403">
        <f t="shared" si="13"/>
        <v>45447</v>
      </c>
      <c r="I17" s="403">
        <f t="shared" si="13"/>
        <v>45478</v>
      </c>
      <c r="J17" s="403">
        <f t="shared" si="13"/>
        <v>45509</v>
      </c>
      <c r="K17" s="403">
        <f t="shared" si="13"/>
        <v>45540</v>
      </c>
      <c r="L17" s="403">
        <f t="shared" si="13"/>
        <v>45571</v>
      </c>
      <c r="M17" s="403">
        <f t="shared" si="13"/>
        <v>45602</v>
      </c>
      <c r="N17" s="403">
        <f t="shared" si="13"/>
        <v>45633</v>
      </c>
    </row>
    <row r="18" spans="1:14">
      <c r="A18" s="9"/>
      <c r="B18" s="9" t="s">
        <v>379</v>
      </c>
      <c r="C18" s="69">
        <f>+C5</f>
        <v>0</v>
      </c>
      <c r="D18" s="69">
        <f t="shared" ref="D18:N18" si="14">+D5</f>
        <v>0</v>
      </c>
      <c r="E18" s="69">
        <f t="shared" si="14"/>
        <v>0</v>
      </c>
      <c r="F18" s="69">
        <f t="shared" si="14"/>
        <v>0</v>
      </c>
      <c r="G18" s="69">
        <f t="shared" si="14"/>
        <v>0</v>
      </c>
      <c r="H18" s="69">
        <f t="shared" si="14"/>
        <v>0</v>
      </c>
      <c r="I18" s="69">
        <f t="shared" si="14"/>
        <v>0</v>
      </c>
      <c r="J18" s="69">
        <f t="shared" si="14"/>
        <v>0</v>
      </c>
      <c r="K18" s="69">
        <f t="shared" si="14"/>
        <v>0</v>
      </c>
      <c r="L18" s="69">
        <f t="shared" si="14"/>
        <v>0</v>
      </c>
      <c r="M18" s="69">
        <f t="shared" si="14"/>
        <v>0</v>
      </c>
      <c r="N18" s="69">
        <f t="shared" si="14"/>
        <v>0</v>
      </c>
    </row>
    <row r="19" spans="1:14">
      <c r="A19" s="9"/>
      <c r="B19" s="9" t="s">
        <v>366</v>
      </c>
      <c r="C19" s="69"/>
      <c r="D19" s="69">
        <f>C6+C7</f>
        <v>0</v>
      </c>
      <c r="E19" s="69">
        <f t="shared" ref="E19:N19" si="15">D6+D7</f>
        <v>0</v>
      </c>
      <c r="F19" s="69">
        <f t="shared" si="15"/>
        <v>0</v>
      </c>
      <c r="G19" s="69">
        <f t="shared" si="15"/>
        <v>0</v>
      </c>
      <c r="H19" s="69">
        <f t="shared" si="15"/>
        <v>0</v>
      </c>
      <c r="I19" s="69">
        <f t="shared" si="15"/>
        <v>0</v>
      </c>
      <c r="J19" s="69">
        <f t="shared" si="15"/>
        <v>0</v>
      </c>
      <c r="K19" s="69">
        <f t="shared" si="15"/>
        <v>0</v>
      </c>
      <c r="L19" s="69">
        <f t="shared" si="15"/>
        <v>0</v>
      </c>
      <c r="M19" s="69">
        <f t="shared" si="15"/>
        <v>0</v>
      </c>
      <c r="N19" s="69">
        <f t="shared" si="15"/>
        <v>0</v>
      </c>
    </row>
    <row r="20" spans="1:14">
      <c r="A20" s="9"/>
      <c r="B20" s="9" t="s">
        <v>368</v>
      </c>
      <c r="C20" s="69"/>
      <c r="D20" s="69"/>
      <c r="E20" s="69">
        <f>C8+C9</f>
        <v>0</v>
      </c>
      <c r="F20" s="69">
        <f t="shared" ref="F20:N20" si="16">D8+D9</f>
        <v>0</v>
      </c>
      <c r="G20" s="69">
        <f t="shared" si="16"/>
        <v>0</v>
      </c>
      <c r="H20" s="69">
        <f t="shared" si="16"/>
        <v>0</v>
      </c>
      <c r="I20" s="69">
        <f t="shared" si="16"/>
        <v>0</v>
      </c>
      <c r="J20" s="69">
        <f t="shared" si="16"/>
        <v>0</v>
      </c>
      <c r="K20" s="69">
        <f t="shared" si="16"/>
        <v>0</v>
      </c>
      <c r="L20" s="69">
        <f t="shared" si="16"/>
        <v>0</v>
      </c>
      <c r="M20" s="69">
        <f t="shared" si="16"/>
        <v>0</v>
      </c>
      <c r="N20" s="69">
        <f t="shared" si="16"/>
        <v>0</v>
      </c>
    </row>
    <row r="21" spans="1:14">
      <c r="A21" s="9"/>
      <c r="B21" s="9" t="s">
        <v>370</v>
      </c>
      <c r="C21" s="69"/>
      <c r="D21" s="69"/>
      <c r="E21" s="69"/>
      <c r="F21" s="69">
        <f>C10+C11</f>
        <v>0</v>
      </c>
      <c r="G21" s="69">
        <f t="shared" ref="G21:N21" si="17">D10+D11</f>
        <v>0</v>
      </c>
      <c r="H21" s="69">
        <f t="shared" si="17"/>
        <v>0</v>
      </c>
      <c r="I21" s="69">
        <f t="shared" si="17"/>
        <v>0</v>
      </c>
      <c r="J21" s="69">
        <f t="shared" si="17"/>
        <v>0</v>
      </c>
      <c r="K21" s="69">
        <f t="shared" si="17"/>
        <v>0</v>
      </c>
      <c r="L21" s="69">
        <f t="shared" si="17"/>
        <v>0</v>
      </c>
      <c r="M21" s="69">
        <f t="shared" si="17"/>
        <v>0</v>
      </c>
      <c r="N21" s="69">
        <f t="shared" si="17"/>
        <v>0</v>
      </c>
    </row>
    <row r="22" spans="1:14">
      <c r="A22" s="9"/>
      <c r="B22" s="9" t="s">
        <v>372</v>
      </c>
      <c r="C22" s="69"/>
      <c r="D22" s="69"/>
      <c r="E22" s="69"/>
      <c r="F22" s="69"/>
      <c r="G22" s="69">
        <f>C12+C13</f>
        <v>0</v>
      </c>
      <c r="H22" s="69">
        <f t="shared" ref="H22:N22" si="18">D12+D13</f>
        <v>0</v>
      </c>
      <c r="I22" s="69">
        <f t="shared" si="18"/>
        <v>0</v>
      </c>
      <c r="J22" s="69">
        <f t="shared" si="18"/>
        <v>0</v>
      </c>
      <c r="K22" s="69">
        <f t="shared" si="18"/>
        <v>0</v>
      </c>
      <c r="L22" s="69">
        <f t="shared" si="18"/>
        <v>0</v>
      </c>
      <c r="M22" s="69">
        <f t="shared" si="18"/>
        <v>0</v>
      </c>
      <c r="N22" s="69">
        <f t="shared" si="18"/>
        <v>0</v>
      </c>
    </row>
    <row r="23" spans="1:14">
      <c r="A23" s="9"/>
      <c r="B23" s="9" t="s">
        <v>374</v>
      </c>
      <c r="C23" s="69"/>
      <c r="D23" s="69"/>
      <c r="E23" s="69"/>
      <c r="F23" s="69"/>
      <c r="G23" s="69"/>
      <c r="H23" s="69">
        <f>C14+C15</f>
        <v>0</v>
      </c>
      <c r="I23" s="69">
        <f t="shared" ref="I23:N23" si="19">D14+D15</f>
        <v>0</v>
      </c>
      <c r="J23" s="69">
        <f t="shared" si="19"/>
        <v>0</v>
      </c>
      <c r="K23" s="69">
        <f t="shared" si="19"/>
        <v>0</v>
      </c>
      <c r="L23" s="69">
        <f t="shared" si="19"/>
        <v>0</v>
      </c>
      <c r="M23" s="69">
        <f t="shared" si="19"/>
        <v>0</v>
      </c>
      <c r="N23" s="69">
        <f t="shared" si="19"/>
        <v>0</v>
      </c>
    </row>
    <row r="24" spans="1:14">
      <c r="A24" s="9"/>
      <c r="B24" s="9" t="s">
        <v>375</v>
      </c>
      <c r="C24" s="69"/>
      <c r="D24" s="69"/>
      <c r="E24" s="69"/>
      <c r="F24" s="69"/>
      <c r="G24" s="69"/>
      <c r="H24" s="69"/>
      <c r="I24" s="69">
        <f t="shared" ref="I24:N24" si="20">C16</f>
        <v>0</v>
      </c>
      <c r="J24" s="69">
        <f t="shared" si="20"/>
        <v>0</v>
      </c>
      <c r="K24" s="69">
        <f t="shared" si="20"/>
        <v>0</v>
      </c>
      <c r="L24" s="69">
        <f t="shared" si="20"/>
        <v>0</v>
      </c>
      <c r="M24" s="69">
        <f t="shared" si="20"/>
        <v>0</v>
      </c>
      <c r="N24" s="69">
        <f t="shared" si="20"/>
        <v>0</v>
      </c>
    </row>
    <row r="25" spans="1:14">
      <c r="A25" s="63"/>
      <c r="B25" s="63" t="s">
        <v>377</v>
      </c>
      <c r="C25" s="349">
        <f>SUM(C18:C24)</f>
        <v>0</v>
      </c>
      <c r="D25" s="349">
        <f t="shared" ref="D25:N25" si="21">SUM(D18:D24)</f>
        <v>0</v>
      </c>
      <c r="E25" s="349">
        <f t="shared" si="21"/>
        <v>0</v>
      </c>
      <c r="F25" s="349">
        <f t="shared" si="21"/>
        <v>0</v>
      </c>
      <c r="G25" s="349">
        <f t="shared" si="21"/>
        <v>0</v>
      </c>
      <c r="H25" s="349">
        <f t="shared" si="21"/>
        <v>0</v>
      </c>
      <c r="I25" s="349">
        <f t="shared" si="21"/>
        <v>0</v>
      </c>
      <c r="J25" s="349">
        <f t="shared" si="21"/>
        <v>0</v>
      </c>
      <c r="K25" s="349">
        <f t="shared" si="21"/>
        <v>0</v>
      </c>
      <c r="L25" s="349">
        <f t="shared" si="21"/>
        <v>0</v>
      </c>
      <c r="M25" s="349">
        <f t="shared" si="21"/>
        <v>0</v>
      </c>
      <c r="N25" s="349">
        <f t="shared" si="21"/>
        <v>0</v>
      </c>
    </row>
  </sheetData>
  <sheetProtection password="9675" sheet="1" objects="1" scenarios="1" selectLockedCells="1" selectUnlockedCell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ul12"/>
  <dimension ref="A2:O46"/>
  <sheetViews>
    <sheetView workbookViewId="0"/>
  </sheetViews>
  <sheetFormatPr defaultRowHeight="12.45"/>
  <cols>
    <col min="1" max="1" width="25.69140625" customWidth="1"/>
    <col min="2" max="2" width="10" bestFit="1" customWidth="1"/>
    <col min="8" max="10" width="20.3046875" customWidth="1"/>
  </cols>
  <sheetData>
    <row r="2" spans="1:15" ht="12.9" thickBot="1"/>
    <row r="3" spans="1:15" ht="12.9" thickBot="1">
      <c r="A3" s="7" t="s">
        <v>11</v>
      </c>
      <c r="G3" s="12">
        <v>0</v>
      </c>
      <c r="H3" s="12">
        <v>0</v>
      </c>
      <c r="I3" s="12">
        <v>958.61685826359553</v>
      </c>
    </row>
    <row r="4" spans="1:15">
      <c r="A4" s="2" t="s">
        <v>26</v>
      </c>
      <c r="B4" s="2"/>
      <c r="C4" s="2"/>
      <c r="D4" s="2"/>
      <c r="E4" s="2"/>
      <c r="F4" s="2"/>
      <c r="G4" s="2" t="s">
        <v>27</v>
      </c>
      <c r="H4" s="2"/>
      <c r="L4" s="2"/>
      <c r="M4" s="2"/>
    </row>
    <row r="5" spans="1:15">
      <c r="A5" s="255" t="s">
        <v>741</v>
      </c>
      <c r="G5" s="255" t="s">
        <v>741</v>
      </c>
      <c r="L5" s="255"/>
    </row>
    <row r="6" spans="1:15" ht="12.9" thickBot="1">
      <c r="A6" t="s">
        <v>0</v>
      </c>
    </row>
    <row r="7" spans="1:15">
      <c r="B7" s="3" t="s">
        <v>4</v>
      </c>
      <c r="C7" s="17" t="s">
        <v>5</v>
      </c>
      <c r="D7" s="17" t="s">
        <v>23</v>
      </c>
      <c r="H7" s="3" t="s">
        <v>4</v>
      </c>
      <c r="I7" s="17" t="s">
        <v>5</v>
      </c>
      <c r="J7" s="17" t="s">
        <v>23</v>
      </c>
      <c r="M7" s="47"/>
      <c r="N7" s="47"/>
      <c r="O7" s="47"/>
    </row>
    <row r="8" spans="1:15">
      <c r="A8" s="10" t="s">
        <v>12</v>
      </c>
      <c r="B8" s="34">
        <f>('Myynti K2'!C18)*'Myynti K2'!C15</f>
        <v>0</v>
      </c>
      <c r="C8" s="34">
        <f>('Myynti K2'!D18)*'Myynti K2'!D15</f>
        <v>0</v>
      </c>
      <c r="D8" s="34">
        <f>('Myynti K2'!E18)*'Myynti K2'!E15</f>
        <v>0</v>
      </c>
      <c r="G8" s="10" t="s">
        <v>310</v>
      </c>
      <c r="H8" s="34">
        <f>'Myynti Y2'!C16*'Myynti Y2'!C15</f>
        <v>0</v>
      </c>
      <c r="I8" s="34">
        <f>'Myynti Y2'!D16*'Myynti Y2'!D15</f>
        <v>0</v>
      </c>
      <c r="J8" s="34">
        <f>'Myynti Y2'!E16*'Myynti Y2'!E15</f>
        <v>0</v>
      </c>
      <c r="L8" s="19"/>
      <c r="M8" s="34"/>
      <c r="N8" s="34"/>
      <c r="O8" s="34"/>
    </row>
    <row r="9" spans="1:15">
      <c r="A9" s="11" t="s">
        <v>13</v>
      </c>
      <c r="B9" s="34">
        <f>('Myynti K2'!C28)*'Myynti K2'!C25</f>
        <v>0</v>
      </c>
      <c r="C9" s="34">
        <f>('Myynti K2'!D28)*'Myynti K2'!D25</f>
        <v>0</v>
      </c>
      <c r="D9" s="34">
        <f>('Myynti K2'!E28)*'Myynti K2'!E25</f>
        <v>0</v>
      </c>
      <c r="G9" s="11" t="s">
        <v>13</v>
      </c>
      <c r="H9" s="34">
        <f>'Myynti Y2'!C21*'Myynti Y2'!C20</f>
        <v>0</v>
      </c>
      <c r="I9" s="34">
        <f>'Myynti Y2'!D21*'Myynti Y2'!D20</f>
        <v>0</v>
      </c>
      <c r="J9" s="34">
        <f>'Myynti Y2'!E21*'Myynti Y2'!E20</f>
        <v>0</v>
      </c>
      <c r="L9" s="19"/>
      <c r="M9" s="34"/>
      <c r="N9" s="34"/>
      <c r="O9" s="34"/>
    </row>
    <row r="10" spans="1:15">
      <c r="A10" s="11" t="s">
        <v>14</v>
      </c>
      <c r="B10" s="34">
        <f>('Myynti K2'!C38)*'Myynti K2'!C35</f>
        <v>0</v>
      </c>
      <c r="C10" s="34">
        <f>('Myynti K2'!D38)*'Myynti K2'!D35</f>
        <v>0</v>
      </c>
      <c r="D10" s="34">
        <f>('Myynti K2'!E38)*'Myynti K2'!E35</f>
        <v>0</v>
      </c>
      <c r="G10" s="11" t="s">
        <v>14</v>
      </c>
      <c r="H10" s="34">
        <f>'Myynti Y2'!C26*'Myynti Y2'!C25</f>
        <v>0</v>
      </c>
      <c r="I10" s="34">
        <f>'Myynti Y2'!D26*'Myynti Y2'!D25</f>
        <v>0</v>
      </c>
      <c r="J10" s="34">
        <f>'Myynti Y2'!E26*'Myynti Y2'!E25</f>
        <v>0</v>
      </c>
      <c r="L10" s="19"/>
      <c r="M10" s="34"/>
      <c r="N10" s="34"/>
      <c r="O10" s="34"/>
    </row>
    <row r="11" spans="1:15">
      <c r="A11" s="11" t="s">
        <v>15</v>
      </c>
      <c r="B11" s="34">
        <f>('Myynti K2'!C48)*'Myynti K2'!C45</f>
        <v>0</v>
      </c>
      <c r="C11" s="34">
        <f>('Myynti K2'!D48)*'Myynti K2'!D45</f>
        <v>0</v>
      </c>
      <c r="D11" s="34">
        <f>('Myynti K2'!E48)*'Myynti K2'!E45</f>
        <v>0</v>
      </c>
      <c r="G11" s="11" t="s">
        <v>15</v>
      </c>
      <c r="H11" s="34">
        <f>'Myynti Y2'!C31*'Myynti Y2'!C20</f>
        <v>0</v>
      </c>
      <c r="I11" s="34">
        <f>'Myynti Y2'!D31*'Myynti Y2'!D20</f>
        <v>0</v>
      </c>
      <c r="J11" s="34">
        <f>'Myynti Y2'!E31*'Myynti Y2'!E20</f>
        <v>0</v>
      </c>
      <c r="L11" s="19"/>
      <c r="M11" s="34"/>
      <c r="N11" s="34"/>
      <c r="O11" s="34"/>
    </row>
    <row r="12" spans="1:15" ht="12.9" thickBot="1">
      <c r="A12" s="105" t="s">
        <v>651</v>
      </c>
      <c r="B12" s="34">
        <f>'Myynti K2'!C55*'4 AT  Myynnin alv'!B33</f>
        <v>0</v>
      </c>
      <c r="C12" s="34">
        <f>'Myynti K2'!D55*'4 AT  Myynnin alv'!C33</f>
        <v>0</v>
      </c>
      <c r="D12" s="34">
        <f>'Myynti K2'!E55*'4 AT  Myynnin alv'!D33</f>
        <v>0</v>
      </c>
      <c r="G12" s="11" t="s">
        <v>16</v>
      </c>
      <c r="H12" s="34">
        <f>'Myynti Y2'!C36*'Myynti Y2'!C35</f>
        <v>0</v>
      </c>
      <c r="I12" s="34">
        <f>'Myynti Y2'!D36*'Myynti Y2'!D35</f>
        <v>0</v>
      </c>
      <c r="J12" s="34">
        <f>'Myynti Y2'!E36*'Myynti Y2'!E35</f>
        <v>0</v>
      </c>
      <c r="L12" s="19"/>
      <c r="M12" s="34"/>
      <c r="N12" s="34"/>
      <c r="O12" s="34"/>
    </row>
    <row r="13" spans="1:15" ht="12.9" thickBot="1">
      <c r="A13" s="107" t="s">
        <v>65</v>
      </c>
      <c r="B13" s="103">
        <f>SUM(B8:B12)</f>
        <v>0</v>
      </c>
      <c r="C13" s="103">
        <f t="shared" ref="C13:D13" si="0">SUM(C8:C12)</f>
        <v>0</v>
      </c>
      <c r="D13" s="103">
        <f t="shared" si="0"/>
        <v>0</v>
      </c>
      <c r="G13" s="11" t="s">
        <v>71</v>
      </c>
      <c r="H13" s="34">
        <f>'Myynti Y2'!C40*'Myynti Y2'!C41</f>
        <v>0</v>
      </c>
      <c r="I13" s="34">
        <f>'Myynti Y2'!D40*'Myynti Y2'!D41</f>
        <v>0</v>
      </c>
      <c r="J13" s="34">
        <f>'Myynti Y2'!E40*'Myynti Y2'!E41</f>
        <v>0</v>
      </c>
      <c r="L13" s="19"/>
      <c r="M13" s="34"/>
      <c r="N13" s="34"/>
      <c r="O13" s="34"/>
    </row>
    <row r="14" spans="1:15">
      <c r="A14" s="106" t="s">
        <v>17</v>
      </c>
      <c r="B14" s="34">
        <f>('Myynti K2'!C78)*'Myynti K2'!C75</f>
        <v>0</v>
      </c>
      <c r="C14" s="34">
        <f>('Myynti K2'!D78)*'Myynti K2'!D75</f>
        <v>0</v>
      </c>
      <c r="D14" s="34">
        <f>('Myynti K2'!E78)*'Myynti K2'!E75</f>
        <v>0</v>
      </c>
      <c r="G14" s="11" t="s">
        <v>13</v>
      </c>
      <c r="H14" s="34">
        <f>'Myynti Y2'!C47*'Myynti Y2'!C48</f>
        <v>0</v>
      </c>
      <c r="I14" s="34">
        <f>'Myynti Y2'!D47*'Myynti Y2'!D48</f>
        <v>0</v>
      </c>
      <c r="J14" s="34">
        <f>'Myynti Y2'!E47*'Myynti Y2'!E48</f>
        <v>0</v>
      </c>
      <c r="L14" s="19"/>
      <c r="M14" s="34"/>
      <c r="N14" s="34"/>
      <c r="O14" s="34"/>
    </row>
    <row r="15" spans="1:15">
      <c r="A15" s="11" t="s">
        <v>18</v>
      </c>
      <c r="B15" s="34">
        <f>('Myynti K2'!C88)*'Myynti K2'!C85</f>
        <v>0</v>
      </c>
      <c r="C15" s="34">
        <f>('Myynti K2'!D88)*'Myynti K2'!D85</f>
        <v>0</v>
      </c>
      <c r="D15" s="34">
        <f>('Myynti K2'!E88)*'Myynti K2'!E85</f>
        <v>0</v>
      </c>
      <c r="G15" s="11" t="s">
        <v>14</v>
      </c>
      <c r="H15" s="34">
        <f>'Myynti Y2'!C54*'Myynti Y2'!C55</f>
        <v>0</v>
      </c>
      <c r="I15" s="34">
        <f>'Myynti Y2'!D54*'Myynti Y2'!D55</f>
        <v>0</v>
      </c>
      <c r="J15" s="34">
        <f>'Myynti Y2'!E54*'Myynti Y2'!E55</f>
        <v>0</v>
      </c>
      <c r="L15" s="19"/>
      <c r="M15" s="34"/>
      <c r="N15" s="34"/>
      <c r="O15" s="34"/>
    </row>
    <row r="16" spans="1:15">
      <c r="A16" s="11" t="s">
        <v>19</v>
      </c>
      <c r="B16" s="34">
        <f>('Myynti K2'!C98)*'Myynti K2'!C95</f>
        <v>0</v>
      </c>
      <c r="C16" s="34">
        <f>('Myynti K2'!D98)*'Myynti K2'!D95</f>
        <v>0</v>
      </c>
      <c r="D16" s="34">
        <f>('Myynti K2'!E98)*'Myynti K2'!E95</f>
        <v>0</v>
      </c>
      <c r="G16" s="11" t="s">
        <v>15</v>
      </c>
      <c r="H16" s="34">
        <f>'Myynti Y2'!C61*'Myynti Y2'!C62</f>
        <v>0</v>
      </c>
      <c r="I16" s="34">
        <f>'Myynti Y2'!D61*'Myynti Y2'!D62</f>
        <v>0</v>
      </c>
      <c r="J16" s="34">
        <f>'Myynti Y2'!E61*'Myynti Y2'!E62</f>
        <v>0</v>
      </c>
      <c r="L16" s="19"/>
      <c r="M16" s="34"/>
      <c r="N16" s="34"/>
      <c r="O16" s="34"/>
    </row>
    <row r="17" spans="1:15" ht="12.9" thickBot="1">
      <c r="A17" s="11" t="s">
        <v>20</v>
      </c>
      <c r="B17" s="34">
        <f>('Myynti K2'!C108)*'Myynti K2'!C105</f>
        <v>0</v>
      </c>
      <c r="C17" s="34">
        <f>('Myynti K2'!D108)*'Myynti K2'!D105</f>
        <v>0</v>
      </c>
      <c r="D17" s="34">
        <f>('Myynti K2'!E108)*'Myynti K2'!E105</f>
        <v>0</v>
      </c>
      <c r="G17" s="19" t="s">
        <v>16</v>
      </c>
      <c r="H17" s="34">
        <f>'Myynti Y2'!C68*'Myynti Y2'!C69</f>
        <v>0</v>
      </c>
      <c r="I17" s="34">
        <f>'Myynti Y2'!D68*'Myynti Y2'!D69</f>
        <v>0</v>
      </c>
      <c r="J17" s="34">
        <f>'Myynti Y2'!E68*'Myynti Y2'!E69</f>
        <v>0</v>
      </c>
      <c r="L17" s="19"/>
      <c r="M17" s="34"/>
      <c r="N17" s="34"/>
      <c r="O17" s="34"/>
    </row>
    <row r="18" spans="1:15" ht="12.9" thickBot="1">
      <c r="A18" s="19" t="s">
        <v>21</v>
      </c>
      <c r="B18" s="34">
        <f>('Myynti K2'!C118)*'Myynti K2'!C115</f>
        <v>0</v>
      </c>
      <c r="C18" s="34">
        <f>('Myynti K2'!D118)*'Myynti K2'!D115</f>
        <v>0</v>
      </c>
      <c r="D18" s="34">
        <f>('Myynti K2'!E118)*'Myynti K2'!E115</f>
        <v>0</v>
      </c>
      <c r="G18" s="102" t="s">
        <v>69</v>
      </c>
      <c r="H18" s="103">
        <f>SUM(H8:H17)</f>
        <v>0</v>
      </c>
      <c r="I18" s="103">
        <f>SUM(I8:I17)</f>
        <v>0</v>
      </c>
      <c r="J18" s="104">
        <f>SUM(J8:J17)</f>
        <v>0</v>
      </c>
      <c r="L18" s="961"/>
      <c r="M18" s="34"/>
      <c r="N18" s="34"/>
      <c r="O18" s="34"/>
    </row>
    <row r="19" spans="1:15" ht="12.9" thickBot="1">
      <c r="A19" s="19" t="s">
        <v>652</v>
      </c>
      <c r="B19" s="34">
        <f>'Myynti K2'!C125*'4 AT  Myynnin alv'!B36</f>
        <v>0</v>
      </c>
      <c r="C19" s="34">
        <f>'Myynti K2'!D125*'4 AT  Myynnin alv'!C36</f>
        <v>0</v>
      </c>
      <c r="D19" s="34">
        <f>'Myynti K2'!E125*'4 AT  Myynnin alv'!D36</f>
        <v>0</v>
      </c>
      <c r="G19" s="19" t="s">
        <v>67</v>
      </c>
      <c r="H19" s="34">
        <f>'Myynti Y2'!C84*'Myynti Y2'!C85</f>
        <v>0</v>
      </c>
      <c r="I19" s="34">
        <f>'Myynti Y2'!D84*'Myynti Y2'!D85</f>
        <v>0</v>
      </c>
      <c r="J19" s="34">
        <f>'Myynti Y2'!E84*'Myynti Y2'!E85</f>
        <v>0</v>
      </c>
      <c r="L19" s="19"/>
      <c r="M19" s="34"/>
      <c r="N19" s="34"/>
      <c r="O19" s="34"/>
    </row>
    <row r="20" spans="1:15" ht="12.9" thickBot="1">
      <c r="A20" s="108" t="s">
        <v>66</v>
      </c>
      <c r="B20" s="103">
        <f>B13+B14+B15+B16+B17+B18+B19</f>
        <v>0</v>
      </c>
      <c r="C20" s="103">
        <f>C13+C14+C15+C16+C17+C18+C19</f>
        <v>0</v>
      </c>
      <c r="D20" s="104">
        <f>D13+D14+D15+D16+D17+D18+D19</f>
        <v>0</v>
      </c>
      <c r="G20" s="19">
        <v>7</v>
      </c>
      <c r="H20" s="34">
        <f>'Myynti Y2'!C89*'Myynti Y2'!C90</f>
        <v>0</v>
      </c>
      <c r="I20" s="34">
        <f>'Myynti Y2'!D89*'Myynti Y2'!D90</f>
        <v>0</v>
      </c>
      <c r="J20" s="34">
        <f>'Myynti Y2'!E89*'Myynti Y2'!E90</f>
        <v>0</v>
      </c>
      <c r="L20" s="19"/>
      <c r="M20" s="34"/>
      <c r="N20" s="34"/>
      <c r="O20" s="34"/>
    </row>
    <row r="21" spans="1:15">
      <c r="A21" s="19">
        <v>12</v>
      </c>
      <c r="B21" s="34">
        <f>('Myynti K2'!C148)*'Myynti K2'!C145</f>
        <v>0</v>
      </c>
      <c r="C21" s="34">
        <f>('Myynti K2'!D148)*'Myynti K2'!D145</f>
        <v>0</v>
      </c>
      <c r="D21" s="34">
        <f>('Myynti K2'!E148)*'Myynti K2'!E145</f>
        <v>0</v>
      </c>
      <c r="G21" s="19">
        <v>8</v>
      </c>
      <c r="H21" s="34">
        <f>'Myynti Y2'!C94*'Myynti Y2'!C95</f>
        <v>0</v>
      </c>
      <c r="I21" s="34">
        <f>'Myynti Y2'!D94*'Myynti Y2'!D95</f>
        <v>0</v>
      </c>
      <c r="J21" s="34">
        <f>'Myynti Y2'!E94*'Myynti Y2'!E95</f>
        <v>0</v>
      </c>
      <c r="L21" s="19"/>
      <c r="M21" s="34"/>
      <c r="N21" s="34"/>
      <c r="O21" s="34"/>
    </row>
    <row r="22" spans="1:15">
      <c r="A22" s="19">
        <v>13</v>
      </c>
      <c r="B22" s="34">
        <f>('Myynti K2'!C158)*'Myynti K2'!C155</f>
        <v>0</v>
      </c>
      <c r="C22" s="34">
        <f>('Myynti K2'!D158)*'Myynti K2'!D155</f>
        <v>0</v>
      </c>
      <c r="D22" s="34">
        <f>('Myynti K2'!E158)*'Myynti K2'!E155</f>
        <v>0</v>
      </c>
      <c r="G22" s="19">
        <v>9</v>
      </c>
      <c r="H22" s="34">
        <f>'Myynti Y2'!C99*'Myynti Y2'!C100</f>
        <v>0</v>
      </c>
      <c r="I22" s="34">
        <f>'Myynti Y2'!D99*'Myynti Y2'!D100</f>
        <v>0</v>
      </c>
      <c r="J22" s="34">
        <f>'Myynti Y2'!E99*'Myynti Y2'!E100</f>
        <v>0</v>
      </c>
      <c r="L22" s="19"/>
      <c r="M22" s="34"/>
      <c r="N22" s="34"/>
      <c r="O22" s="34"/>
    </row>
    <row r="23" spans="1:15">
      <c r="A23" s="19">
        <v>14</v>
      </c>
      <c r="B23" s="34">
        <f>('Myynti K2'!C168)*'Myynti K2'!C165</f>
        <v>0</v>
      </c>
      <c r="C23" s="34">
        <f>('Myynti K2'!D168)*'Myynti K2'!D165</f>
        <v>0</v>
      </c>
      <c r="D23" s="34">
        <f>('Myynti K2'!E168)*'Myynti K2'!E165</f>
        <v>0</v>
      </c>
      <c r="G23" s="19">
        <v>10</v>
      </c>
      <c r="H23" s="34">
        <f>'Myynti Y2'!C104*'Myynti Y2'!C105</f>
        <v>0</v>
      </c>
      <c r="I23" s="34">
        <f>'Myynti Y2'!D104*'Myynti Y2'!D105</f>
        <v>0</v>
      </c>
      <c r="J23" s="34">
        <f>'Myynti Y2'!E104*'Myynti Y2'!E105</f>
        <v>0</v>
      </c>
      <c r="L23" s="19"/>
      <c r="M23" s="34"/>
      <c r="N23" s="34"/>
      <c r="O23" s="34"/>
    </row>
    <row r="24" spans="1:15">
      <c r="A24" s="19">
        <v>15</v>
      </c>
      <c r="B24" s="34">
        <f>('Myynti K2'!C178)*'Myynti K2'!C175</f>
        <v>0</v>
      </c>
      <c r="C24" s="34">
        <f>('Myynti K2'!D178)*'Myynti K2'!D175</f>
        <v>0</v>
      </c>
      <c r="D24" s="34">
        <f>('Myynti K2'!E178)*'Myynti K2'!E175</f>
        <v>0</v>
      </c>
      <c r="G24" s="19">
        <v>11</v>
      </c>
      <c r="H24" s="34">
        <f>'Myynti Y2'!C109*'Myynti Y2'!C110</f>
        <v>0</v>
      </c>
      <c r="I24" s="34">
        <f>'Myynti Y2'!D109*'Myynti Y2'!D110</f>
        <v>0</v>
      </c>
      <c r="J24" s="34">
        <f>'Myynti Y2'!E109*'Myynti Y2'!E110</f>
        <v>0</v>
      </c>
      <c r="L24" s="19"/>
      <c r="M24" s="34"/>
      <c r="N24" s="34"/>
      <c r="O24" s="34"/>
    </row>
    <row r="25" spans="1:15">
      <c r="A25" s="19">
        <v>16</v>
      </c>
      <c r="B25" s="34">
        <f>('Myynti K2'!C188)*'Myynti K2'!C185</f>
        <v>0</v>
      </c>
      <c r="C25" s="34">
        <f>('Myynti K2'!D188)*'Myynti K2'!D185</f>
        <v>0</v>
      </c>
      <c r="D25" s="34">
        <f>('Myynti K2'!E188)*'Myynti K2'!E185</f>
        <v>0</v>
      </c>
      <c r="G25" s="19" t="s">
        <v>72</v>
      </c>
      <c r="H25" s="34">
        <f>'Myynti Y2'!C114*'Myynti Y2'!C115</f>
        <v>0</v>
      </c>
      <c r="I25" s="34">
        <f>'Myynti Y2'!D114*'Myynti Y2'!D115</f>
        <v>0</v>
      </c>
      <c r="J25" s="34">
        <f>'Myynti Y2'!E114*'Myynti Y2'!E115</f>
        <v>0</v>
      </c>
      <c r="L25" s="19"/>
      <c r="M25" s="34"/>
      <c r="N25" s="34"/>
      <c r="O25" s="34"/>
    </row>
    <row r="26" spans="1:15" ht="12.9" thickBot="1">
      <c r="A26" s="19" t="s">
        <v>653</v>
      </c>
      <c r="B26" s="34">
        <f>'Myynti K2'!C195*'4 AT  Myynnin alv'!B39</f>
        <v>0</v>
      </c>
      <c r="C26" s="34">
        <f>'Myynti K2'!D195*'4 AT  Myynnin alv'!C39</f>
        <v>0</v>
      </c>
      <c r="D26" s="34">
        <f>'Myynti K2'!E195*'4 AT  Myynnin alv'!D39</f>
        <v>0</v>
      </c>
      <c r="G26" s="19">
        <v>7</v>
      </c>
      <c r="H26" s="34">
        <f>'Myynti Y2'!C121*'Myynti Y2'!C122</f>
        <v>0</v>
      </c>
      <c r="I26" s="34">
        <f>'Myynti Y2'!D121*'Myynti Y2'!D122</f>
        <v>0</v>
      </c>
      <c r="J26" s="34">
        <f>'Myynti Y2'!E121*'Myynti Y2'!E122</f>
        <v>0</v>
      </c>
      <c r="L26" s="19"/>
      <c r="M26" s="34"/>
      <c r="N26" s="34"/>
      <c r="O26" s="34"/>
    </row>
    <row r="27" spans="1:15" ht="12.9" thickBot="1">
      <c r="A27" s="108" t="s">
        <v>738</v>
      </c>
      <c r="B27" s="103">
        <f>B20+B21+B22+B23+B24+B25+B26</f>
        <v>0</v>
      </c>
      <c r="C27" s="103">
        <f>C20+C21+C22+C23+C24+C25+C26</f>
        <v>0</v>
      </c>
      <c r="D27" s="104">
        <f>D20+D21+D22+D23+D24+D25+D26</f>
        <v>0</v>
      </c>
      <c r="G27" s="19">
        <v>8</v>
      </c>
      <c r="H27" s="34">
        <f>'Myynti Y2'!C128*'Myynti Y2'!C129</f>
        <v>0</v>
      </c>
      <c r="I27" s="34">
        <f>'Myynti Y2'!D128*'Myynti Y2'!D129</f>
        <v>0</v>
      </c>
      <c r="J27" s="34">
        <f>'Myynti Y2'!E128*'Myynti Y2'!E129</f>
        <v>0</v>
      </c>
      <c r="L27" s="19"/>
      <c r="M27" s="34"/>
      <c r="N27" s="34"/>
      <c r="O27" s="34"/>
    </row>
    <row r="28" spans="1:15">
      <c r="A28" s="19">
        <v>0</v>
      </c>
      <c r="G28" s="19">
        <v>9</v>
      </c>
      <c r="H28" s="34">
        <f>'Myynti Y2'!C135*'Myynti Y2'!C136</f>
        <v>0</v>
      </c>
      <c r="I28" s="34">
        <f>'Myynti Y2'!D135*'Myynti Y2'!D136</f>
        <v>0</v>
      </c>
      <c r="J28" s="34">
        <f>'Myynti Y2'!E135*'Myynti Y2'!E136</f>
        <v>0</v>
      </c>
      <c r="L28" s="19"/>
      <c r="M28" s="34"/>
      <c r="N28" s="34"/>
      <c r="O28" s="34"/>
    </row>
    <row r="29" spans="1:15">
      <c r="A29" s="923" t="s">
        <v>732</v>
      </c>
      <c r="B29" s="52">
        <f>'Myynti K2'!C205</f>
        <v>0</v>
      </c>
      <c r="C29" s="52">
        <f>'Myynti K2'!D205</f>
        <v>0</v>
      </c>
      <c r="D29" s="52">
        <f>'Myynti K2'!E205</f>
        <v>0</v>
      </c>
      <c r="G29" s="19">
        <v>10</v>
      </c>
      <c r="H29" s="34">
        <f>'Myynti Y2'!C142*'Myynti Y2'!C143</f>
        <v>0</v>
      </c>
      <c r="I29" s="34">
        <f>'Myynti Y2'!D142*'Myynti Y2'!D143</f>
        <v>0</v>
      </c>
      <c r="J29" s="34">
        <f>'Myynti Y2'!E142*'Myynti Y2'!E143</f>
        <v>0</v>
      </c>
      <c r="L29" s="19"/>
      <c r="M29" s="34"/>
      <c r="N29" s="34"/>
      <c r="O29" s="34"/>
    </row>
    <row r="30" spans="1:15" ht="12.9" thickBot="1">
      <c r="A30" s="19" t="s">
        <v>650</v>
      </c>
      <c r="B30" s="116">
        <f>IF('Myynti K2'!C205=0,0,B27/'Myynti K2'!C205)</f>
        <v>0</v>
      </c>
      <c r="C30" s="116">
        <f>IF('Myynti K2'!D205=0,0,C27/'Myynti K2'!D205)</f>
        <v>0</v>
      </c>
      <c r="D30" s="116">
        <f>IF('Myynti K2'!E205=0,0,D27/'Myynti K2'!E205)</f>
        <v>0</v>
      </c>
      <c r="G30" s="101">
        <v>11</v>
      </c>
      <c r="H30" s="34">
        <f>'Myynti Y2'!C149*'Myynti Y2'!C150</f>
        <v>0</v>
      </c>
      <c r="I30" s="34">
        <f>'Myynti Y2'!D149*'Myynti Y2'!D150</f>
        <v>0</v>
      </c>
      <c r="J30" s="34">
        <f>'Myynti Y2'!E149*'Myynti Y2'!E150</f>
        <v>0</v>
      </c>
      <c r="L30" s="101"/>
      <c r="M30" s="34"/>
      <c r="N30" s="34"/>
      <c r="O30" s="34"/>
    </row>
    <row r="31" spans="1:15" ht="12.9" thickBot="1">
      <c r="A31" s="19" t="s">
        <v>737</v>
      </c>
      <c r="B31" s="255" t="s">
        <v>0</v>
      </c>
      <c r="G31" s="102" t="s">
        <v>70</v>
      </c>
      <c r="H31" s="103">
        <f>SUM(H19:H30)+H18</f>
        <v>0</v>
      </c>
      <c r="I31" s="103">
        <f>SUM(I19:I30)+I18</f>
        <v>0</v>
      </c>
      <c r="J31" s="103">
        <f>SUM(J19:J30)+J18</f>
        <v>0</v>
      </c>
      <c r="L31" s="961"/>
      <c r="M31" s="34"/>
      <c r="N31" s="34"/>
      <c r="O31" s="34"/>
    </row>
    <row r="32" spans="1:15">
      <c r="A32" s="19" t="s">
        <v>731</v>
      </c>
      <c r="B32" s="34">
        <f>('Myynti K2'!C56-'Myynti K2'!C58)*'Myynti K2'!C57</f>
        <v>0</v>
      </c>
      <c r="C32" s="34">
        <f>('Myynti K2'!D56-'Myynti K2'!D58)*'Myynti K2'!D57</f>
        <v>0</v>
      </c>
      <c r="D32" s="34">
        <f>('Myynti K2'!E56-'Myynti K2'!E58)*'Myynti K2'!E57</f>
        <v>0</v>
      </c>
      <c r="G32" s="19" t="s">
        <v>68</v>
      </c>
      <c r="H32" s="52">
        <f>'Myynti Y2'!C165*'Myynti Y2'!C166</f>
        <v>0</v>
      </c>
      <c r="I32" s="52">
        <f>'Myynti Y2'!D165*'Myynti Y2'!D166</f>
        <v>0</v>
      </c>
      <c r="J32" s="52">
        <f>'Myynti Y2'!E165*'Myynti Y2'!E166</f>
        <v>0</v>
      </c>
      <c r="L32" s="19"/>
      <c r="M32" s="52"/>
      <c r="N32" s="52"/>
      <c r="O32" s="52"/>
    </row>
    <row r="33" spans="1:15">
      <c r="A33" s="19" t="s">
        <v>730</v>
      </c>
      <c r="B33" s="230">
        <f>B32-B32*('Myynti K2'!C55*100/(100+'Myynti K2'!C55*100))</f>
        <v>0</v>
      </c>
      <c r="C33" s="230">
        <f>C32-C32*('Myynti K2'!D55*100/(100+'Myynti K2'!D55*100))</f>
        <v>0</v>
      </c>
      <c r="D33" s="230">
        <f>D32-D32*('Myynti K2'!E55*100/(100+'Myynti K2'!E55*100))</f>
        <v>0</v>
      </c>
      <c r="G33" s="19">
        <v>13</v>
      </c>
      <c r="H33" s="52">
        <f>'Myynti Y2'!C170*'Myynti Y2'!C171</f>
        <v>0</v>
      </c>
      <c r="I33" s="52">
        <f>'Myynti Y2'!D170*'Myynti Y2'!D171</f>
        <v>0</v>
      </c>
      <c r="J33" s="52">
        <f>'Myynti Y2'!E170*'Myynti Y2'!E171</f>
        <v>0</v>
      </c>
      <c r="L33" s="19"/>
      <c r="M33" s="52"/>
      <c r="N33" s="52"/>
      <c r="O33" s="52"/>
    </row>
    <row r="34" spans="1:15">
      <c r="G34" s="19">
        <v>14</v>
      </c>
      <c r="H34" s="52">
        <f>'Myynti Y2'!C175*'Myynti Y2'!C176</f>
        <v>0</v>
      </c>
      <c r="I34" s="52">
        <f>'Myynti Y2'!D175*'Myynti Y2'!D176</f>
        <v>0</v>
      </c>
      <c r="J34" s="52">
        <f>'Myynti Y2'!E175*'Myynti Y2'!E176</f>
        <v>0</v>
      </c>
      <c r="L34" s="19"/>
      <c r="M34" s="52"/>
      <c r="N34" s="52"/>
      <c r="O34" s="52"/>
    </row>
    <row r="35" spans="1:15">
      <c r="A35" s="19" t="s">
        <v>733</v>
      </c>
      <c r="B35" s="34">
        <f>('Myynti K2'!C126-'Myynti K2'!C128)*'Myynti K2'!C127</f>
        <v>0</v>
      </c>
      <c r="C35" s="34">
        <f>('Myynti K2'!D126-'Myynti K2'!D128)*'Myynti K2'!D127</f>
        <v>0</v>
      </c>
      <c r="D35" s="34">
        <f>('Myynti K2'!E126-'Myynti K2'!E128)*'Myynti K2'!E127</f>
        <v>0</v>
      </c>
      <c r="G35" s="19">
        <v>15</v>
      </c>
      <c r="H35" s="52">
        <f>'Myynti Y2'!C180*'Myynti Y2'!C181</f>
        <v>0</v>
      </c>
      <c r="I35" s="52">
        <f>'Myynti Y2'!D180*'Myynti Y2'!D181</f>
        <v>0</v>
      </c>
      <c r="J35" s="52">
        <f>'Myynti Y2'!E180*'Myynti Y2'!E181</f>
        <v>0</v>
      </c>
      <c r="L35" s="19"/>
      <c r="M35" s="52"/>
      <c r="N35" s="52"/>
      <c r="O35" s="52"/>
    </row>
    <row r="36" spans="1:15">
      <c r="A36" s="19" t="s">
        <v>734</v>
      </c>
      <c r="B36" s="230">
        <f>B35-B35*('Myynti K2'!C125*100/(100+'Myynti K2'!C125*100))</f>
        <v>0</v>
      </c>
      <c r="C36" s="230">
        <f>C35-C35*('Myynti K2'!D125*100/(100+'Myynti K2'!D125*100))</f>
        <v>0</v>
      </c>
      <c r="D36" s="230">
        <f>D35-D35*('Myynti K2'!E125*100/(100+'Myynti K2'!E125*100))</f>
        <v>0</v>
      </c>
      <c r="G36" s="19">
        <v>16</v>
      </c>
      <c r="H36" s="52">
        <f>'Myynti Y2'!C185*'Myynti Y2'!C186</f>
        <v>0</v>
      </c>
      <c r="I36" s="52">
        <f>'Myynti Y2'!D185*'Myynti Y2'!D186</f>
        <v>0</v>
      </c>
      <c r="J36" s="52">
        <f>'Myynti Y2'!E185*'Myynti Y2'!E186</f>
        <v>0</v>
      </c>
      <c r="L36" s="19"/>
      <c r="M36" s="52"/>
      <c r="N36" s="52"/>
      <c r="O36" s="52"/>
    </row>
    <row r="37" spans="1:15">
      <c r="G37" s="19">
        <v>17</v>
      </c>
      <c r="H37" s="52">
        <f>'Myynti Y2'!C190*'Myynti Y2'!C191</f>
        <v>0</v>
      </c>
      <c r="I37" s="52">
        <f>'Myynti Y2'!D190*'Myynti Y2'!D191</f>
        <v>0</v>
      </c>
      <c r="J37" s="52">
        <f>'Myynti Y2'!E190*'Myynti Y2'!E191</f>
        <v>0</v>
      </c>
      <c r="L37" s="19"/>
      <c r="M37" s="52"/>
      <c r="N37" s="52"/>
      <c r="O37" s="52"/>
    </row>
    <row r="38" spans="1:15">
      <c r="A38" s="19" t="s">
        <v>735</v>
      </c>
      <c r="B38" s="34">
        <f>('Myynti K2'!C196-'Myynti K2'!C198)*'Myynti K2'!C197</f>
        <v>0</v>
      </c>
      <c r="C38" s="34">
        <f>('Myynti K2'!D196-'Myynti K2'!D198)*'Myynti K2'!D197</f>
        <v>0</v>
      </c>
      <c r="D38" s="34">
        <f>('Myynti K2'!E196-'Myynti K2'!E198)*'Myynti K2'!E197</f>
        <v>0</v>
      </c>
      <c r="G38" s="19" t="s">
        <v>73</v>
      </c>
      <c r="H38" s="52">
        <f>'Myynti Y2'!C195*'Myynti Y2'!C196</f>
        <v>0</v>
      </c>
      <c r="I38" s="52">
        <f>'Myynti Y2'!D195*'Myynti Y2'!D196</f>
        <v>0</v>
      </c>
      <c r="J38" s="52">
        <f>'Myynti Y2'!E195*'Myynti Y2'!E196</f>
        <v>0</v>
      </c>
      <c r="L38" s="19"/>
      <c r="M38" s="52"/>
      <c r="N38" s="52"/>
      <c r="O38" s="52"/>
    </row>
    <row r="39" spans="1:15">
      <c r="A39" s="19" t="s">
        <v>736</v>
      </c>
      <c r="B39" s="230">
        <f>B38-B38*('Myynti K2'!C195*100/(100+'Myynti K2'!C195*100))</f>
        <v>0</v>
      </c>
      <c r="C39" s="230">
        <f>C38-C38*('Myynti K2'!D195*100/(100+'Myynti K2'!D195*100))</f>
        <v>0</v>
      </c>
      <c r="D39" s="230">
        <f>D38-D38*('Myynti K2'!E195*100/(100+'Myynti K2'!E195*100))</f>
        <v>0</v>
      </c>
      <c r="G39" s="19">
        <v>13</v>
      </c>
      <c r="H39" s="52">
        <f>'Myynti Y2'!C202*'Myynti Y2'!C203</f>
        <v>0</v>
      </c>
      <c r="I39" s="52">
        <f>'Myynti Y2'!D202*'Myynti Y2'!D203</f>
        <v>0</v>
      </c>
      <c r="J39" s="52">
        <f>'Myynti Y2'!E202*'Myynti Y2'!E203</f>
        <v>0</v>
      </c>
      <c r="L39" s="19"/>
      <c r="M39" s="52"/>
      <c r="N39" s="52"/>
      <c r="O39" s="52"/>
    </row>
    <row r="40" spans="1:15">
      <c r="G40" s="19">
        <v>14</v>
      </c>
      <c r="H40" s="52">
        <f>'Myynti Y2'!C209*'Myynti Y2'!C210</f>
        <v>0</v>
      </c>
      <c r="I40" s="52">
        <f>'Myynti Y2'!D209*'Myynti Y2'!D210</f>
        <v>0</v>
      </c>
      <c r="J40" s="52">
        <f>'Myynti Y2'!E209*'Myynti Y2'!E210</f>
        <v>0</v>
      </c>
      <c r="L40" s="19"/>
      <c r="M40" s="52"/>
      <c r="N40" s="52"/>
      <c r="O40" s="52"/>
    </row>
    <row r="41" spans="1:15">
      <c r="G41" s="19">
        <v>15</v>
      </c>
      <c r="H41" s="52">
        <f>'Myynti Y2'!C216*'Myynti Y2'!C217</f>
        <v>0</v>
      </c>
      <c r="I41" s="52">
        <f>'Myynti Y2'!D216*'Myynti Y2'!D217</f>
        <v>0</v>
      </c>
      <c r="J41" s="52">
        <f>'Myynti Y2'!E216*'Myynti Y2'!E217</f>
        <v>0</v>
      </c>
      <c r="L41" s="19"/>
      <c r="M41" s="52"/>
      <c r="N41" s="52"/>
      <c r="O41" s="52"/>
    </row>
    <row r="42" spans="1:15">
      <c r="G42" s="19">
        <v>16</v>
      </c>
      <c r="H42" s="52">
        <f>'Myynti Y2'!C223*'Myynti Y2'!C224</f>
        <v>0</v>
      </c>
      <c r="I42" s="52">
        <f>'Myynti Y2'!D223*'Myynti Y2'!D224</f>
        <v>0</v>
      </c>
      <c r="J42" s="52">
        <f>'Myynti Y2'!E223*'Myynti Y2'!E224</f>
        <v>0</v>
      </c>
      <c r="L42" s="19"/>
      <c r="M42" s="52"/>
      <c r="N42" s="52"/>
      <c r="O42" s="52"/>
    </row>
    <row r="43" spans="1:15" ht="12.9" thickBot="1">
      <c r="G43" s="19">
        <v>17</v>
      </c>
      <c r="H43" s="52">
        <f>'Myynti Y2'!C230*'Myynti Y2'!C231</f>
        <v>0</v>
      </c>
      <c r="I43" s="52">
        <f>'Myynti Y2'!D230*'Myynti Y2'!D231</f>
        <v>0</v>
      </c>
      <c r="J43" s="52">
        <f>'Myynti Y2'!E230*'Myynti Y2'!E231</f>
        <v>0</v>
      </c>
      <c r="L43" s="19"/>
      <c r="M43" s="52"/>
      <c r="N43" s="52"/>
      <c r="O43" s="52"/>
    </row>
    <row r="44" spans="1:15" ht="12.9" thickBot="1">
      <c r="G44" s="109" t="s">
        <v>74</v>
      </c>
      <c r="H44" s="103">
        <f>SUM(H32:H43)+H31</f>
        <v>0</v>
      </c>
      <c r="I44" s="103">
        <f>SUM(I32:I43)+I31</f>
        <v>0</v>
      </c>
      <c r="J44" s="103">
        <f>SUM(J32:J43)+J31</f>
        <v>0</v>
      </c>
      <c r="L44" s="962"/>
      <c r="M44" s="34"/>
      <c r="N44" s="34"/>
      <c r="O44" s="34"/>
    </row>
    <row r="46" spans="1:15">
      <c r="G46" s="19" t="s">
        <v>650</v>
      </c>
      <c r="H46" s="116">
        <f>IF('Myynti Y2'!C237=0,0,H44/'Myynti Y2'!C237)</f>
        <v>0</v>
      </c>
      <c r="I46" s="116">
        <f>IF('Myynti Y2'!D237=0,0,I44/'Myynti Y2'!D237)</f>
        <v>0</v>
      </c>
      <c r="J46" s="116">
        <f>IF('Myynti Y2'!E237=0,0,J44/'Myynti Y2'!E237)</f>
        <v>0</v>
      </c>
      <c r="L46" s="19"/>
      <c r="M46" s="963"/>
      <c r="N46" s="963"/>
      <c r="O46" s="963"/>
    </row>
  </sheetData>
  <sheetProtection algorithmName="SHA-512" hashValue="qja7qGa+9YeJGVaszkYRHN9m0rHG0qQ4zWpPMrPxOJ58gyWq4SNCN3AvzfUHUpKGX63CaEbZQsCv/T4n5zffrw==" saltValue="zCimthdSZEf5RKXD8Bxl9Q==" spinCount="100000" sheet="1" objects="1" scenarios="1" selectLockedCells="1" selectUnlockedCells="1"/>
  <phoneticPr fontId="28" type="noConversion"/>
  <pageMargins left="0.7" right="0.7" top="0.75" bottom="0.75" header="0.3" footer="0.3"/>
  <pageSetup paperSize="9" orientation="portrait" horizontalDpi="1200" verticalDpi="120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ul13"/>
  <dimension ref="A2:AL208"/>
  <sheetViews>
    <sheetView workbookViewId="0"/>
  </sheetViews>
  <sheetFormatPr defaultRowHeight="12.45"/>
  <cols>
    <col min="1" max="1" width="19.07421875" customWidth="1"/>
    <col min="2" max="2" width="18.3046875" customWidth="1"/>
    <col min="3" max="3" width="10.53515625" customWidth="1"/>
    <col min="4" max="4" width="12.84375" customWidth="1"/>
    <col min="5" max="5" width="11.07421875" customWidth="1"/>
    <col min="6" max="6" width="16.84375" customWidth="1"/>
    <col min="7" max="7" width="10.84375" customWidth="1"/>
    <col min="8" max="8" width="10.3046875" customWidth="1"/>
    <col min="9" max="9" width="10.07421875" customWidth="1"/>
    <col min="10" max="10" width="17.07421875" customWidth="1"/>
    <col min="11" max="11" width="13" customWidth="1"/>
    <col min="12" max="12" width="11.84375" customWidth="1"/>
    <col min="13" max="23" width="11.07421875" customWidth="1"/>
  </cols>
  <sheetData>
    <row r="2" spans="1:9">
      <c r="B2" s="53"/>
      <c r="C2" s="53"/>
      <c r="D2" s="2006" t="s">
        <v>785</v>
      </c>
      <c r="E2" s="2006"/>
      <c r="F2" s="91">
        <f>F5+F9+F13+F17</f>
        <v>0</v>
      </c>
      <c r="G2" s="91">
        <f t="shared" ref="G2" si="0">G5+G9+G13+G17</f>
        <v>0</v>
      </c>
      <c r="H2" s="91">
        <f>H5+H9+H13+H17</f>
        <v>0</v>
      </c>
    </row>
    <row r="3" spans="1:9">
      <c r="B3" s="1067" t="s">
        <v>776</v>
      </c>
      <c r="C3" s="65"/>
      <c r="D3" s="65"/>
      <c r="E3" s="66"/>
      <c r="F3" s="1052">
        <f>G49+G50</f>
        <v>0</v>
      </c>
      <c r="G3" s="1052">
        <f>F3-F5</f>
        <v>0</v>
      </c>
      <c r="H3" s="1052">
        <f>G3-G5</f>
        <v>0</v>
      </c>
    </row>
    <row r="4" spans="1:9">
      <c r="B4" s="2020" t="s">
        <v>31</v>
      </c>
      <c r="C4" s="2021"/>
      <c r="D4" s="2021"/>
      <c r="E4" s="2022"/>
      <c r="F4" s="67">
        <f>'Rahoitus Y3'!F55</f>
        <v>7.0000000000000007E-2</v>
      </c>
      <c r="G4" s="67">
        <f>'Rahoitus Y3'!H55</f>
        <v>7.0000000000000007E-2</v>
      </c>
      <c r="H4" s="67">
        <f>'Rahoitus Y3'!K55</f>
        <v>7.0000000000000007E-2</v>
      </c>
    </row>
    <row r="5" spans="1:9">
      <c r="B5" s="2020" t="s">
        <v>38</v>
      </c>
      <c r="C5" s="2021"/>
      <c r="D5" s="65"/>
      <c r="E5" s="66"/>
      <c r="F5" s="57">
        <f>F3*F4</f>
        <v>0</v>
      </c>
      <c r="G5" s="57">
        <f>G3*G4</f>
        <v>0</v>
      </c>
      <c r="H5" s="57">
        <f>H3*H4</f>
        <v>0</v>
      </c>
    </row>
    <row r="6" spans="1:9">
      <c r="B6" s="224" t="s">
        <v>36</v>
      </c>
      <c r="C6" s="58"/>
      <c r="D6" s="65"/>
      <c r="E6" s="66"/>
      <c r="F6" s="57">
        <f>F3-F5</f>
        <v>0</v>
      </c>
      <c r="G6" s="57">
        <f>G3-G5</f>
        <v>0</v>
      </c>
      <c r="H6" s="57">
        <f>H3-H5</f>
        <v>0</v>
      </c>
    </row>
    <row r="7" spans="1:9">
      <c r="B7" s="2023" t="s">
        <v>786</v>
      </c>
      <c r="C7" s="2024"/>
      <c r="D7" s="2024"/>
      <c r="E7" s="2025"/>
      <c r="F7" s="57">
        <f>IF(G61&lt;0,0,G61)</f>
        <v>0</v>
      </c>
      <c r="G7" s="57">
        <f>F7-F9</f>
        <v>0</v>
      </c>
      <c r="H7" s="57">
        <f>G7-G9</f>
        <v>0</v>
      </c>
    </row>
    <row r="8" spans="1:9">
      <c r="B8" s="2020" t="s">
        <v>32</v>
      </c>
      <c r="C8" s="2021"/>
      <c r="D8" s="2021"/>
      <c r="E8" s="2022"/>
      <c r="F8" s="67">
        <f>'Rahoitus Y3'!F56</f>
        <v>0.2</v>
      </c>
      <c r="G8" s="67">
        <f>'Rahoitus Y3'!H56</f>
        <v>0.2</v>
      </c>
      <c r="H8" s="67">
        <f>'Rahoitus Y3'!K56</f>
        <v>0.2</v>
      </c>
    </row>
    <row r="9" spans="1:9">
      <c r="B9" s="2020" t="s">
        <v>39</v>
      </c>
      <c r="C9" s="2021"/>
      <c r="D9" s="2021"/>
      <c r="E9" s="2022"/>
      <c r="F9" s="57">
        <f>F7*F8</f>
        <v>0</v>
      </c>
      <c r="G9" s="57">
        <f>G7*G8</f>
        <v>0</v>
      </c>
      <c r="H9" s="57">
        <f>H7*H8</f>
        <v>0</v>
      </c>
    </row>
    <row r="10" spans="1:9">
      <c r="B10" s="2020" t="s">
        <v>37</v>
      </c>
      <c r="C10" s="2021"/>
      <c r="D10" s="2021"/>
      <c r="E10" s="2022"/>
      <c r="F10" s="57">
        <f>F7-F9</f>
        <v>0</v>
      </c>
      <c r="G10" s="57">
        <f>G7-G9</f>
        <v>0</v>
      </c>
      <c r="H10" s="57">
        <f>H7-H9</f>
        <v>0</v>
      </c>
    </row>
    <row r="11" spans="1:9">
      <c r="A11" s="53"/>
      <c r="B11" s="1049" t="s">
        <v>783</v>
      </c>
      <c r="D11" s="1050"/>
      <c r="E11" s="1051"/>
      <c r="F11" s="1052">
        <f>'Rahoitus Y3'!E30/1.24</f>
        <v>0</v>
      </c>
      <c r="G11" s="1052">
        <f>F11-F13</f>
        <v>0</v>
      </c>
      <c r="H11" s="1052">
        <f>G11-G13</f>
        <v>0</v>
      </c>
      <c r="I11" s="64"/>
    </row>
    <row r="12" spans="1:9">
      <c r="A12" s="53"/>
      <c r="B12" s="60" t="s">
        <v>779</v>
      </c>
      <c r="D12" s="58"/>
      <c r="E12" s="59"/>
      <c r="F12" s="67">
        <f>'Rahoitus Y3'!F57</f>
        <v>0.2</v>
      </c>
      <c r="G12" s="67">
        <f>'Rahoitus Y3'!H57</f>
        <v>0.2</v>
      </c>
      <c r="H12" s="67">
        <f>'Rahoitus Y3'!K57</f>
        <v>0.2</v>
      </c>
      <c r="I12" s="53"/>
    </row>
    <row r="13" spans="1:9">
      <c r="A13" s="53"/>
      <c r="B13" s="60" t="s">
        <v>781</v>
      </c>
      <c r="D13" s="58"/>
      <c r="E13" s="59"/>
      <c r="F13" s="57">
        <f>F11*F12</f>
        <v>0</v>
      </c>
      <c r="G13" s="57">
        <f>G11*G12</f>
        <v>0</v>
      </c>
      <c r="H13" s="57">
        <f>H11*H12</f>
        <v>0</v>
      </c>
      <c r="I13" s="53"/>
    </row>
    <row r="14" spans="1:9">
      <c r="A14" s="53"/>
      <c r="B14" s="60" t="s">
        <v>782</v>
      </c>
      <c r="D14" s="58"/>
      <c r="E14" s="59"/>
      <c r="F14" s="57">
        <f>F11-F13</f>
        <v>0</v>
      </c>
      <c r="G14" s="57">
        <f>G11-G13</f>
        <v>0</v>
      </c>
      <c r="H14" s="57">
        <f>H11-H13</f>
        <v>0</v>
      </c>
      <c r="I14" s="53"/>
    </row>
    <row r="15" spans="1:9">
      <c r="A15" s="53"/>
      <c r="B15" s="62" t="s">
        <v>784</v>
      </c>
      <c r="D15" s="62"/>
      <c r="E15" s="62"/>
      <c r="F15" s="1052">
        <f>'Rahoitus Y3'!E31</f>
        <v>0</v>
      </c>
      <c r="G15" s="1052">
        <f>F15-F17</f>
        <v>0</v>
      </c>
      <c r="H15" s="1052">
        <f>G15-G17</f>
        <v>0</v>
      </c>
      <c r="I15" s="53"/>
    </row>
    <row r="16" spans="1:9">
      <c r="A16" s="53"/>
      <c r="B16" s="60" t="s">
        <v>779</v>
      </c>
      <c r="D16" s="61"/>
      <c r="E16" s="61"/>
      <c r="F16" s="67">
        <f>'Rahoitus Y3'!F58</f>
        <v>0.2</v>
      </c>
      <c r="G16" s="67">
        <f>'Rahoitus Y3'!H58</f>
        <v>0.2</v>
      </c>
      <c r="H16" s="67">
        <f>'Rahoitus Y3'!K58</f>
        <v>0.2</v>
      </c>
      <c r="I16" s="53"/>
    </row>
    <row r="17" spans="1:23">
      <c r="A17" s="53"/>
      <c r="B17" s="60" t="s">
        <v>781</v>
      </c>
      <c r="D17" s="61"/>
      <c r="E17" s="61"/>
      <c r="F17" s="57">
        <f>F15*F16</f>
        <v>0</v>
      </c>
      <c r="G17" s="57">
        <f>G15*G16</f>
        <v>0</v>
      </c>
      <c r="H17" s="57">
        <f>H15*H16</f>
        <v>0</v>
      </c>
      <c r="I17" s="53"/>
    </row>
    <row r="18" spans="1:23">
      <c r="A18" s="53"/>
      <c r="B18" s="60" t="s">
        <v>782</v>
      </c>
      <c r="D18" s="61"/>
      <c r="E18" s="61"/>
      <c r="F18" s="1062">
        <f>F15-F17</f>
        <v>0</v>
      </c>
      <c r="G18" s="1062">
        <f>G15-G17</f>
        <v>0</v>
      </c>
      <c r="H18" s="1062">
        <f>H15-H17</f>
        <v>0</v>
      </c>
      <c r="I18" s="53"/>
    </row>
    <row r="19" spans="1:23">
      <c r="B19" s="53"/>
      <c r="C19" s="53"/>
      <c r="D19" s="53"/>
      <c r="E19" s="53"/>
      <c r="F19" s="53"/>
      <c r="G19" s="53"/>
      <c r="H19" s="53"/>
    </row>
    <row r="20" spans="1:23">
      <c r="B20" s="53"/>
      <c r="C20" s="53"/>
      <c r="D20" s="53"/>
      <c r="E20" s="53"/>
      <c r="F20" s="53"/>
      <c r="G20" s="53"/>
      <c r="H20" s="53"/>
    </row>
    <row r="21" spans="1:23" ht="15.45">
      <c r="A21" s="53"/>
      <c r="B21" s="140" t="s">
        <v>99</v>
      </c>
      <c r="F21" s="53"/>
      <c r="G21" s="2009" t="s">
        <v>50</v>
      </c>
      <c r="H21" s="2009"/>
      <c r="I21" s="2009"/>
      <c r="J21" s="123"/>
      <c r="K21" s="124" t="s">
        <v>91</v>
      </c>
      <c r="L21" s="125"/>
      <c r="M21" s="125"/>
      <c r="N21" s="125"/>
      <c r="O21" s="125"/>
      <c r="P21" s="126"/>
    </row>
    <row r="22" spans="1:23">
      <c r="C22" s="89"/>
      <c r="D22" s="89"/>
      <c r="E22" s="89"/>
      <c r="F22" s="53" t="s">
        <v>47</v>
      </c>
      <c r="G22" s="89" t="s">
        <v>4</v>
      </c>
      <c r="H22" s="89" t="s">
        <v>51</v>
      </c>
      <c r="I22" s="89" t="s">
        <v>23</v>
      </c>
      <c r="J22" s="127"/>
      <c r="K22" s="89" t="s">
        <v>92</v>
      </c>
      <c r="L22" s="128">
        <f>'Rahoitus Y3'!H22/12</f>
        <v>0</v>
      </c>
      <c r="P22" s="129"/>
    </row>
    <row r="23" spans="1:23">
      <c r="C23" s="88"/>
      <c r="D23" s="88"/>
      <c r="E23" s="88"/>
      <c r="F23" s="53" t="s">
        <v>46</v>
      </c>
      <c r="G23" s="90">
        <f>IF('Rahoitus Y3'!$I18=2,'Rahoitus Y3'!$K18*'Rahoitus Y3'!$H18,IF('Rahoitus Y3'!$I18=1,'Rahoitus Y3'!$K18*'Rahoitus Y3'!$H18,('5 YP Lainat ja avustukset'!$B31-0.5*'5 YP Lainat ja avustukset'!$E31)*'Rahoitus Y3'!$H18))</f>
        <v>0</v>
      </c>
      <c r="H23" s="90">
        <f>IF('Rahoitus Y3'!$I18=2,'Rahoitus Y3'!$K18*'Rahoitus Y3'!$H18,IF('Rahoitus Y3'!$I18=1,('Rahoitus Y3'!$K18-0.5*D31)*'Rahoitus Y3'!$H18,('5 YP Lainat ja avustukset'!$B31-1.5*'5 YP Lainat ja avustukset'!$E31)*'Rahoitus Y3'!$H18))</f>
        <v>0</v>
      </c>
      <c r="I23" s="90">
        <f>IF('Rahoitus Y3'!$I18=2,('Rahoitus Y3'!$K18-0.5*D31)*'Rahoitus Y3'!$H18,IF('Rahoitus Y3'!$I18=1,('Rahoitus Y3'!$K18-1.5*C31)*'Rahoitus Y3'!$H18,('5 YP Lainat ja avustukset'!$B31-2.5*'5 YP Lainat ja avustukset'!$E31)*'Rahoitus Y3'!$H18))</f>
        <v>0</v>
      </c>
      <c r="J23" s="127"/>
      <c r="K23" s="1" t="s">
        <v>93</v>
      </c>
      <c r="L23">
        <f>'Rahoitus Y3'!I22*12</f>
        <v>0</v>
      </c>
      <c r="P23" s="129"/>
    </row>
    <row r="24" spans="1:23">
      <c r="C24" s="88"/>
      <c r="D24" s="88"/>
      <c r="E24" s="88"/>
      <c r="F24" s="53" t="s">
        <v>48</v>
      </c>
      <c r="G24" s="90">
        <f>IF('Rahoitus Y3'!$I19=2,'Rahoitus Y3'!$K19*'Rahoitus Y3'!$H19,IF('Rahoitus Y3'!$I19=1,'Rahoitus Y3'!$K19*'Rahoitus Y3'!$H19,('5 YP Lainat ja avustukset'!$B32-0.5*'5 YP Lainat ja avustukset'!$E32)*'Rahoitus Y3'!$H19))</f>
        <v>0</v>
      </c>
      <c r="H24" s="90">
        <f>IF('Rahoitus Y3'!$I19=2,'Rahoitus Y3'!$K19*'Rahoitus Y3'!$H19,IF('Rahoitus Y3'!$I19=1,('Rahoitus Y3'!$K19-0.5*D32)*'Rahoitus Y3'!$H19,('5 YP Lainat ja avustukset'!$B32-1.5*'5 YP Lainat ja avustukset'!$E32)*'Rahoitus Y3'!$H19))</f>
        <v>0</v>
      </c>
      <c r="I24" s="90">
        <f>IF('Rahoitus Y3'!$I19=2,('Rahoitus Y3'!$K19-0.5*D32)*'Rahoitus Y3'!$H19,IF('Rahoitus Y3'!$I19=1,('Rahoitus Y3'!$K19-1.5*C32)*'Rahoitus Y3'!$H19,('5 YP Lainat ja avustukset'!$B32-2.5*'5 YP Lainat ja avustukset'!$E32)*'Rahoitus Y3'!$H19))</f>
        <v>0</v>
      </c>
      <c r="J24" s="127"/>
      <c r="K24" s="1" t="s">
        <v>43</v>
      </c>
      <c r="L24" s="52">
        <f>'Rahoitus Y3'!K22</f>
        <v>0</v>
      </c>
      <c r="P24" s="129"/>
    </row>
    <row r="25" spans="1:23">
      <c r="C25" s="88"/>
      <c r="D25" s="88"/>
      <c r="E25" s="88"/>
      <c r="F25" s="53" t="s">
        <v>49</v>
      </c>
      <c r="G25" s="90">
        <f>IF('Rahoitus Y3'!$I20=2,'Rahoitus Y3'!$K20*'Rahoitus Y3'!$H20,IF('Rahoitus Y3'!$I20=1,'Rahoitus Y3'!$K20*'Rahoitus Y3'!$H20,('5 YP Lainat ja avustukset'!$B33-0.5*'5 YP Lainat ja avustukset'!$E33)*'Rahoitus Y3'!$H20))</f>
        <v>0</v>
      </c>
      <c r="H25" s="90">
        <f>IF('Rahoitus Y3'!$I20=2,'Rahoitus Y3'!$K20*'Rahoitus Y3'!$H20,IF('Rahoitus Y3'!$I20=1,('Rahoitus Y3'!$K20-0.5*D33)*'Rahoitus Y3'!$H20,('5 YP Lainat ja avustukset'!$B33-1.5*'5 YP Lainat ja avustukset'!$E33)*'Rahoitus Y3'!$H20))</f>
        <v>0</v>
      </c>
      <c r="I25" s="90">
        <f>IF('Rahoitus Y3'!$I20=2,('Rahoitus Y3'!$K20-0.5*D33)*'Rahoitus Y3'!$H20,IF('Rahoitus Y3'!$I20=1,('Rahoitus Y3'!$K20-1.5*C33)*'Rahoitus Y3'!$H20,('5 YP Lainat ja avustukset'!$B33-2.5*'5 YP Lainat ja avustukset'!$E33)*'Rahoitus Y3'!$H20))</f>
        <v>0</v>
      </c>
      <c r="J25" s="127"/>
      <c r="K25" s="1" t="s">
        <v>94</v>
      </c>
      <c r="L25" s="130">
        <f>IF(L22=0,0,-PMT(L22,L23,L24)*12)</f>
        <v>0</v>
      </c>
      <c r="P25" s="129"/>
    </row>
    <row r="26" spans="1:23">
      <c r="C26" s="8"/>
      <c r="D26" s="8"/>
      <c r="E26" s="8"/>
      <c r="F26" s="68"/>
      <c r="G26" s="90"/>
      <c r="H26" s="90"/>
      <c r="I26" s="90"/>
      <c r="J26" s="127"/>
      <c r="K26" s="255" t="s">
        <v>439</v>
      </c>
      <c r="L26" s="130">
        <f>L25/4</f>
        <v>0</v>
      </c>
      <c r="P26" s="129"/>
    </row>
    <row r="27" spans="1:23">
      <c r="C27" s="8"/>
      <c r="D27" s="8"/>
      <c r="E27" s="8"/>
      <c r="F27" s="53" t="s">
        <v>35</v>
      </c>
      <c r="G27" s="90">
        <f>SUM(G23:G26)</f>
        <v>0</v>
      </c>
      <c r="H27" s="90">
        <f>SUM(H23:H26)</f>
        <v>0</v>
      </c>
      <c r="I27" s="90">
        <f>SUM(I23:I26)</f>
        <v>0</v>
      </c>
      <c r="J27" s="127"/>
      <c r="K27" s="438" t="s">
        <v>420</v>
      </c>
      <c r="L27" s="438" t="s">
        <v>426</v>
      </c>
      <c r="M27" s="438" t="s">
        <v>427</v>
      </c>
      <c r="N27" s="438" t="s">
        <v>428</v>
      </c>
      <c r="O27" s="438" t="s">
        <v>429</v>
      </c>
      <c r="P27" s="450" t="s">
        <v>430</v>
      </c>
      <c r="Q27" s="438" t="s">
        <v>431</v>
      </c>
      <c r="R27" s="438" t="s">
        <v>432</v>
      </c>
      <c r="S27" s="438" t="s">
        <v>433</v>
      </c>
      <c r="T27" s="438" t="s">
        <v>434</v>
      </c>
      <c r="U27" s="438" t="s">
        <v>435</v>
      </c>
      <c r="V27" s="438" t="s">
        <v>436</v>
      </c>
      <c r="W27" s="438" t="s">
        <v>437</v>
      </c>
    </row>
    <row r="28" spans="1:23">
      <c r="A28" s="53"/>
      <c r="B28" s="53"/>
      <c r="C28" s="53"/>
      <c r="D28" s="53"/>
      <c r="E28" s="53"/>
      <c r="F28" s="53"/>
      <c r="G28" s="53"/>
      <c r="H28" s="53"/>
      <c r="I28" s="53"/>
      <c r="J28" s="131" t="s">
        <v>95</v>
      </c>
      <c r="K28" s="93">
        <v>3</v>
      </c>
      <c r="L28" s="93">
        <v>8</v>
      </c>
      <c r="M28" s="93">
        <v>11</v>
      </c>
      <c r="N28" s="93">
        <v>14</v>
      </c>
      <c r="O28" s="93">
        <v>17</v>
      </c>
      <c r="P28" s="93">
        <v>20</v>
      </c>
      <c r="Q28" s="93">
        <v>23</v>
      </c>
      <c r="R28" s="93">
        <v>26</v>
      </c>
      <c r="S28" s="93">
        <v>29</v>
      </c>
      <c r="T28" s="93">
        <v>32</v>
      </c>
      <c r="U28" s="93">
        <v>35</v>
      </c>
      <c r="V28" s="93">
        <v>38</v>
      </c>
      <c r="W28" s="93">
        <v>41</v>
      </c>
    </row>
    <row r="29" spans="1:23">
      <c r="C29" s="1693" t="s">
        <v>57</v>
      </c>
      <c r="D29" s="1693"/>
      <c r="E29" s="1693"/>
      <c r="G29" s="1693" t="s">
        <v>58</v>
      </c>
      <c r="H29" s="1693"/>
      <c r="I29" s="1693"/>
      <c r="J29" s="449" t="s">
        <v>419</v>
      </c>
      <c r="K29" s="130">
        <f>IF(K28&gt;$L23,0,-IPMT($L22,K28,$L23,$L24))</f>
        <v>0</v>
      </c>
      <c r="L29" s="130">
        <f>IF(L28&gt;$L23,0,-IPMT($L22,L28,$L23,$L24))</f>
        <v>0</v>
      </c>
      <c r="M29" s="130">
        <f t="shared" ref="M29:P29" si="1">IF(M28&gt;$L23,0,-IPMT($L22,M28,$L23,$L24))</f>
        <v>0</v>
      </c>
      <c r="N29" s="130">
        <f t="shared" si="1"/>
        <v>0</v>
      </c>
      <c r="O29" s="130">
        <f t="shared" si="1"/>
        <v>0</v>
      </c>
      <c r="P29" s="130">
        <f t="shared" si="1"/>
        <v>0</v>
      </c>
      <c r="Q29" s="130">
        <f t="shared" ref="Q29:W29" si="2">IF(Q28&gt;$L23,0,-IPMT($L22,Q28,$L23,$L24))</f>
        <v>0</v>
      </c>
      <c r="R29" s="130">
        <f t="shared" si="2"/>
        <v>0</v>
      </c>
      <c r="S29" s="130">
        <f t="shared" si="2"/>
        <v>0</v>
      </c>
      <c r="T29" s="130">
        <f t="shared" si="2"/>
        <v>0</v>
      </c>
      <c r="U29" s="130">
        <f t="shared" si="2"/>
        <v>0</v>
      </c>
      <c r="V29" s="130">
        <f t="shared" si="2"/>
        <v>0</v>
      </c>
      <c r="W29" s="130">
        <f t="shared" si="2"/>
        <v>0</v>
      </c>
    </row>
    <row r="30" spans="1:23">
      <c r="A30" s="53" t="s">
        <v>47</v>
      </c>
      <c r="B30" s="1" t="s">
        <v>43</v>
      </c>
      <c r="C30" s="89" t="s">
        <v>54</v>
      </c>
      <c r="D30" s="89" t="s">
        <v>55</v>
      </c>
      <c r="E30" s="89" t="s">
        <v>56</v>
      </c>
      <c r="F30" s="53" t="s">
        <v>47</v>
      </c>
      <c r="G30" s="89" t="s">
        <v>4</v>
      </c>
      <c r="H30" s="89" t="s">
        <v>51</v>
      </c>
      <c r="I30" s="89" t="s">
        <v>23</v>
      </c>
      <c r="J30" s="449" t="s">
        <v>438</v>
      </c>
      <c r="K30" s="130">
        <f>6*K29</f>
        <v>0</v>
      </c>
      <c r="L30" s="130">
        <f>3*L29</f>
        <v>0</v>
      </c>
      <c r="M30" s="130">
        <f t="shared" ref="M30:W30" si="3">3*M29</f>
        <v>0</v>
      </c>
      <c r="N30" s="130">
        <f t="shared" si="3"/>
        <v>0</v>
      </c>
      <c r="O30" s="130">
        <f t="shared" si="3"/>
        <v>0</v>
      </c>
      <c r="P30" s="130">
        <f t="shared" si="3"/>
        <v>0</v>
      </c>
      <c r="Q30" s="130">
        <f t="shared" si="3"/>
        <v>0</v>
      </c>
      <c r="R30" s="130">
        <f t="shared" si="3"/>
        <v>0</v>
      </c>
      <c r="S30" s="130">
        <f t="shared" si="3"/>
        <v>0</v>
      </c>
      <c r="T30" s="130">
        <f t="shared" si="3"/>
        <v>0</v>
      </c>
      <c r="U30" s="130">
        <f t="shared" si="3"/>
        <v>0</v>
      </c>
      <c r="V30" s="130">
        <f t="shared" si="3"/>
        <v>0</v>
      </c>
      <c r="W30" s="130">
        <f t="shared" si="3"/>
        <v>0</v>
      </c>
    </row>
    <row r="31" spans="1:23">
      <c r="A31" s="53" t="s">
        <v>46</v>
      </c>
      <c r="B31" s="52">
        <f>'Rahoitus Y3'!K18</f>
        <v>0</v>
      </c>
      <c r="C31" s="8">
        <f>IF('Rahoitus Y3'!$J18=0,0,$B31/('Rahoitus Y3'!$J18-1))</f>
        <v>0</v>
      </c>
      <c r="D31" s="8">
        <f>IF('Rahoitus Y3'!$J18=0,0,$B31/('Rahoitus Y3'!$J18-2))</f>
        <v>0</v>
      </c>
      <c r="E31" s="8">
        <f>IF('Rahoitus Y3'!$J18=0,0,$B31/'Rahoitus Y3'!$J18)</f>
        <v>0</v>
      </c>
      <c r="F31" s="53" t="s">
        <v>46</v>
      </c>
      <c r="G31" s="88">
        <f>IF('Rahoitus Y3'!$I18=2,'5 YP Lainat ja avustukset'!G23,IF('Rahoitus Y3'!$I18=1,'5 YP Lainat ja avustukset'!$G23,'5 YP Lainat ja avustukset'!$E31+$G23))</f>
        <v>0</v>
      </c>
      <c r="H31" s="88">
        <f>IF('Rahoitus Y3'!$I18=2,'5 YP Lainat ja avustukset'!H23,IF('Rahoitus Y3'!$I18=1,H23+C31,'5 YP Lainat ja avustukset'!$E31+H23))</f>
        <v>0</v>
      </c>
      <c r="I31" s="88">
        <f>IF('Rahoitus Y3'!$I18=2,'5 YP Lainat ja avustukset'!I23+D31,IF('Rahoitus Y3'!$I18=1,I23+C31,'5 YP Lainat ja avustukset'!$E31+I23))</f>
        <v>0</v>
      </c>
      <c r="J31" s="529" t="s">
        <v>445</v>
      </c>
      <c r="K31" s="130">
        <f>2*$L26-K30</f>
        <v>0</v>
      </c>
      <c r="L31" s="130">
        <f>$L26-L30</f>
        <v>0</v>
      </c>
      <c r="M31" s="130">
        <f t="shared" ref="M31:W31" si="4">$L26-M30</f>
        <v>0</v>
      </c>
      <c r="N31" s="130">
        <f t="shared" si="4"/>
        <v>0</v>
      </c>
      <c r="O31" s="130">
        <f t="shared" si="4"/>
        <v>0</v>
      </c>
      <c r="P31" s="130">
        <f t="shared" si="4"/>
        <v>0</v>
      </c>
      <c r="Q31" s="130">
        <f t="shared" si="4"/>
        <v>0</v>
      </c>
      <c r="R31" s="130">
        <f t="shared" si="4"/>
        <v>0</v>
      </c>
      <c r="S31" s="130">
        <f t="shared" si="4"/>
        <v>0</v>
      </c>
      <c r="T31" s="130">
        <f t="shared" si="4"/>
        <v>0</v>
      </c>
      <c r="U31" s="130">
        <f t="shared" si="4"/>
        <v>0</v>
      </c>
      <c r="V31" s="130">
        <f t="shared" si="4"/>
        <v>0</v>
      </c>
      <c r="W31" s="130">
        <f t="shared" si="4"/>
        <v>0</v>
      </c>
    </row>
    <row r="32" spans="1:23">
      <c r="A32" s="53" t="s">
        <v>48</v>
      </c>
      <c r="B32" s="52">
        <f>'Rahoitus Y3'!K19</f>
        <v>0</v>
      </c>
      <c r="C32" s="8">
        <f>IF('Rahoitus Y3'!$J19=0,0,$B32/('Rahoitus Y3'!$J19-1))</f>
        <v>0</v>
      </c>
      <c r="D32" s="8">
        <f>IF('Rahoitus Y3'!$J19=0,0,$B32/('Rahoitus Y3'!$J19-2))</f>
        <v>0</v>
      </c>
      <c r="E32" s="8">
        <f>IF('Rahoitus Y3'!$J19=0,0,$B32/'Rahoitus Y3'!$J19)</f>
        <v>0</v>
      </c>
      <c r="F32" s="53" t="s">
        <v>48</v>
      </c>
      <c r="G32" s="88">
        <f>IF('Rahoitus Y3'!$I19=2,'5 YP Lainat ja avustukset'!G24,IF('Rahoitus Y3'!$I19=1,'5 YP Lainat ja avustukset'!$G24,'5 YP Lainat ja avustukset'!$E32+$G24))</f>
        <v>0</v>
      </c>
      <c r="H32" s="88">
        <f>IF('Rahoitus Y3'!$I19=2,'5 YP Lainat ja avustukset'!H24,IF('Rahoitus Y3'!$I19=1,H24+C32,'5 YP Lainat ja avustukset'!$E32+H24))</f>
        <v>0</v>
      </c>
      <c r="I32" s="88">
        <f>IF('Rahoitus Y3'!$I19=2,'5 YP Lainat ja avustukset'!I24+D32,IF('Rahoitus Y3'!$I19=1,I24+C32,'5 YP Lainat ja avustukset'!$E32+I24))</f>
        <v>0</v>
      </c>
      <c r="J32" s="127"/>
      <c r="P32" s="129"/>
    </row>
    <row r="33" spans="1:16">
      <c r="A33" s="53" t="s">
        <v>49</v>
      </c>
      <c r="B33" s="52">
        <f>'Rahoitus Y3'!K20</f>
        <v>0</v>
      </c>
      <c r="C33" s="8">
        <f>IF('Rahoitus Y3'!$J20=0,0,$B33/('Rahoitus Y3'!$J20-1))</f>
        <v>0</v>
      </c>
      <c r="D33" s="8">
        <f>IF('Rahoitus Y3'!$J20=0,0,$B33/('Rahoitus Y3'!$J20-2))</f>
        <v>0</v>
      </c>
      <c r="E33" s="8">
        <f>IF('Rahoitus Y3'!$J20=0,0,$B33/'Rahoitus Y3'!$J20)</f>
        <v>0</v>
      </c>
      <c r="F33" s="53" t="s">
        <v>49</v>
      </c>
      <c r="G33" s="88">
        <f>IF('Rahoitus Y3'!$I20=2,'5 YP Lainat ja avustukset'!G25,IF('Rahoitus Y3'!$I20=1,'5 YP Lainat ja avustukset'!$G25,'5 YP Lainat ja avustukset'!$E33+$G25))</f>
        <v>0</v>
      </c>
      <c r="H33" s="88">
        <f>IF('Rahoitus Y3'!$I20=2,'5 YP Lainat ja avustukset'!H25,IF('Rahoitus Y3'!$I20=1,H25+C33,'5 YP Lainat ja avustukset'!$E33+H25))</f>
        <v>0</v>
      </c>
      <c r="I33" s="88">
        <f>IF('Rahoitus Y3'!$I20=2,'5 YP Lainat ja avustukset'!I25+D33,IF('Rahoitus Y3'!$I20=1,I25+C33,'5 YP Lainat ja avustukset'!$E33+I25))</f>
        <v>0</v>
      </c>
      <c r="J33" s="127"/>
      <c r="P33" s="129"/>
    </row>
    <row r="34" spans="1:16">
      <c r="A34" s="68"/>
      <c r="B34" s="52"/>
      <c r="C34" s="8"/>
      <c r="D34" s="8"/>
      <c r="E34" s="8"/>
      <c r="F34" s="68"/>
      <c r="G34" s="88"/>
      <c r="H34" s="88"/>
      <c r="I34" s="88"/>
      <c r="J34" s="127"/>
      <c r="P34" s="129"/>
    </row>
    <row r="35" spans="1:16">
      <c r="A35" s="53" t="s">
        <v>35</v>
      </c>
      <c r="B35" s="91">
        <f>SUM(B31:B34)</f>
        <v>0</v>
      </c>
      <c r="C35" s="8">
        <f>SUM(C31:C34)</f>
        <v>0</v>
      </c>
      <c r="D35" s="8">
        <f>SUM(D31:D34)</f>
        <v>0</v>
      </c>
      <c r="E35" s="8">
        <f>SUM(E31:E34)</f>
        <v>0</v>
      </c>
      <c r="F35" s="53" t="s">
        <v>35</v>
      </c>
      <c r="G35" s="8">
        <f>SUM(G31:G34)</f>
        <v>0</v>
      </c>
      <c r="H35" s="8">
        <f>SUM(H31:H34)</f>
        <v>0</v>
      </c>
      <c r="I35" s="8">
        <f>SUM(I31:I34)</f>
        <v>0</v>
      </c>
      <c r="J35" s="127"/>
      <c r="P35" s="129"/>
    </row>
    <row r="36" spans="1:16">
      <c r="J36" s="132"/>
      <c r="K36" s="133"/>
      <c r="L36" s="133"/>
      <c r="M36" s="133"/>
      <c r="N36" s="133"/>
      <c r="O36" s="133"/>
      <c r="P36" s="134"/>
    </row>
    <row r="39" spans="1:16">
      <c r="G39" s="7" t="s">
        <v>59</v>
      </c>
      <c r="H39" s="53"/>
      <c r="I39" s="53"/>
    </row>
    <row r="40" spans="1:16">
      <c r="F40" s="68" t="s">
        <v>0</v>
      </c>
      <c r="G40" s="89" t="s">
        <v>4</v>
      </c>
      <c r="H40" s="89" t="s">
        <v>51</v>
      </c>
      <c r="I40" s="89" t="s">
        <v>23</v>
      </c>
    </row>
    <row r="41" spans="1:16">
      <c r="F41" s="53" t="s">
        <v>46</v>
      </c>
      <c r="G41" s="52">
        <f>IF('Rahoitus Y3'!$I18=2,'5 YP Lainat ja avustukset'!$B31,IF('Rahoitus Y3'!$I18=1,'5 YP Lainat ja avustukset'!$B31,'5 YP Lainat ja avustukset'!$B31-'5 YP Lainat ja avustukset'!$E31))</f>
        <v>0</v>
      </c>
      <c r="H41" s="52">
        <f>IF('Rahoitus Y3'!$I18=2,'5 YP Lainat ja avustukset'!$B31,IF('Rahoitus Y3'!$I18=1,'5 YP Lainat ja avustukset'!$B31-$C31,'5 YP Lainat ja avustukset'!$B31-2*'5 YP Lainat ja avustukset'!$E31))</f>
        <v>0</v>
      </c>
      <c r="I41" s="52">
        <f>IF('Rahoitus Y3'!$I18=2,'5 YP Lainat ja avustukset'!$B31-D31,IF('Rahoitus Y3'!$I18=1,'5 YP Lainat ja avustukset'!$B31-2*$C31,'5 YP Lainat ja avustukset'!$B31-3*'5 YP Lainat ja avustukset'!$E31))</f>
        <v>0</v>
      </c>
    </row>
    <row r="42" spans="1:16">
      <c r="F42" s="53" t="s">
        <v>48</v>
      </c>
      <c r="G42" s="52">
        <f>IF('Rahoitus Y3'!$I19=2,'5 YP Lainat ja avustukset'!$B32,IF('Rahoitus Y3'!$I19=1,'5 YP Lainat ja avustukset'!$B32,'5 YP Lainat ja avustukset'!$B32-'5 YP Lainat ja avustukset'!$E32))</f>
        <v>0</v>
      </c>
      <c r="H42" s="52">
        <f>IF('Rahoitus Y3'!$I19=2,'5 YP Lainat ja avustukset'!$B32,IF('Rahoitus Y3'!$I19=1,'5 YP Lainat ja avustukset'!$B32-$C32,'5 YP Lainat ja avustukset'!$B32-2*'5 YP Lainat ja avustukset'!$E32))</f>
        <v>0</v>
      </c>
      <c r="I42" s="52">
        <f>IF('Rahoitus Y3'!$I19=2,'5 YP Lainat ja avustukset'!$B32-D32,IF('Rahoitus Y3'!$I19=1,'5 YP Lainat ja avustukset'!$B32-2*$C32,'5 YP Lainat ja avustukset'!$B32-3*'5 YP Lainat ja avustukset'!$E32))</f>
        <v>0</v>
      </c>
    </row>
    <row r="43" spans="1:16">
      <c r="F43" s="53" t="s">
        <v>49</v>
      </c>
      <c r="G43" s="52">
        <f>IF('Rahoitus Y3'!$I20=2,'5 YP Lainat ja avustukset'!$B33,IF('Rahoitus Y3'!$I20=1,'5 YP Lainat ja avustukset'!$B33,'5 YP Lainat ja avustukset'!$B33-'5 YP Lainat ja avustukset'!$E33))</f>
        <v>0</v>
      </c>
      <c r="H43" s="52">
        <f>IF('Rahoitus Y3'!$I20=2,'5 YP Lainat ja avustukset'!$B33,IF('Rahoitus Y3'!$I20=1,'5 YP Lainat ja avustukset'!$B33-$C33,'5 YP Lainat ja avustukset'!$B33-2*'5 YP Lainat ja avustukset'!$E33))</f>
        <v>0</v>
      </c>
      <c r="I43" s="52">
        <f>IF('Rahoitus Y3'!$I20=2,'5 YP Lainat ja avustukset'!$B33-D33,IF('Rahoitus Y3'!$I20=1,'5 YP Lainat ja avustukset'!$B33-2*$C33,'5 YP Lainat ja avustukset'!$B33-3*'5 YP Lainat ja avustukset'!$E33))</f>
        <v>0</v>
      </c>
    </row>
    <row r="44" spans="1:16">
      <c r="F44" s="68"/>
      <c r="G44" s="52"/>
      <c r="H44" s="52"/>
      <c r="I44" s="52"/>
    </row>
    <row r="45" spans="1:16" ht="12.9" thickBot="1">
      <c r="F45" s="53" t="s">
        <v>35</v>
      </c>
      <c r="G45" s="52">
        <f>SUM(G41:G44)</f>
        <v>0</v>
      </c>
      <c r="H45" s="52">
        <f>SUM(H41:H44)</f>
        <v>0</v>
      </c>
      <c r="I45" s="52">
        <f>SUM(I41:I44)</f>
        <v>0</v>
      </c>
    </row>
    <row r="46" spans="1:16" ht="15.45">
      <c r="B46" s="135" t="s">
        <v>96</v>
      </c>
      <c r="F46" s="218"/>
      <c r="G46" s="150"/>
      <c r="H46" s="150"/>
      <c r="I46" s="150"/>
      <c r="J46" s="146"/>
    </row>
    <row r="47" spans="1:16" ht="15.45">
      <c r="B47" s="2" t="s">
        <v>88</v>
      </c>
      <c r="C47" s="93" t="s">
        <v>61</v>
      </c>
      <c r="D47" s="121" t="s">
        <v>43</v>
      </c>
      <c r="E47" s="1" t="s">
        <v>77</v>
      </c>
      <c r="F47" s="219"/>
      <c r="G47" s="141" t="s">
        <v>98</v>
      </c>
      <c r="H47" s="52"/>
      <c r="I47" s="52"/>
      <c r="J47" s="147"/>
    </row>
    <row r="48" spans="1:16">
      <c r="B48" s="217" t="s">
        <v>40</v>
      </c>
      <c r="C48" s="228">
        <f>'Rahoitus Y3'!D17</f>
        <v>0</v>
      </c>
      <c r="D48" s="205">
        <f>'Rahoitus Y3'!E17</f>
        <v>0</v>
      </c>
      <c r="E48" s="204">
        <f>C48*D48</f>
        <v>0</v>
      </c>
      <c r="F48" s="217" t="s">
        <v>40</v>
      </c>
      <c r="G48" s="91">
        <f>D48-E48</f>
        <v>0</v>
      </c>
      <c r="H48" s="52"/>
      <c r="I48" s="52"/>
      <c r="J48" s="147"/>
    </row>
    <row r="49" spans="2:12">
      <c r="B49" s="217" t="s">
        <v>41</v>
      </c>
      <c r="C49" s="228">
        <f>'Rahoitus Y3'!D18</f>
        <v>0</v>
      </c>
      <c r="D49" s="205">
        <f>'Rahoitus Y3'!E18</f>
        <v>0</v>
      </c>
      <c r="E49" s="204">
        <f>C49*D49</f>
        <v>0</v>
      </c>
      <c r="F49" s="217" t="s">
        <v>41</v>
      </c>
      <c r="G49" s="91">
        <f>D49-E49</f>
        <v>0</v>
      </c>
      <c r="H49" s="52"/>
      <c r="I49" s="52"/>
      <c r="J49" s="147"/>
    </row>
    <row r="50" spans="2:12">
      <c r="B50" s="217" t="s">
        <v>87</v>
      </c>
      <c r="C50" s="228">
        <f>'Rahoitus Y3'!D19</f>
        <v>0</v>
      </c>
      <c r="D50" s="205">
        <f>'Rahoitus Y3'!E19</f>
        <v>0</v>
      </c>
      <c r="E50" s="621">
        <f>C50*D50/1.24</f>
        <v>0</v>
      </c>
      <c r="F50" s="217" t="s">
        <v>87</v>
      </c>
      <c r="G50" s="625">
        <f>D50/1.24-E50</f>
        <v>0</v>
      </c>
      <c r="H50" s="52"/>
      <c r="I50" s="52"/>
      <c r="J50" s="147"/>
    </row>
    <row r="51" spans="2:12">
      <c r="B51" s="2"/>
      <c r="C51" s="2"/>
      <c r="D51" s="2" t="s">
        <v>35</v>
      </c>
      <c r="E51" s="120">
        <f>SUM(E48:E50)</f>
        <v>0</v>
      </c>
      <c r="F51" s="220"/>
      <c r="J51" s="147"/>
    </row>
    <row r="52" spans="2:12">
      <c r="B52" t="s">
        <v>75</v>
      </c>
      <c r="C52" s="93" t="s">
        <v>61</v>
      </c>
      <c r="D52" s="93" t="s">
        <v>76</v>
      </c>
      <c r="E52" s="93" t="s">
        <v>77</v>
      </c>
      <c r="F52" s="219" t="s">
        <v>75</v>
      </c>
      <c r="G52" s="68" t="s">
        <v>98</v>
      </c>
      <c r="J52" s="147"/>
    </row>
    <row r="53" spans="2:12">
      <c r="B53" s="204">
        <v>1</v>
      </c>
      <c r="C53" s="229">
        <f>'Rahoitus Y3'!D21</f>
        <v>0</v>
      </c>
      <c r="D53" s="624">
        <f>'Rahoitus Y3'!E21/1.24</f>
        <v>0</v>
      </c>
      <c r="E53" s="230">
        <f>C53*D53</f>
        <v>0</v>
      </c>
      <c r="F53">
        <v>1</v>
      </c>
      <c r="G53" s="91">
        <f>D53-E53</f>
        <v>0</v>
      </c>
      <c r="J53" s="147"/>
    </row>
    <row r="54" spans="2:12">
      <c r="B54" s="204">
        <v>2</v>
      </c>
      <c r="C54" s="229">
        <f>'Rahoitus Y3'!D22</f>
        <v>0</v>
      </c>
      <c r="D54" s="624">
        <f>'Rahoitus Y3'!E22/1.24</f>
        <v>0</v>
      </c>
      <c r="E54" s="230">
        <f>C54*D54</f>
        <v>0</v>
      </c>
      <c r="F54">
        <v>2</v>
      </c>
      <c r="G54" s="91">
        <f>D54-E54</f>
        <v>0</v>
      </c>
      <c r="J54" s="147"/>
    </row>
    <row r="55" spans="2:12">
      <c r="B55" s="204">
        <v>3</v>
      </c>
      <c r="C55" s="229">
        <f>'Rahoitus Y3'!D23</f>
        <v>0</v>
      </c>
      <c r="D55" s="624">
        <f>'Rahoitus Y3'!E23/1.24</f>
        <v>0</v>
      </c>
      <c r="E55" s="230">
        <f>C55*D55</f>
        <v>0</v>
      </c>
      <c r="F55">
        <v>3</v>
      </c>
      <c r="G55" s="91">
        <f>D55-E55</f>
        <v>0</v>
      </c>
      <c r="J55" s="147"/>
    </row>
    <row r="56" spans="2:12">
      <c r="B56" s="204"/>
      <c r="C56" s="229"/>
      <c r="D56" s="205"/>
      <c r="E56" s="230"/>
      <c r="G56" s="91"/>
      <c r="J56" s="147"/>
    </row>
    <row r="57" spans="2:12">
      <c r="C57" s="113"/>
      <c r="D57" s="52"/>
      <c r="E57" s="34"/>
      <c r="F57" s="219"/>
      <c r="G57" s="91"/>
      <c r="J57" s="147"/>
    </row>
    <row r="58" spans="2:12">
      <c r="B58" s="1" t="s">
        <v>86</v>
      </c>
      <c r="C58" s="116">
        <f>IF(D58=0,0,(E58/D58))</f>
        <v>0</v>
      </c>
      <c r="D58" s="52">
        <f>SUM(D53:D57)</f>
        <v>0</v>
      </c>
      <c r="E58" s="34">
        <f>SUM(E53:E57)</f>
        <v>0</v>
      </c>
      <c r="F58" s="219"/>
      <c r="G58" s="46" t="s">
        <v>0</v>
      </c>
      <c r="J58" s="147"/>
    </row>
    <row r="59" spans="2:12">
      <c r="B59" s="1" t="s">
        <v>89</v>
      </c>
      <c r="C59" s="115">
        <f>'Rahoitus Y3'!D26</f>
        <v>0</v>
      </c>
      <c r="D59" s="52">
        <f>'Rahoitus Y3'!E26</f>
        <v>0</v>
      </c>
      <c r="E59">
        <f>C59*D59</f>
        <v>0</v>
      </c>
      <c r="F59" s="221" t="s">
        <v>146</v>
      </c>
      <c r="G59" s="91">
        <f>D59-E59</f>
        <v>0</v>
      </c>
      <c r="J59" s="147"/>
    </row>
    <row r="60" spans="2:12">
      <c r="B60" s="1" t="s">
        <v>78</v>
      </c>
      <c r="D60" s="46">
        <f>B65</f>
        <v>0</v>
      </c>
      <c r="E60" s="34">
        <v>0</v>
      </c>
      <c r="F60" s="1" t="s">
        <v>78</v>
      </c>
      <c r="G60" s="52">
        <f>-D60</f>
        <v>0</v>
      </c>
      <c r="J60" s="147"/>
    </row>
    <row r="61" spans="2:12" ht="12.9" thickBot="1">
      <c r="B61" s="2" t="s">
        <v>90</v>
      </c>
      <c r="C61" s="142" t="s">
        <v>450</v>
      </c>
      <c r="D61" s="2"/>
      <c r="E61" s="120">
        <f>E51+IF(E58+E59+E60&lt;0,0,E58+E59+E60)</f>
        <v>0</v>
      </c>
      <c r="F61" s="222" t="s">
        <v>35</v>
      </c>
      <c r="G61" s="223">
        <f>SUM(G53:G60)</f>
        <v>0</v>
      </c>
      <c r="H61" s="152"/>
      <c r="I61" s="152"/>
      <c r="J61" s="148"/>
    </row>
    <row r="63" spans="2:12">
      <c r="B63" s="1" t="s">
        <v>82</v>
      </c>
    </row>
    <row r="64" spans="2:12">
      <c r="B64" s="93" t="s">
        <v>43</v>
      </c>
      <c r="C64" s="93" t="s">
        <v>42</v>
      </c>
      <c r="D64" t="s">
        <v>80</v>
      </c>
      <c r="E64" s="1" t="s">
        <v>84</v>
      </c>
      <c r="F64" s="1" t="s">
        <v>83</v>
      </c>
      <c r="G64" s="1" t="s">
        <v>85</v>
      </c>
      <c r="L64" t="s">
        <v>227</v>
      </c>
    </row>
    <row r="65" spans="1:38">
      <c r="B65" s="52">
        <f>'Rahoitus Y3'!K21</f>
        <v>0</v>
      </c>
      <c r="C65" s="115">
        <f>'Rahoitus Y3'!H21</f>
        <v>0</v>
      </c>
      <c r="D65" s="52">
        <f>'Rahoitus Y3'!I21</f>
        <v>0</v>
      </c>
      <c r="E65" s="118">
        <f>'Kustannukset Y1'!E59</f>
        <v>0.3</v>
      </c>
      <c r="F65">
        <f>B65*E65</f>
        <v>0</v>
      </c>
      <c r="G65" s="88">
        <f>IF(B65=0,0,-PMT(C65,D65,B65-F65)+12*L65)</f>
        <v>0</v>
      </c>
      <c r="H65" s="1" t="s">
        <v>101</v>
      </c>
      <c r="L65">
        <v>10</v>
      </c>
    </row>
    <row r="66" spans="1:38">
      <c r="B66" s="52">
        <f>B65</f>
        <v>0</v>
      </c>
      <c r="C66" s="115">
        <f>C65</f>
        <v>0</v>
      </c>
      <c r="D66" s="52">
        <f>D65</f>
        <v>0</v>
      </c>
      <c r="E66" s="118">
        <f>E65</f>
        <v>0.3</v>
      </c>
      <c r="F66" s="52">
        <f>F65</f>
        <v>0</v>
      </c>
      <c r="G66" s="117">
        <f>IF(D66=0,0,(C66*F66))</f>
        <v>0</v>
      </c>
      <c r="H66" s="255" t="s">
        <v>225</v>
      </c>
    </row>
    <row r="67" spans="1:38">
      <c r="B67" s="52"/>
      <c r="C67" s="115"/>
      <c r="D67" s="52"/>
      <c r="E67" s="52"/>
      <c r="F67" s="52"/>
      <c r="G67" s="52"/>
      <c r="H67" s="1"/>
    </row>
    <row r="68" spans="1:38">
      <c r="F68" s="121"/>
      <c r="G68" s="52">
        <f>G65+G66</f>
        <v>0</v>
      </c>
      <c r="H68" s="1" t="s">
        <v>176</v>
      </c>
    </row>
    <row r="69" spans="1:38">
      <c r="B69" s="1"/>
      <c r="C69" s="1"/>
      <c r="E69" s="121"/>
      <c r="F69" s="119"/>
      <c r="G69" s="52"/>
      <c r="H69" s="1"/>
    </row>
    <row r="70" spans="1:38">
      <c r="C70" s="34"/>
      <c r="D70" s="34"/>
      <c r="E70" s="34"/>
      <c r="F70" s="1"/>
      <c r="G70" s="34"/>
      <c r="H70" s="1"/>
    </row>
    <row r="71" spans="1:38">
      <c r="B71" s="153"/>
      <c r="C71" s="46"/>
      <c r="D71" s="52"/>
      <c r="E71" s="46"/>
      <c r="F71" s="119"/>
      <c r="G71" s="34"/>
      <c r="H71" s="1"/>
    </row>
    <row r="72" spans="1:38">
      <c r="B72" s="153"/>
      <c r="C72" s="46"/>
      <c r="D72" s="52"/>
      <c r="E72" s="46"/>
    </row>
    <row r="73" spans="1:38">
      <c r="B73" s="153"/>
      <c r="C73" s="46"/>
      <c r="D73" s="52"/>
      <c r="E73" s="46"/>
    </row>
    <row r="74" spans="1:38">
      <c r="B74" s="153"/>
      <c r="C74" s="46"/>
      <c r="D74" s="52"/>
      <c r="E74" s="46"/>
    </row>
    <row r="75" spans="1:38">
      <c r="B75" s="153"/>
      <c r="C75" s="46"/>
      <c r="D75" s="52"/>
      <c r="E75" s="46"/>
    </row>
    <row r="76" spans="1:38">
      <c r="B76" s="153"/>
      <c r="C76" s="49"/>
      <c r="D76" s="246"/>
      <c r="E76" s="49"/>
    </row>
    <row r="77" spans="1:38">
      <c r="A77" s="490" t="s">
        <v>47</v>
      </c>
      <c r="B77" s="490"/>
      <c r="C77" s="490"/>
      <c r="D77" s="491"/>
      <c r="E77" s="491"/>
      <c r="F77" s="491"/>
      <c r="G77" s="491"/>
      <c r="H77" s="491"/>
      <c r="I77" s="491"/>
      <c r="J77" s="491"/>
      <c r="K77" s="491"/>
      <c r="L77" s="491"/>
      <c r="M77" s="491"/>
      <c r="N77" s="491"/>
      <c r="O77" s="491"/>
      <c r="P77" s="492"/>
      <c r="Q77" s="493"/>
      <c r="R77" s="493"/>
      <c r="S77" s="493"/>
      <c r="T77" s="493"/>
      <c r="U77" s="493"/>
      <c r="V77" s="493"/>
      <c r="W77" s="493"/>
      <c r="X77" s="493"/>
      <c r="Y77" s="493"/>
      <c r="Z77" s="493"/>
      <c r="AA77" s="493"/>
      <c r="AB77" s="493"/>
      <c r="AC77" s="493"/>
      <c r="AD77" s="493"/>
      <c r="AE77" s="493"/>
      <c r="AF77" s="493"/>
      <c r="AG77" s="493"/>
      <c r="AH77" s="493"/>
      <c r="AI77" s="493"/>
      <c r="AJ77" s="493"/>
      <c r="AK77" s="493"/>
      <c r="AL77" s="493"/>
    </row>
    <row r="78" spans="1:38" ht="12.9" thickBot="1">
      <c r="A78" s="494" t="s">
        <v>405</v>
      </c>
      <c r="B78" s="495">
        <v>6</v>
      </c>
      <c r="C78" s="496">
        <v>7</v>
      </c>
      <c r="D78" s="496">
        <v>8</v>
      </c>
      <c r="E78" s="496">
        <v>9</v>
      </c>
      <c r="F78" s="496">
        <v>10</v>
      </c>
      <c r="G78" s="496">
        <v>11</v>
      </c>
      <c r="H78" s="496">
        <v>12</v>
      </c>
      <c r="I78" s="496">
        <v>13</v>
      </c>
      <c r="J78" s="496">
        <v>14</v>
      </c>
      <c r="K78" s="496">
        <v>15</v>
      </c>
      <c r="L78" s="496">
        <v>16</v>
      </c>
      <c r="M78" s="496">
        <v>17</v>
      </c>
      <c r="N78" s="496">
        <v>18</v>
      </c>
      <c r="O78" s="496">
        <v>19</v>
      </c>
      <c r="P78" s="496">
        <v>20</v>
      </c>
      <c r="Q78" s="496">
        <v>21</v>
      </c>
      <c r="R78" s="496">
        <v>22</v>
      </c>
      <c r="S78" s="496">
        <v>23</v>
      </c>
      <c r="T78" s="496">
        <v>24</v>
      </c>
      <c r="U78" s="496">
        <v>25</v>
      </c>
      <c r="V78" s="496">
        <v>26</v>
      </c>
      <c r="W78" s="496">
        <v>27</v>
      </c>
      <c r="X78" s="496">
        <v>28</v>
      </c>
      <c r="Y78" s="496">
        <v>29</v>
      </c>
      <c r="Z78" s="496">
        <v>30</v>
      </c>
      <c r="AA78" s="496">
        <v>31</v>
      </c>
      <c r="AB78" s="496">
        <v>32</v>
      </c>
      <c r="AC78" s="496">
        <v>33</v>
      </c>
      <c r="AD78" s="496">
        <v>34</v>
      </c>
      <c r="AE78" s="496">
        <v>35</v>
      </c>
      <c r="AF78" s="496">
        <v>36</v>
      </c>
      <c r="AG78" s="496">
        <v>37</v>
      </c>
      <c r="AH78" s="496">
        <v>38</v>
      </c>
      <c r="AI78" s="496">
        <v>39</v>
      </c>
      <c r="AJ78" s="496">
        <v>40</v>
      </c>
      <c r="AK78" s="496">
        <v>41</v>
      </c>
      <c r="AL78" s="496">
        <v>42</v>
      </c>
    </row>
    <row r="79" spans="1:38">
      <c r="A79" s="497" t="s">
        <v>402</v>
      </c>
      <c r="B79" s="498">
        <f>'Rahoitus Y3'!K18</f>
        <v>0</v>
      </c>
      <c r="C79" s="524">
        <f>B79-B80</f>
        <v>0</v>
      </c>
      <c r="D79" s="524">
        <f t="shared" ref="D79:AL79" si="5">C79-C80</f>
        <v>0</v>
      </c>
      <c r="E79" s="524">
        <f t="shared" si="5"/>
        <v>0</v>
      </c>
      <c r="F79" s="524">
        <f t="shared" si="5"/>
        <v>0</v>
      </c>
      <c r="G79" s="524">
        <f t="shared" si="5"/>
        <v>0</v>
      </c>
      <c r="H79" s="524">
        <f t="shared" si="5"/>
        <v>0</v>
      </c>
      <c r="I79" s="524">
        <f t="shared" si="5"/>
        <v>0</v>
      </c>
      <c r="J79" s="524">
        <f t="shared" si="5"/>
        <v>0</v>
      </c>
      <c r="K79" s="524">
        <f t="shared" si="5"/>
        <v>0</v>
      </c>
      <c r="L79" s="524">
        <f t="shared" si="5"/>
        <v>0</v>
      </c>
      <c r="M79" s="524">
        <f t="shared" si="5"/>
        <v>0</v>
      </c>
      <c r="N79" s="524">
        <f t="shared" si="5"/>
        <v>0</v>
      </c>
      <c r="O79" s="524">
        <f t="shared" si="5"/>
        <v>0</v>
      </c>
      <c r="P79" s="524">
        <f t="shared" si="5"/>
        <v>0</v>
      </c>
      <c r="Q79" s="524">
        <f t="shared" si="5"/>
        <v>0</v>
      </c>
      <c r="R79" s="524">
        <f t="shared" si="5"/>
        <v>0</v>
      </c>
      <c r="S79" s="524">
        <f t="shared" si="5"/>
        <v>0</v>
      </c>
      <c r="T79" s="524">
        <f t="shared" si="5"/>
        <v>0</v>
      </c>
      <c r="U79" s="524">
        <f t="shared" si="5"/>
        <v>0</v>
      </c>
      <c r="V79" s="524">
        <f t="shared" si="5"/>
        <v>0</v>
      </c>
      <c r="W79" s="524">
        <f t="shared" si="5"/>
        <v>0</v>
      </c>
      <c r="X79" s="524">
        <f t="shared" si="5"/>
        <v>0</v>
      </c>
      <c r="Y79" s="524">
        <f t="shared" si="5"/>
        <v>0</v>
      </c>
      <c r="Z79" s="524">
        <f t="shared" si="5"/>
        <v>0</v>
      </c>
      <c r="AA79" s="524">
        <f t="shared" si="5"/>
        <v>0</v>
      </c>
      <c r="AB79" s="524">
        <f t="shared" si="5"/>
        <v>0</v>
      </c>
      <c r="AC79" s="524">
        <f t="shared" si="5"/>
        <v>0</v>
      </c>
      <c r="AD79" s="524">
        <f t="shared" si="5"/>
        <v>0</v>
      </c>
      <c r="AE79" s="524">
        <f t="shared" si="5"/>
        <v>0</v>
      </c>
      <c r="AF79" s="524">
        <f t="shared" si="5"/>
        <v>0</v>
      </c>
      <c r="AG79" s="524">
        <f t="shared" si="5"/>
        <v>0</v>
      </c>
      <c r="AH79" s="524">
        <f t="shared" si="5"/>
        <v>0</v>
      </c>
      <c r="AI79" s="524">
        <f t="shared" si="5"/>
        <v>0</v>
      </c>
      <c r="AJ79" s="524">
        <f t="shared" si="5"/>
        <v>0</v>
      </c>
      <c r="AK79" s="524">
        <f t="shared" si="5"/>
        <v>0</v>
      </c>
      <c r="AL79" s="525">
        <f t="shared" si="5"/>
        <v>0</v>
      </c>
    </row>
    <row r="80" spans="1:38">
      <c r="A80" s="500" t="s">
        <v>403</v>
      </c>
      <c r="B80" s="68">
        <f>IF(B79=0,0,IF('Rahoitus Y3'!$I18=2,0,IF('Rahoitus Y3'!$I18=1,0,'Rahoitus Y3'!$K18/(2*'Rahoitus Y3'!$J18))))</f>
        <v>0</v>
      </c>
      <c r="C80" s="188"/>
      <c r="D80" s="189"/>
      <c r="E80" s="189"/>
      <c r="F80" s="189"/>
      <c r="G80" s="189"/>
      <c r="H80" s="68">
        <f>IF(H79=0,0,IF('Rahoitus Y3'!$I18=2,0,IF('Rahoitus Y3'!$I18=1,0,'Rahoitus Y3'!$K18/(2*'Rahoitus Y3'!$J18))))</f>
        <v>0</v>
      </c>
      <c r="I80" s="189"/>
      <c r="J80" s="189"/>
      <c r="K80" s="189"/>
      <c r="L80" s="189"/>
      <c r="M80" s="189"/>
      <c r="N80" s="68">
        <f>IF(N79=0,0,IF('Rahoitus Y3'!$I18=2,0,IF('Rahoitus Y3'!$I18=1,'Rahoitus Y3'!$K18/(2*'Rahoitus Y3'!$J18-2),'Rahoitus Y3'!$K18/(2*'Rahoitus Y3'!$J18))))</f>
        <v>0</v>
      </c>
      <c r="O80" s="189"/>
      <c r="P80" s="91"/>
      <c r="T80" s="68">
        <f>IF(T79=0,0,IF('Rahoitus Y3'!$I18=2,0,IF('Rahoitus Y3'!$I18=1,'Rahoitus Y3'!$K18/(2*'Rahoitus Y3'!$J18-2),'Rahoitus Y3'!$K18/(2*'Rahoitus Y3'!$J18))))</f>
        <v>0</v>
      </c>
      <c r="Z80" s="68">
        <f>IF(Z79=0,0,IF('Rahoitus Y3'!$I18=2,'Rahoitus Y3'!$K18/(2*'Rahoitus Y3'!$J18-4),IF('Rahoitus Y3'!$I18=1,'Rahoitus Y3'!$K18/(2*'Rahoitus Y3'!$J18-2),'Rahoitus Y3'!$K18/(2*'Rahoitus Y3'!$J18))))</f>
        <v>0</v>
      </c>
      <c r="AF80" s="68">
        <f>IF(AF79=0,0,IF('Rahoitus Y3'!$I18=2,'Rahoitus Y3'!$K18/(2*'Rahoitus Y3'!$J18-4),IF('Rahoitus Y3'!$I18=1,'Rahoitus Y3'!$K18/(2*'Rahoitus Y3'!$J18-2),'Rahoitus Y3'!$K18/(2*'Rahoitus Y3'!$J18))))</f>
        <v>0</v>
      </c>
      <c r="AL80" s="526">
        <f>IF(AL79=0,0,IF('Rahoitus Y3'!$I18=2,'Rahoitus Y3'!$K18/(2*'Rahoitus Y3'!$J18-4),IF('Rahoitus Y3'!$I18=1,'Rahoitus Y3'!$K18/(2*'Rahoitus Y3'!$J18-2),'Rahoitus Y3'!$K18/(2*'Rahoitus Y3'!$J18))))</f>
        <v>0</v>
      </c>
    </row>
    <row r="81" spans="1:38" s="534" customFormat="1">
      <c r="A81" s="532" t="s">
        <v>455</v>
      </c>
      <c r="B81" s="533">
        <f>B79-B80</f>
        <v>0</v>
      </c>
      <c r="C81" s="533">
        <f t="shared" ref="C81:AL81" si="6">C79-C80</f>
        <v>0</v>
      </c>
      <c r="D81" s="533">
        <f t="shared" si="6"/>
        <v>0</v>
      </c>
      <c r="E81" s="533">
        <f t="shared" si="6"/>
        <v>0</v>
      </c>
      <c r="F81" s="533">
        <f t="shared" si="6"/>
        <v>0</v>
      </c>
      <c r="G81" s="533">
        <f t="shared" si="6"/>
        <v>0</v>
      </c>
      <c r="H81" s="533">
        <f t="shared" si="6"/>
        <v>0</v>
      </c>
      <c r="I81" s="533">
        <f t="shared" si="6"/>
        <v>0</v>
      </c>
      <c r="J81" s="533">
        <f t="shared" si="6"/>
        <v>0</v>
      </c>
      <c r="K81" s="533">
        <f t="shared" si="6"/>
        <v>0</v>
      </c>
      <c r="L81" s="533">
        <f t="shared" si="6"/>
        <v>0</v>
      </c>
      <c r="M81" s="533">
        <f t="shared" si="6"/>
        <v>0</v>
      </c>
      <c r="N81" s="533">
        <f t="shared" si="6"/>
        <v>0</v>
      </c>
      <c r="O81" s="533">
        <f t="shared" si="6"/>
        <v>0</v>
      </c>
      <c r="P81" s="533">
        <f t="shared" si="6"/>
        <v>0</v>
      </c>
      <c r="Q81" s="533">
        <f t="shared" si="6"/>
        <v>0</v>
      </c>
      <c r="R81" s="533">
        <f t="shared" si="6"/>
        <v>0</v>
      </c>
      <c r="S81" s="533">
        <f t="shared" si="6"/>
        <v>0</v>
      </c>
      <c r="T81" s="533">
        <f t="shared" si="6"/>
        <v>0</v>
      </c>
      <c r="U81" s="533">
        <f t="shared" si="6"/>
        <v>0</v>
      </c>
      <c r="V81" s="533">
        <f t="shared" si="6"/>
        <v>0</v>
      </c>
      <c r="W81" s="533">
        <f t="shared" si="6"/>
        <v>0</v>
      </c>
      <c r="X81" s="533">
        <f t="shared" si="6"/>
        <v>0</v>
      </c>
      <c r="Y81" s="533">
        <f t="shared" si="6"/>
        <v>0</v>
      </c>
      <c r="Z81" s="533">
        <f t="shared" si="6"/>
        <v>0</v>
      </c>
      <c r="AA81" s="533">
        <f t="shared" si="6"/>
        <v>0</v>
      </c>
      <c r="AB81" s="533">
        <f t="shared" si="6"/>
        <v>0</v>
      </c>
      <c r="AC81" s="533">
        <f t="shared" si="6"/>
        <v>0</v>
      </c>
      <c r="AD81" s="533">
        <f t="shared" si="6"/>
        <v>0</v>
      </c>
      <c r="AE81" s="533">
        <f t="shared" si="6"/>
        <v>0</v>
      </c>
      <c r="AF81" s="533">
        <f t="shared" si="6"/>
        <v>0</v>
      </c>
      <c r="AG81" s="533">
        <f t="shared" si="6"/>
        <v>0</v>
      </c>
      <c r="AH81" s="533">
        <f t="shared" si="6"/>
        <v>0</v>
      </c>
      <c r="AI81" s="533">
        <f t="shared" si="6"/>
        <v>0</v>
      </c>
      <c r="AJ81" s="533">
        <f t="shared" si="6"/>
        <v>0</v>
      </c>
      <c r="AK81" s="533">
        <f t="shared" si="6"/>
        <v>0</v>
      </c>
      <c r="AL81" s="533">
        <f t="shared" si="6"/>
        <v>0</v>
      </c>
    </row>
    <row r="82" spans="1:38">
      <c r="A82" s="500" t="s">
        <v>42</v>
      </c>
      <c r="B82" s="441">
        <f>'Rahoitus Y3'!H18</f>
        <v>0</v>
      </c>
      <c r="C82" s="442">
        <f>B82</f>
        <v>0</v>
      </c>
      <c r="D82" s="442">
        <f t="shared" ref="D82:AL82" si="7">C82</f>
        <v>0</v>
      </c>
      <c r="E82" s="442">
        <f t="shared" si="7"/>
        <v>0</v>
      </c>
      <c r="F82" s="442">
        <f t="shared" si="7"/>
        <v>0</v>
      </c>
      <c r="G82" s="442">
        <f t="shared" si="7"/>
        <v>0</v>
      </c>
      <c r="H82" s="442">
        <f t="shared" si="7"/>
        <v>0</v>
      </c>
      <c r="I82" s="442">
        <f t="shared" si="7"/>
        <v>0</v>
      </c>
      <c r="J82" s="442">
        <f t="shared" si="7"/>
        <v>0</v>
      </c>
      <c r="K82" s="442">
        <f t="shared" si="7"/>
        <v>0</v>
      </c>
      <c r="L82" s="442">
        <f t="shared" si="7"/>
        <v>0</v>
      </c>
      <c r="M82" s="442">
        <f t="shared" si="7"/>
        <v>0</v>
      </c>
      <c r="N82" s="442">
        <f t="shared" si="7"/>
        <v>0</v>
      </c>
      <c r="O82" s="442">
        <f t="shared" si="7"/>
        <v>0</v>
      </c>
      <c r="P82" s="442">
        <f t="shared" si="7"/>
        <v>0</v>
      </c>
      <c r="Q82" s="442">
        <f t="shared" si="7"/>
        <v>0</v>
      </c>
      <c r="R82" s="442">
        <f t="shared" si="7"/>
        <v>0</v>
      </c>
      <c r="S82" s="442">
        <f t="shared" si="7"/>
        <v>0</v>
      </c>
      <c r="T82" s="442">
        <f t="shared" si="7"/>
        <v>0</v>
      </c>
      <c r="U82" s="442">
        <f t="shared" si="7"/>
        <v>0</v>
      </c>
      <c r="V82" s="442">
        <f t="shared" si="7"/>
        <v>0</v>
      </c>
      <c r="W82" s="442">
        <f t="shared" si="7"/>
        <v>0</v>
      </c>
      <c r="X82" s="442">
        <f t="shared" si="7"/>
        <v>0</v>
      </c>
      <c r="Y82" s="442">
        <f t="shared" si="7"/>
        <v>0</v>
      </c>
      <c r="Z82" s="442">
        <f t="shared" si="7"/>
        <v>0</v>
      </c>
      <c r="AA82" s="442">
        <f t="shared" si="7"/>
        <v>0</v>
      </c>
      <c r="AB82" s="442">
        <f t="shared" si="7"/>
        <v>0</v>
      </c>
      <c r="AC82" s="442">
        <f t="shared" si="7"/>
        <v>0</v>
      </c>
      <c r="AD82" s="442">
        <f t="shared" si="7"/>
        <v>0</v>
      </c>
      <c r="AE82" s="442">
        <f t="shared" si="7"/>
        <v>0</v>
      </c>
      <c r="AF82" s="442">
        <f t="shared" si="7"/>
        <v>0</v>
      </c>
      <c r="AG82" s="442">
        <f t="shared" si="7"/>
        <v>0</v>
      </c>
      <c r="AH82" s="442">
        <f t="shared" si="7"/>
        <v>0</v>
      </c>
      <c r="AI82" s="442">
        <f t="shared" si="7"/>
        <v>0</v>
      </c>
      <c r="AJ82" s="442">
        <f t="shared" si="7"/>
        <v>0</v>
      </c>
      <c r="AK82" s="442">
        <f t="shared" si="7"/>
        <v>0</v>
      </c>
      <c r="AL82" s="527">
        <f t="shared" si="7"/>
        <v>0</v>
      </c>
    </row>
    <row r="83" spans="1:38">
      <c r="A83" s="500" t="s">
        <v>404</v>
      </c>
      <c r="B83" s="443">
        <f>(B79)*B82/2</f>
        <v>0</v>
      </c>
      <c r="C83" s="443">
        <f>(C79)*C82/12</f>
        <v>0</v>
      </c>
      <c r="D83" s="443">
        <f t="shared" ref="D83:AL83" si="8">(D79)*D82/12</f>
        <v>0</v>
      </c>
      <c r="E83" s="443">
        <f t="shared" si="8"/>
        <v>0</v>
      </c>
      <c r="F83" s="443">
        <f t="shared" si="8"/>
        <v>0</v>
      </c>
      <c r="G83" s="443">
        <f t="shared" si="8"/>
        <v>0</v>
      </c>
      <c r="H83" s="443">
        <f t="shared" si="8"/>
        <v>0</v>
      </c>
      <c r="I83" s="443">
        <f t="shared" si="8"/>
        <v>0</v>
      </c>
      <c r="J83" s="443">
        <f t="shared" si="8"/>
        <v>0</v>
      </c>
      <c r="K83" s="443">
        <f t="shared" si="8"/>
        <v>0</v>
      </c>
      <c r="L83" s="443">
        <f t="shared" si="8"/>
        <v>0</v>
      </c>
      <c r="M83" s="443">
        <f t="shared" si="8"/>
        <v>0</v>
      </c>
      <c r="N83" s="443">
        <f t="shared" si="8"/>
        <v>0</v>
      </c>
      <c r="O83" s="443">
        <f t="shared" si="8"/>
        <v>0</v>
      </c>
      <c r="P83" s="443">
        <f t="shared" si="8"/>
        <v>0</v>
      </c>
      <c r="Q83" s="443">
        <f t="shared" si="8"/>
        <v>0</v>
      </c>
      <c r="R83" s="443">
        <f t="shared" si="8"/>
        <v>0</v>
      </c>
      <c r="S83" s="443">
        <f t="shared" si="8"/>
        <v>0</v>
      </c>
      <c r="T83" s="443">
        <f t="shared" si="8"/>
        <v>0</v>
      </c>
      <c r="U83" s="443">
        <f t="shared" si="8"/>
        <v>0</v>
      </c>
      <c r="V83" s="443">
        <f t="shared" si="8"/>
        <v>0</v>
      </c>
      <c r="W83" s="443">
        <f t="shared" si="8"/>
        <v>0</v>
      </c>
      <c r="X83" s="443">
        <f t="shared" si="8"/>
        <v>0</v>
      </c>
      <c r="Y83" s="443">
        <f t="shared" si="8"/>
        <v>0</v>
      </c>
      <c r="Z83" s="443">
        <f t="shared" si="8"/>
        <v>0</v>
      </c>
      <c r="AA83" s="443">
        <f t="shared" si="8"/>
        <v>0</v>
      </c>
      <c r="AB83" s="443">
        <f t="shared" si="8"/>
        <v>0</v>
      </c>
      <c r="AC83" s="443">
        <f t="shared" si="8"/>
        <v>0</v>
      </c>
      <c r="AD83" s="443">
        <f t="shared" si="8"/>
        <v>0</v>
      </c>
      <c r="AE83" s="443">
        <f t="shared" si="8"/>
        <v>0</v>
      </c>
      <c r="AF83" s="443">
        <f t="shared" si="8"/>
        <v>0</v>
      </c>
      <c r="AG83" s="443">
        <f t="shared" si="8"/>
        <v>0</v>
      </c>
      <c r="AH83" s="443">
        <f t="shared" si="8"/>
        <v>0</v>
      </c>
      <c r="AI83" s="443">
        <f t="shared" si="8"/>
        <v>0</v>
      </c>
      <c r="AJ83" s="443">
        <f t="shared" si="8"/>
        <v>0</v>
      </c>
      <c r="AK83" s="443">
        <f t="shared" si="8"/>
        <v>0</v>
      </c>
      <c r="AL83" s="528">
        <f t="shared" si="8"/>
        <v>0</v>
      </c>
    </row>
    <row r="84" spans="1:38">
      <c r="A84" s="501" t="s">
        <v>406</v>
      </c>
      <c r="B84" s="453">
        <f>B83</f>
        <v>0</v>
      </c>
      <c r="C84" s="188"/>
      <c r="D84" s="189"/>
      <c r="E84" s="189"/>
      <c r="F84" s="189"/>
      <c r="G84" s="189"/>
      <c r="H84" s="189"/>
      <c r="I84" s="189"/>
      <c r="J84" s="189"/>
      <c r="K84" s="189"/>
      <c r="L84" s="189"/>
      <c r="M84" s="189"/>
      <c r="N84" s="454">
        <f>SUM(C83:N83)</f>
        <v>0</v>
      </c>
      <c r="O84" s="189"/>
      <c r="P84" s="91"/>
      <c r="Z84" s="454">
        <f>SUM(O83:Z83)</f>
        <v>0</v>
      </c>
      <c r="AL84" s="147"/>
    </row>
    <row r="85" spans="1:38">
      <c r="A85" s="502" t="s">
        <v>407</v>
      </c>
      <c r="B85" s="68"/>
      <c r="C85" s="458">
        <f>B84+C83</f>
        <v>0</v>
      </c>
      <c r="D85" s="189"/>
      <c r="E85" s="189"/>
      <c r="F85" s="189"/>
      <c r="G85" s="189"/>
      <c r="H85" s="189"/>
      <c r="I85" s="189"/>
      <c r="J85" s="189"/>
      <c r="K85" s="189"/>
      <c r="L85" s="189"/>
      <c r="M85" s="189"/>
      <c r="O85" s="459">
        <f>SUM(D83:O83)</f>
        <v>0</v>
      </c>
      <c r="P85" s="91"/>
      <c r="AA85" s="459">
        <f>SUM(P83:AA83)</f>
        <v>0</v>
      </c>
      <c r="AB85" s="91"/>
      <c r="AL85" s="147"/>
    </row>
    <row r="86" spans="1:38">
      <c r="A86" s="503" t="s">
        <v>418</v>
      </c>
      <c r="B86" s="53"/>
      <c r="C86" s="53"/>
      <c r="D86" s="460">
        <f>SUM(B83:D83)</f>
        <v>0</v>
      </c>
      <c r="E86" s="444"/>
      <c r="F86" s="444"/>
      <c r="G86" s="444"/>
      <c r="H86" s="444"/>
      <c r="I86" s="444"/>
      <c r="J86" s="444"/>
      <c r="K86" s="444"/>
      <c r="L86" s="444"/>
      <c r="M86" s="444"/>
      <c r="N86" s="444"/>
      <c r="O86" s="189"/>
      <c r="P86" s="461">
        <f>SUM(E83:P83)</f>
        <v>0</v>
      </c>
      <c r="AA86" s="189"/>
      <c r="AB86" s="461">
        <f>SUM(Q83:AB83)</f>
        <v>0</v>
      </c>
      <c r="AL86" s="147"/>
    </row>
    <row r="87" spans="1:38">
      <c r="A87" s="550" t="s">
        <v>417</v>
      </c>
      <c r="B87" s="68"/>
      <c r="C87" s="188"/>
      <c r="D87" s="444"/>
      <c r="E87" s="463">
        <f>SUM(B83:E83)</f>
        <v>0</v>
      </c>
      <c r="F87" s="444"/>
      <c r="G87" s="444"/>
      <c r="H87" s="444"/>
      <c r="I87" s="444"/>
      <c r="J87" s="444"/>
      <c r="K87" s="444"/>
      <c r="L87" s="444"/>
      <c r="M87" s="444"/>
      <c r="N87" s="444"/>
      <c r="O87" s="189"/>
      <c r="P87" s="91"/>
      <c r="Q87" s="462">
        <f>SUM(F83:Q83)</f>
        <v>0</v>
      </c>
      <c r="AA87" s="189"/>
      <c r="AB87" s="91"/>
      <c r="AC87" s="462">
        <f>SUM(R83:AC83)</f>
        <v>0</v>
      </c>
      <c r="AL87" s="147"/>
    </row>
    <row r="88" spans="1:38">
      <c r="A88" s="504" t="s">
        <v>408</v>
      </c>
      <c r="B88" s="68"/>
      <c r="C88" s="188"/>
      <c r="D88" s="444"/>
      <c r="E88" s="444"/>
      <c r="F88" s="464">
        <f>SUM(B83:F83)</f>
        <v>0</v>
      </c>
      <c r="G88" s="444"/>
      <c r="H88" s="444"/>
      <c r="I88" s="444"/>
      <c r="J88" s="444"/>
      <c r="K88" s="444"/>
      <c r="L88" s="444"/>
      <c r="M88" s="444"/>
      <c r="N88" s="444"/>
      <c r="O88" s="189"/>
      <c r="P88" s="91"/>
      <c r="R88" s="465">
        <f>SUM(G83:R83)</f>
        <v>0</v>
      </c>
      <c r="AA88" s="189"/>
      <c r="AB88" s="91"/>
      <c r="AD88" s="465">
        <f>SUM(S83:AD83)</f>
        <v>0</v>
      </c>
      <c r="AL88" s="147"/>
    </row>
    <row r="89" spans="1:38">
      <c r="A89" s="505" t="s">
        <v>409</v>
      </c>
      <c r="B89" s="53"/>
      <c r="C89" s="53"/>
      <c r="D89" s="444"/>
      <c r="E89" s="444"/>
      <c r="F89" s="444"/>
      <c r="G89" s="467">
        <f>SUM(B83:G83)</f>
        <v>0</v>
      </c>
      <c r="H89" s="444"/>
      <c r="I89" s="444"/>
      <c r="J89" s="444"/>
      <c r="K89" s="444"/>
      <c r="L89" s="444"/>
      <c r="M89" s="444"/>
      <c r="N89" s="444"/>
      <c r="O89" s="189"/>
      <c r="P89" s="91"/>
      <c r="S89" s="466">
        <f>SUM(H83:S83)</f>
        <v>0</v>
      </c>
      <c r="AA89" s="189"/>
      <c r="AB89" s="91"/>
      <c r="AE89" s="466">
        <f>SUM(T83:AE83)</f>
        <v>0</v>
      </c>
      <c r="AL89" s="147"/>
    </row>
    <row r="90" spans="1:38">
      <c r="A90" s="506" t="s">
        <v>410</v>
      </c>
      <c r="B90" s="68"/>
      <c r="C90" s="188"/>
      <c r="D90" s="444"/>
      <c r="E90" s="444"/>
      <c r="F90" s="444"/>
      <c r="G90" s="444"/>
      <c r="H90" s="473">
        <f>SUM(B83:H83)</f>
        <v>0</v>
      </c>
      <c r="I90" s="444"/>
      <c r="J90" s="444"/>
      <c r="K90" s="444"/>
      <c r="L90" s="444"/>
      <c r="M90" s="444"/>
      <c r="N90" s="444"/>
      <c r="O90" s="189"/>
      <c r="P90" s="91"/>
      <c r="T90" s="474">
        <f>SUM(I83:T83)</f>
        <v>0</v>
      </c>
      <c r="AA90" s="189"/>
      <c r="AB90" s="91"/>
      <c r="AF90" s="474">
        <f>SUM(U83:AF83)</f>
        <v>0</v>
      </c>
      <c r="AL90" s="147"/>
    </row>
    <row r="91" spans="1:38">
      <c r="A91" s="507" t="s">
        <v>411</v>
      </c>
      <c r="B91" s="53"/>
      <c r="C91" s="53"/>
      <c r="D91" s="444"/>
      <c r="E91" s="444"/>
      <c r="F91" s="444"/>
      <c r="G91" s="444"/>
      <c r="H91" s="444"/>
      <c r="I91" s="479">
        <f>SUM(B83:I83)</f>
        <v>0</v>
      </c>
      <c r="J91" s="444"/>
      <c r="K91" s="444"/>
      <c r="L91" s="444"/>
      <c r="M91" s="444"/>
      <c r="N91" s="444"/>
      <c r="O91" s="189"/>
      <c r="P91" s="91"/>
      <c r="U91" s="475">
        <f>SUM(J83:U83)</f>
        <v>0</v>
      </c>
      <c r="AA91" s="189"/>
      <c r="AB91" s="91"/>
      <c r="AG91" s="475">
        <f>SUM(V83:AG83)</f>
        <v>0</v>
      </c>
      <c r="AL91" s="147"/>
    </row>
    <row r="92" spans="1:38">
      <c r="A92" s="508" t="s">
        <v>412</v>
      </c>
      <c r="B92" s="68"/>
      <c r="C92" s="188"/>
      <c r="D92" s="444"/>
      <c r="E92" s="444"/>
      <c r="F92" s="444"/>
      <c r="G92" s="444"/>
      <c r="H92" s="444"/>
      <c r="I92" s="444"/>
      <c r="J92" s="480">
        <f>SUM(B83:J83)</f>
        <v>0</v>
      </c>
      <c r="K92" s="444"/>
      <c r="L92" s="444"/>
      <c r="M92" s="444"/>
      <c r="N92" s="444"/>
      <c r="O92" s="189"/>
      <c r="P92" s="91"/>
      <c r="V92" s="476">
        <f>SUM(K83:V83)</f>
        <v>0</v>
      </c>
      <c r="AA92" s="189"/>
      <c r="AB92" s="91"/>
      <c r="AH92" s="476">
        <f>SUM(W83:AH83)</f>
        <v>0</v>
      </c>
      <c r="AL92" s="147"/>
    </row>
    <row r="93" spans="1:38">
      <c r="A93" s="509" t="s">
        <v>413</v>
      </c>
      <c r="B93" s="53"/>
      <c r="C93" s="53"/>
      <c r="D93" s="444"/>
      <c r="E93" s="444"/>
      <c r="F93" s="444"/>
      <c r="G93" s="444"/>
      <c r="H93" s="444"/>
      <c r="I93" s="444"/>
      <c r="J93" s="444"/>
      <c r="K93" s="481">
        <f>SUM(B83:K83)</f>
        <v>0</v>
      </c>
      <c r="L93" s="444"/>
      <c r="M93" s="444"/>
      <c r="N93" s="444"/>
      <c r="O93" s="189"/>
      <c r="P93" s="91"/>
      <c r="W93" s="477">
        <f>SUM(L83:W83)</f>
        <v>0</v>
      </c>
      <c r="AA93" s="189"/>
      <c r="AB93" s="91"/>
      <c r="AI93" s="477">
        <f>SUM(X83:AI83)</f>
        <v>0</v>
      </c>
      <c r="AL93" s="147"/>
    </row>
    <row r="94" spans="1:38">
      <c r="A94" s="510" t="s">
        <v>414</v>
      </c>
      <c r="B94" s="68"/>
      <c r="C94" s="188"/>
      <c r="D94" s="444"/>
      <c r="E94" s="444"/>
      <c r="F94" s="444"/>
      <c r="G94" s="444"/>
      <c r="H94" s="444"/>
      <c r="I94" s="444"/>
      <c r="J94" s="444"/>
      <c r="K94" s="444"/>
      <c r="L94" s="483">
        <f>SUM(B83:L83)</f>
        <v>0</v>
      </c>
      <c r="M94" s="444"/>
      <c r="N94" s="444"/>
      <c r="O94" s="189"/>
      <c r="P94" s="91"/>
      <c r="X94" s="478">
        <f>SUM(M83:X83)</f>
        <v>0</v>
      </c>
      <c r="AA94" s="189"/>
      <c r="AB94" s="91"/>
      <c r="AJ94" s="478">
        <f>SUM(Y83:AJ83)</f>
        <v>0</v>
      </c>
      <c r="AL94" s="147"/>
    </row>
    <row r="95" spans="1:38">
      <c r="A95" s="511" t="s">
        <v>415</v>
      </c>
      <c r="B95" s="53"/>
      <c r="C95" s="53"/>
      <c r="D95" s="444"/>
      <c r="E95" s="444"/>
      <c r="F95" s="444"/>
      <c r="G95" s="444"/>
      <c r="H95" s="444"/>
      <c r="I95" s="444"/>
      <c r="J95" s="444"/>
      <c r="K95" s="444"/>
      <c r="L95" s="444"/>
      <c r="M95" s="485">
        <f>SUM(B83:M83)</f>
        <v>0</v>
      </c>
      <c r="N95" s="444"/>
      <c r="O95" s="189"/>
      <c r="P95" s="91"/>
      <c r="Y95" s="484">
        <f>SUM(N83:Y83)</f>
        <v>0</v>
      </c>
      <c r="AA95" s="189"/>
      <c r="AB95" s="91"/>
      <c r="AK95" s="484">
        <f>SUM(Z83:AK83)</f>
        <v>0</v>
      </c>
      <c r="AL95" s="147"/>
    </row>
    <row r="96" spans="1:38" ht="12.9" thickBot="1">
      <c r="A96" s="512" t="s">
        <v>416</v>
      </c>
      <c r="B96" s="513"/>
      <c r="C96" s="191"/>
      <c r="D96" s="514"/>
      <c r="E96" s="514"/>
      <c r="F96" s="514"/>
      <c r="G96" s="514"/>
      <c r="H96" s="514"/>
      <c r="I96" s="514"/>
      <c r="J96" s="514"/>
      <c r="K96" s="514"/>
      <c r="L96" s="514"/>
      <c r="M96" s="514"/>
      <c r="N96" s="515">
        <f>SUM(B83:N83)</f>
        <v>0</v>
      </c>
      <c r="O96" s="271"/>
      <c r="P96" s="516"/>
      <c r="Q96" s="152"/>
      <c r="R96" s="152"/>
      <c r="S96" s="152"/>
      <c r="T96" s="152"/>
      <c r="U96" s="152"/>
      <c r="V96" s="152"/>
      <c r="W96" s="152"/>
      <c r="X96" s="152"/>
      <c r="Y96" s="152"/>
      <c r="Z96" s="517">
        <f>SUM(O83:Z83)</f>
        <v>0</v>
      </c>
      <c r="AA96" s="271"/>
      <c r="AB96" s="516"/>
      <c r="AC96" s="152"/>
      <c r="AD96" s="152"/>
      <c r="AE96" s="152"/>
      <c r="AF96" s="152"/>
      <c r="AG96" s="152"/>
      <c r="AH96" s="152"/>
      <c r="AI96" s="152"/>
      <c r="AJ96" s="152"/>
      <c r="AK96" s="152"/>
      <c r="AL96" s="518">
        <f>SUM(AA83:AL83)</f>
        <v>0</v>
      </c>
    </row>
    <row r="97" spans="1:38">
      <c r="A97" s="497" t="s">
        <v>421</v>
      </c>
      <c r="B97" s="498">
        <f>'Rahoitus Y3'!K19</f>
        <v>0</v>
      </c>
      <c r="C97" s="524">
        <f>B97-B98</f>
        <v>0</v>
      </c>
      <c r="D97" s="524">
        <f t="shared" ref="D97:AL97" si="9">C97-C98</f>
        <v>0</v>
      </c>
      <c r="E97" s="524">
        <f t="shared" si="9"/>
        <v>0</v>
      </c>
      <c r="F97" s="524">
        <f t="shared" si="9"/>
        <v>0</v>
      </c>
      <c r="G97" s="524">
        <f t="shared" si="9"/>
        <v>0</v>
      </c>
      <c r="H97" s="524">
        <f t="shared" si="9"/>
        <v>0</v>
      </c>
      <c r="I97" s="524">
        <f t="shared" si="9"/>
        <v>0</v>
      </c>
      <c r="J97" s="524">
        <f t="shared" si="9"/>
        <v>0</v>
      </c>
      <c r="K97" s="524">
        <f t="shared" si="9"/>
        <v>0</v>
      </c>
      <c r="L97" s="524">
        <f t="shared" si="9"/>
        <v>0</v>
      </c>
      <c r="M97" s="524">
        <f t="shared" si="9"/>
        <v>0</v>
      </c>
      <c r="N97" s="524">
        <f t="shared" si="9"/>
        <v>0</v>
      </c>
      <c r="O97" s="524">
        <f t="shared" si="9"/>
        <v>0</v>
      </c>
      <c r="P97" s="524">
        <f t="shared" si="9"/>
        <v>0</v>
      </c>
      <c r="Q97" s="524">
        <f t="shared" si="9"/>
        <v>0</v>
      </c>
      <c r="R97" s="524">
        <f t="shared" si="9"/>
        <v>0</v>
      </c>
      <c r="S97" s="524">
        <f t="shared" si="9"/>
        <v>0</v>
      </c>
      <c r="T97" s="524">
        <f t="shared" si="9"/>
        <v>0</v>
      </c>
      <c r="U97" s="524">
        <f t="shared" si="9"/>
        <v>0</v>
      </c>
      <c r="V97" s="524">
        <f t="shared" si="9"/>
        <v>0</v>
      </c>
      <c r="W97" s="524">
        <f t="shared" si="9"/>
        <v>0</v>
      </c>
      <c r="X97" s="524">
        <f t="shared" si="9"/>
        <v>0</v>
      </c>
      <c r="Y97" s="524">
        <f t="shared" si="9"/>
        <v>0</v>
      </c>
      <c r="Z97" s="524">
        <f t="shared" si="9"/>
        <v>0</v>
      </c>
      <c r="AA97" s="524">
        <f t="shared" si="9"/>
        <v>0</v>
      </c>
      <c r="AB97" s="524">
        <f t="shared" si="9"/>
        <v>0</v>
      </c>
      <c r="AC97" s="524">
        <f t="shared" si="9"/>
        <v>0</v>
      </c>
      <c r="AD97" s="524">
        <f t="shared" si="9"/>
        <v>0</v>
      </c>
      <c r="AE97" s="524">
        <f t="shared" si="9"/>
        <v>0</v>
      </c>
      <c r="AF97" s="524">
        <f t="shared" si="9"/>
        <v>0</v>
      </c>
      <c r="AG97" s="524">
        <f t="shared" si="9"/>
        <v>0</v>
      </c>
      <c r="AH97" s="524">
        <f t="shared" si="9"/>
        <v>0</v>
      </c>
      <c r="AI97" s="524">
        <f t="shared" si="9"/>
        <v>0</v>
      </c>
      <c r="AJ97" s="524">
        <f t="shared" si="9"/>
        <v>0</v>
      </c>
      <c r="AK97" s="524">
        <f t="shared" si="9"/>
        <v>0</v>
      </c>
      <c r="AL97" s="525">
        <f t="shared" si="9"/>
        <v>0</v>
      </c>
    </row>
    <row r="98" spans="1:38">
      <c r="A98" s="500" t="s">
        <v>403</v>
      </c>
      <c r="B98" s="68">
        <f>IF(B97=0,0,IF('Rahoitus Y3'!$I19=2,0,IF('Rahoitus Y3'!$I19=1,0,'Rahoitus Y3'!$K19/(2*'Rahoitus Y3'!$J19))))</f>
        <v>0</v>
      </c>
      <c r="C98" s="188"/>
      <c r="D98" s="189"/>
      <c r="E98" s="189"/>
      <c r="F98" s="189"/>
      <c r="G98" s="189"/>
      <c r="H98" s="68">
        <f>IF(H97=0,0,IF('Rahoitus Y3'!$I19=2,0,IF('Rahoitus Y3'!$I19=1,0,'Rahoitus Y3'!$K19/(2*'Rahoitus Y3'!$J19))))</f>
        <v>0</v>
      </c>
      <c r="I98" s="189"/>
      <c r="J98" s="189"/>
      <c r="K98" s="189"/>
      <c r="L98" s="189"/>
      <c r="M98" s="189"/>
      <c r="N98" s="68">
        <f>IF(N97=0,0,IF('Rahoitus Y3'!$I19=2,0,IF('Rahoitus Y3'!$I19=1,'Rahoitus Y3'!$K19/(2*'Rahoitus Y3'!$J19-2),'Rahoitus Y3'!$K19/(2*'Rahoitus Y3'!$J19))))</f>
        <v>0</v>
      </c>
      <c r="O98" s="189"/>
      <c r="P98" s="91"/>
      <c r="T98" s="68">
        <f>IF(T97=0,0,IF('Rahoitus Y3'!$I19=2,0,IF('Rahoitus Y3'!$I19=1,'Rahoitus Y3'!$K19/(2*'Rahoitus Y3'!$J19-2),'Rahoitus Y3'!$K19/(2*'Rahoitus Y3'!$J19))))</f>
        <v>0</v>
      </c>
      <c r="Z98" s="68">
        <f>IF(Z97=0,0,IF('Rahoitus Y3'!$I19=2,'Rahoitus Y3'!$K19/(2*'Rahoitus Y3'!$J19-4),IF('Rahoitus Y3'!$I19=1,'Rahoitus Y3'!$K19/(2*'Rahoitus Y3'!$J19-2),'Rahoitus Y3'!$K19/(2*'Rahoitus Y3'!$J19))))</f>
        <v>0</v>
      </c>
      <c r="AF98" s="68">
        <f>IF(AF97=0,0,IF('Rahoitus Y3'!$I19=2,'Rahoitus Y3'!$K19/(2*'Rahoitus Y3'!$J19-4),IF('Rahoitus Y3'!$I19=1,'Rahoitus Y3'!$K19/(2*'Rahoitus Y3'!$J19-2),'Rahoitus Y3'!$K19/(2*'Rahoitus Y3'!$J19))))</f>
        <v>0</v>
      </c>
      <c r="AL98" s="68">
        <f>IF(AL97=0,0,IF('Rahoitus Y3'!$I19=2,'Rahoitus Y3'!$K19/(2*'Rahoitus Y3'!$J19-4),IF('Rahoitus Y3'!$I19=1,'Rahoitus Y3'!$K19/(2*'Rahoitus Y3'!$J19-2),'Rahoitus Y3'!$K19/(2*'Rahoitus Y3'!$J19))))</f>
        <v>0</v>
      </c>
    </row>
    <row r="99" spans="1:38">
      <c r="A99" s="500" t="s">
        <v>42</v>
      </c>
      <c r="B99" s="441">
        <f>'Rahoitus Y3'!H19</f>
        <v>0</v>
      </c>
      <c r="C99" s="442">
        <f>B99</f>
        <v>0</v>
      </c>
      <c r="D99" s="442">
        <f t="shared" ref="D99:AL99" si="10">C99</f>
        <v>0</v>
      </c>
      <c r="E99" s="442">
        <f t="shared" si="10"/>
        <v>0</v>
      </c>
      <c r="F99" s="442">
        <f t="shared" si="10"/>
        <v>0</v>
      </c>
      <c r="G99" s="442">
        <f t="shared" si="10"/>
        <v>0</v>
      </c>
      <c r="H99" s="442">
        <f t="shared" si="10"/>
        <v>0</v>
      </c>
      <c r="I99" s="442">
        <f t="shared" si="10"/>
        <v>0</v>
      </c>
      <c r="J99" s="442">
        <f t="shared" si="10"/>
        <v>0</v>
      </c>
      <c r="K99" s="442">
        <f t="shared" si="10"/>
        <v>0</v>
      </c>
      <c r="L99" s="442">
        <f t="shared" si="10"/>
        <v>0</v>
      </c>
      <c r="M99" s="442">
        <f t="shared" si="10"/>
        <v>0</v>
      </c>
      <c r="N99" s="442">
        <f t="shared" si="10"/>
        <v>0</v>
      </c>
      <c r="O99" s="442">
        <f t="shared" si="10"/>
        <v>0</v>
      </c>
      <c r="P99" s="442">
        <f t="shared" si="10"/>
        <v>0</v>
      </c>
      <c r="Q99" s="442">
        <f t="shared" si="10"/>
        <v>0</v>
      </c>
      <c r="R99" s="442">
        <f t="shared" si="10"/>
        <v>0</v>
      </c>
      <c r="S99" s="442">
        <f t="shared" si="10"/>
        <v>0</v>
      </c>
      <c r="T99" s="442">
        <f t="shared" si="10"/>
        <v>0</v>
      </c>
      <c r="U99" s="442">
        <f t="shared" si="10"/>
        <v>0</v>
      </c>
      <c r="V99" s="442">
        <f t="shared" si="10"/>
        <v>0</v>
      </c>
      <c r="W99" s="442">
        <f t="shared" si="10"/>
        <v>0</v>
      </c>
      <c r="X99" s="442">
        <f t="shared" si="10"/>
        <v>0</v>
      </c>
      <c r="Y99" s="442">
        <f t="shared" si="10"/>
        <v>0</v>
      </c>
      <c r="Z99" s="442">
        <f t="shared" si="10"/>
        <v>0</v>
      </c>
      <c r="AA99" s="442">
        <f t="shared" si="10"/>
        <v>0</v>
      </c>
      <c r="AB99" s="442">
        <f t="shared" si="10"/>
        <v>0</v>
      </c>
      <c r="AC99" s="442">
        <f t="shared" si="10"/>
        <v>0</v>
      </c>
      <c r="AD99" s="442">
        <f t="shared" si="10"/>
        <v>0</v>
      </c>
      <c r="AE99" s="442">
        <f t="shared" si="10"/>
        <v>0</v>
      </c>
      <c r="AF99" s="442">
        <f t="shared" si="10"/>
        <v>0</v>
      </c>
      <c r="AG99" s="442">
        <f t="shared" si="10"/>
        <v>0</v>
      </c>
      <c r="AH99" s="442">
        <f t="shared" si="10"/>
        <v>0</v>
      </c>
      <c r="AI99" s="442">
        <f t="shared" si="10"/>
        <v>0</v>
      </c>
      <c r="AJ99" s="442">
        <f t="shared" si="10"/>
        <v>0</v>
      </c>
      <c r="AK99" s="442">
        <f t="shared" si="10"/>
        <v>0</v>
      </c>
      <c r="AL99" s="527">
        <f t="shared" si="10"/>
        <v>0</v>
      </c>
    </row>
    <row r="100" spans="1:38" s="534" customFormat="1">
      <c r="A100" s="532" t="s">
        <v>455</v>
      </c>
      <c r="B100" s="533">
        <f>B97-B98</f>
        <v>0</v>
      </c>
      <c r="C100" s="533">
        <f t="shared" ref="C100:AL100" si="11">C97-C98</f>
        <v>0</v>
      </c>
      <c r="D100" s="533">
        <f t="shared" si="11"/>
        <v>0</v>
      </c>
      <c r="E100" s="533">
        <f t="shared" si="11"/>
        <v>0</v>
      </c>
      <c r="F100" s="533">
        <f t="shared" si="11"/>
        <v>0</v>
      </c>
      <c r="G100" s="533">
        <f t="shared" si="11"/>
        <v>0</v>
      </c>
      <c r="H100" s="533">
        <f t="shared" si="11"/>
        <v>0</v>
      </c>
      <c r="I100" s="533">
        <f t="shared" si="11"/>
        <v>0</v>
      </c>
      <c r="J100" s="533">
        <f t="shared" si="11"/>
        <v>0</v>
      </c>
      <c r="K100" s="533">
        <f t="shared" si="11"/>
        <v>0</v>
      </c>
      <c r="L100" s="533">
        <f t="shared" si="11"/>
        <v>0</v>
      </c>
      <c r="M100" s="533">
        <f t="shared" si="11"/>
        <v>0</v>
      </c>
      <c r="N100" s="533">
        <f t="shared" si="11"/>
        <v>0</v>
      </c>
      <c r="O100" s="533">
        <f t="shared" si="11"/>
        <v>0</v>
      </c>
      <c r="P100" s="533">
        <f t="shared" si="11"/>
        <v>0</v>
      </c>
      <c r="Q100" s="533">
        <f t="shared" si="11"/>
        <v>0</v>
      </c>
      <c r="R100" s="533">
        <f t="shared" si="11"/>
        <v>0</v>
      </c>
      <c r="S100" s="533">
        <f t="shared" si="11"/>
        <v>0</v>
      </c>
      <c r="T100" s="533">
        <f t="shared" si="11"/>
        <v>0</v>
      </c>
      <c r="U100" s="533">
        <f t="shared" si="11"/>
        <v>0</v>
      </c>
      <c r="V100" s="533">
        <f t="shared" si="11"/>
        <v>0</v>
      </c>
      <c r="W100" s="533">
        <f t="shared" si="11"/>
        <v>0</v>
      </c>
      <c r="X100" s="533">
        <f t="shared" si="11"/>
        <v>0</v>
      </c>
      <c r="Y100" s="533">
        <f t="shared" si="11"/>
        <v>0</v>
      </c>
      <c r="Z100" s="533">
        <f t="shared" si="11"/>
        <v>0</v>
      </c>
      <c r="AA100" s="533">
        <f t="shared" si="11"/>
        <v>0</v>
      </c>
      <c r="AB100" s="533">
        <f t="shared" si="11"/>
        <v>0</v>
      </c>
      <c r="AC100" s="533">
        <f t="shared" si="11"/>
        <v>0</v>
      </c>
      <c r="AD100" s="533">
        <f t="shared" si="11"/>
        <v>0</v>
      </c>
      <c r="AE100" s="533">
        <f t="shared" si="11"/>
        <v>0</v>
      </c>
      <c r="AF100" s="533">
        <f t="shared" si="11"/>
        <v>0</v>
      </c>
      <c r="AG100" s="533">
        <f t="shared" si="11"/>
        <v>0</v>
      </c>
      <c r="AH100" s="533">
        <f t="shared" si="11"/>
        <v>0</v>
      </c>
      <c r="AI100" s="533">
        <f t="shared" si="11"/>
        <v>0</v>
      </c>
      <c r="AJ100" s="533">
        <f t="shared" si="11"/>
        <v>0</v>
      </c>
      <c r="AK100" s="533">
        <f t="shared" si="11"/>
        <v>0</v>
      </c>
      <c r="AL100" s="533">
        <f t="shared" si="11"/>
        <v>0</v>
      </c>
    </row>
    <row r="101" spans="1:38">
      <c r="A101" s="500" t="s">
        <v>404</v>
      </c>
      <c r="B101" s="443">
        <f>(B97)*B99/2</f>
        <v>0</v>
      </c>
      <c r="C101" s="443">
        <f>(C97)*C99/12</f>
        <v>0</v>
      </c>
      <c r="D101" s="443">
        <f t="shared" ref="D101:AL101" si="12">(D97)*D99/12</f>
        <v>0</v>
      </c>
      <c r="E101" s="443">
        <f t="shared" si="12"/>
        <v>0</v>
      </c>
      <c r="F101" s="443">
        <f t="shared" si="12"/>
        <v>0</v>
      </c>
      <c r="G101" s="443">
        <f t="shared" si="12"/>
        <v>0</v>
      </c>
      <c r="H101" s="443">
        <f t="shared" si="12"/>
        <v>0</v>
      </c>
      <c r="I101" s="443">
        <f t="shared" si="12"/>
        <v>0</v>
      </c>
      <c r="J101" s="443">
        <f t="shared" si="12"/>
        <v>0</v>
      </c>
      <c r="K101" s="443">
        <f t="shared" si="12"/>
        <v>0</v>
      </c>
      <c r="L101" s="443">
        <f t="shared" si="12"/>
        <v>0</v>
      </c>
      <c r="M101" s="443">
        <f t="shared" si="12"/>
        <v>0</v>
      </c>
      <c r="N101" s="443">
        <f t="shared" si="12"/>
        <v>0</v>
      </c>
      <c r="O101" s="443">
        <f t="shared" si="12"/>
        <v>0</v>
      </c>
      <c r="P101" s="443">
        <f t="shared" si="12"/>
        <v>0</v>
      </c>
      <c r="Q101" s="443">
        <f t="shared" si="12"/>
        <v>0</v>
      </c>
      <c r="R101" s="443">
        <f t="shared" si="12"/>
        <v>0</v>
      </c>
      <c r="S101" s="443">
        <f t="shared" si="12"/>
        <v>0</v>
      </c>
      <c r="T101" s="443">
        <f t="shared" si="12"/>
        <v>0</v>
      </c>
      <c r="U101" s="443">
        <f t="shared" si="12"/>
        <v>0</v>
      </c>
      <c r="V101" s="443">
        <f t="shared" si="12"/>
        <v>0</v>
      </c>
      <c r="W101" s="443">
        <f t="shared" si="12"/>
        <v>0</v>
      </c>
      <c r="X101" s="443">
        <f t="shared" si="12"/>
        <v>0</v>
      </c>
      <c r="Y101" s="443">
        <f t="shared" si="12"/>
        <v>0</v>
      </c>
      <c r="Z101" s="443">
        <f t="shared" si="12"/>
        <v>0</v>
      </c>
      <c r="AA101" s="443">
        <f t="shared" si="12"/>
        <v>0</v>
      </c>
      <c r="AB101" s="443">
        <f t="shared" si="12"/>
        <v>0</v>
      </c>
      <c r="AC101" s="443">
        <f t="shared" si="12"/>
        <v>0</v>
      </c>
      <c r="AD101" s="443">
        <f t="shared" si="12"/>
        <v>0</v>
      </c>
      <c r="AE101" s="443">
        <f t="shared" si="12"/>
        <v>0</v>
      </c>
      <c r="AF101" s="443">
        <f t="shared" si="12"/>
        <v>0</v>
      </c>
      <c r="AG101" s="443">
        <f t="shared" si="12"/>
        <v>0</v>
      </c>
      <c r="AH101" s="443">
        <f t="shared" si="12"/>
        <v>0</v>
      </c>
      <c r="AI101" s="443">
        <f t="shared" si="12"/>
        <v>0</v>
      </c>
      <c r="AJ101" s="443">
        <f t="shared" si="12"/>
        <v>0</v>
      </c>
      <c r="AK101" s="443">
        <f t="shared" si="12"/>
        <v>0</v>
      </c>
      <c r="AL101" s="528">
        <f t="shared" si="12"/>
        <v>0</v>
      </c>
    </row>
    <row r="102" spans="1:38">
      <c r="A102" s="501" t="s">
        <v>406</v>
      </c>
      <c r="B102" s="453">
        <f>B101</f>
        <v>0</v>
      </c>
      <c r="C102" s="188"/>
      <c r="D102" s="189"/>
      <c r="E102" s="189"/>
      <c r="F102" s="189"/>
      <c r="G102" s="189"/>
      <c r="H102" s="189"/>
      <c r="I102" s="189"/>
      <c r="J102" s="189"/>
      <c r="K102" s="189"/>
      <c r="L102" s="189"/>
      <c r="M102" s="189"/>
      <c r="N102" s="454">
        <f>SUM(C101:N101)</f>
        <v>0</v>
      </c>
      <c r="O102" s="189"/>
      <c r="P102" s="91"/>
      <c r="Z102" s="454">
        <f>SUM(O101:Z101)</f>
        <v>0</v>
      </c>
      <c r="AL102" s="147"/>
    </row>
    <row r="103" spans="1:38">
      <c r="A103" s="502" t="s">
        <v>407</v>
      </c>
      <c r="B103" s="68"/>
      <c r="C103" s="458">
        <f>B102+C101</f>
        <v>0</v>
      </c>
      <c r="D103" s="189"/>
      <c r="E103" s="189"/>
      <c r="F103" s="189"/>
      <c r="G103" s="189"/>
      <c r="H103" s="189"/>
      <c r="I103" s="189"/>
      <c r="J103" s="189"/>
      <c r="K103" s="189"/>
      <c r="L103" s="189"/>
      <c r="M103" s="189"/>
      <c r="O103" s="459">
        <f>SUM(D101:O101)</f>
        <v>0</v>
      </c>
      <c r="P103" s="91"/>
      <c r="AA103" s="459">
        <f>SUM(P101:AA101)</f>
        <v>0</v>
      </c>
      <c r="AB103" s="91"/>
      <c r="AL103" s="147"/>
    </row>
    <row r="104" spans="1:38">
      <c r="A104" s="503" t="s">
        <v>418</v>
      </c>
      <c r="B104" s="53"/>
      <c r="C104" s="53"/>
      <c r="D104" s="460">
        <f>SUM(B101:D101)</f>
        <v>0</v>
      </c>
      <c r="E104" s="444"/>
      <c r="F104" s="444"/>
      <c r="G104" s="444"/>
      <c r="H104" s="444"/>
      <c r="I104" s="444"/>
      <c r="J104" s="444"/>
      <c r="K104" s="444"/>
      <c r="L104" s="444"/>
      <c r="M104" s="444"/>
      <c r="N104" s="444"/>
      <c r="O104" s="189"/>
      <c r="P104" s="461">
        <f>SUM(E101:P101)</f>
        <v>0</v>
      </c>
      <c r="AA104" s="189"/>
      <c r="AB104" s="461">
        <f>SUM(Q101:AB101)</f>
        <v>0</v>
      </c>
      <c r="AL104" s="147"/>
    </row>
    <row r="105" spans="1:38">
      <c r="A105" s="550" t="s">
        <v>417</v>
      </c>
      <c r="B105" s="68"/>
      <c r="C105" s="188"/>
      <c r="D105" s="444"/>
      <c r="E105" s="463">
        <f>SUM(B101:E101)</f>
        <v>0</v>
      </c>
      <c r="F105" s="444"/>
      <c r="G105" s="444"/>
      <c r="H105" s="444"/>
      <c r="I105" s="444"/>
      <c r="J105" s="444"/>
      <c r="K105" s="444"/>
      <c r="L105" s="444"/>
      <c r="M105" s="444"/>
      <c r="N105" s="444"/>
      <c r="O105" s="189"/>
      <c r="P105" s="91"/>
      <c r="Q105" s="462">
        <f>SUM(F101:Q101)</f>
        <v>0</v>
      </c>
      <c r="AA105" s="189"/>
      <c r="AB105" s="91"/>
      <c r="AC105" s="462">
        <f>SUM(R101:AC101)</f>
        <v>0</v>
      </c>
      <c r="AL105" s="147"/>
    </row>
    <row r="106" spans="1:38">
      <c r="A106" s="504" t="s">
        <v>408</v>
      </c>
      <c r="B106" s="68"/>
      <c r="C106" s="188"/>
      <c r="D106" s="444"/>
      <c r="E106" s="444"/>
      <c r="F106" s="464">
        <f>SUM(B101:F101)</f>
        <v>0</v>
      </c>
      <c r="G106" s="444"/>
      <c r="H106" s="444"/>
      <c r="I106" s="444"/>
      <c r="J106" s="444"/>
      <c r="K106" s="444"/>
      <c r="L106" s="444"/>
      <c r="M106" s="444"/>
      <c r="N106" s="444"/>
      <c r="O106" s="189"/>
      <c r="P106" s="91"/>
      <c r="R106" s="465">
        <f>SUM(G101:R101)</f>
        <v>0</v>
      </c>
      <c r="AA106" s="189"/>
      <c r="AB106" s="91"/>
      <c r="AD106" s="465">
        <f>SUM(S101:AD101)</f>
        <v>0</v>
      </c>
      <c r="AL106" s="147"/>
    </row>
    <row r="107" spans="1:38">
      <c r="A107" s="505" t="s">
        <v>409</v>
      </c>
      <c r="B107" s="53"/>
      <c r="C107" s="53"/>
      <c r="D107" s="444"/>
      <c r="E107" s="444"/>
      <c r="F107" s="444"/>
      <c r="G107" s="467">
        <f>SUM(B101:G101)</f>
        <v>0</v>
      </c>
      <c r="H107" s="444"/>
      <c r="I107" s="444"/>
      <c r="J107" s="444"/>
      <c r="K107" s="444"/>
      <c r="L107" s="444"/>
      <c r="M107" s="444"/>
      <c r="N107" s="444"/>
      <c r="O107" s="189"/>
      <c r="P107" s="91"/>
      <c r="S107" s="466">
        <f>SUM(H101:S101)</f>
        <v>0</v>
      </c>
      <c r="AA107" s="189"/>
      <c r="AB107" s="91"/>
      <c r="AE107" s="466">
        <f>SUM(T101:AE101)</f>
        <v>0</v>
      </c>
      <c r="AL107" s="147"/>
    </row>
    <row r="108" spans="1:38">
      <c r="A108" s="506" t="s">
        <v>410</v>
      </c>
      <c r="B108" s="68"/>
      <c r="C108" s="188"/>
      <c r="D108" s="444"/>
      <c r="E108" s="444"/>
      <c r="F108" s="444"/>
      <c r="G108" s="444"/>
      <c r="H108" s="473">
        <f>SUM(B101:H101)</f>
        <v>0</v>
      </c>
      <c r="I108" s="444"/>
      <c r="J108" s="444"/>
      <c r="K108" s="444"/>
      <c r="L108" s="444"/>
      <c r="M108" s="444"/>
      <c r="N108" s="444"/>
      <c r="O108" s="189"/>
      <c r="P108" s="91"/>
      <c r="T108" s="474">
        <f>SUM(I101:T101)</f>
        <v>0</v>
      </c>
      <c r="AA108" s="189"/>
      <c r="AB108" s="91"/>
      <c r="AF108" s="474">
        <f>SUM(U101:AF101)</f>
        <v>0</v>
      </c>
      <c r="AL108" s="147"/>
    </row>
    <row r="109" spans="1:38">
      <c r="A109" s="507" t="s">
        <v>411</v>
      </c>
      <c r="B109" s="53"/>
      <c r="C109" s="53"/>
      <c r="D109" s="444"/>
      <c r="E109" s="444"/>
      <c r="F109" s="444"/>
      <c r="G109" s="444"/>
      <c r="H109" s="444"/>
      <c r="I109" s="479">
        <f>SUM(B101:I101)</f>
        <v>0</v>
      </c>
      <c r="J109" s="444"/>
      <c r="K109" s="444"/>
      <c r="L109" s="444"/>
      <c r="M109" s="444"/>
      <c r="N109" s="444"/>
      <c r="O109" s="189"/>
      <c r="P109" s="91"/>
      <c r="U109" s="475">
        <f>SUM(J101:U101)</f>
        <v>0</v>
      </c>
      <c r="AA109" s="189"/>
      <c r="AB109" s="91"/>
      <c r="AG109" s="475">
        <f>SUM(V101:AG101)</f>
        <v>0</v>
      </c>
      <c r="AL109" s="147"/>
    </row>
    <row r="110" spans="1:38">
      <c r="A110" s="508" t="s">
        <v>412</v>
      </c>
      <c r="B110" s="68"/>
      <c r="C110" s="188"/>
      <c r="D110" s="444"/>
      <c r="E110" s="444"/>
      <c r="F110" s="444"/>
      <c r="G110" s="444"/>
      <c r="H110" s="444"/>
      <c r="I110" s="444"/>
      <c r="J110" s="480">
        <f>SUM(B101:J101)</f>
        <v>0</v>
      </c>
      <c r="K110" s="444"/>
      <c r="L110" s="444"/>
      <c r="M110" s="444"/>
      <c r="N110" s="444"/>
      <c r="O110" s="189"/>
      <c r="P110" s="91"/>
      <c r="V110" s="476">
        <f>SUM(K101:V101)</f>
        <v>0</v>
      </c>
      <c r="AA110" s="189"/>
      <c r="AB110" s="91"/>
      <c r="AH110" s="476">
        <f>SUM(W101:AH101)</f>
        <v>0</v>
      </c>
      <c r="AL110" s="147"/>
    </row>
    <row r="111" spans="1:38">
      <c r="A111" s="509" t="s">
        <v>413</v>
      </c>
      <c r="B111" s="53"/>
      <c r="C111" s="53"/>
      <c r="D111" s="444"/>
      <c r="E111" s="444"/>
      <c r="F111" s="444"/>
      <c r="G111" s="444"/>
      <c r="H111" s="444"/>
      <c r="I111" s="444"/>
      <c r="J111" s="444"/>
      <c r="K111" s="481">
        <f>SUM(B101:K101)</f>
        <v>0</v>
      </c>
      <c r="L111" s="444"/>
      <c r="M111" s="444"/>
      <c r="N111" s="444"/>
      <c r="O111" s="189"/>
      <c r="P111" s="91"/>
      <c r="W111" s="477">
        <f>SUM(L101:W101)</f>
        <v>0</v>
      </c>
      <c r="AA111" s="189"/>
      <c r="AB111" s="91"/>
      <c r="AI111" s="477">
        <f>SUM(X101:AI101)</f>
        <v>0</v>
      </c>
      <c r="AL111" s="147"/>
    </row>
    <row r="112" spans="1:38">
      <c r="A112" s="510" t="s">
        <v>414</v>
      </c>
      <c r="B112" s="68"/>
      <c r="C112" s="188"/>
      <c r="D112" s="444"/>
      <c r="E112" s="444"/>
      <c r="F112" s="444"/>
      <c r="G112" s="444"/>
      <c r="H112" s="444"/>
      <c r="I112" s="444"/>
      <c r="J112" s="444"/>
      <c r="K112" s="444"/>
      <c r="L112" s="483">
        <f>SUM(B101:L101)</f>
        <v>0</v>
      </c>
      <c r="M112" s="444"/>
      <c r="N112" s="444"/>
      <c r="O112" s="189"/>
      <c r="P112" s="91"/>
      <c r="X112" s="478">
        <f>SUM(M101:X101)</f>
        <v>0</v>
      </c>
      <c r="AA112" s="189"/>
      <c r="AB112" s="91"/>
      <c r="AJ112" s="478">
        <f>SUM(Y101:AJ101)</f>
        <v>0</v>
      </c>
      <c r="AL112" s="147"/>
    </row>
    <row r="113" spans="1:38">
      <c r="A113" s="511" t="s">
        <v>415</v>
      </c>
      <c r="B113" s="53"/>
      <c r="C113" s="53"/>
      <c r="D113" s="444"/>
      <c r="E113" s="444"/>
      <c r="F113" s="444"/>
      <c r="G113" s="444"/>
      <c r="H113" s="444"/>
      <c r="I113" s="444"/>
      <c r="J113" s="444"/>
      <c r="K113" s="444"/>
      <c r="L113" s="444"/>
      <c r="M113" s="485">
        <f>SUM(B101:M101)</f>
        <v>0</v>
      </c>
      <c r="N113" s="444"/>
      <c r="O113" s="189"/>
      <c r="P113" s="91"/>
      <c r="Y113" s="484">
        <f>SUM(N101:Y101)</f>
        <v>0</v>
      </c>
      <c r="AA113" s="189"/>
      <c r="AB113" s="91"/>
      <c r="AK113" s="484">
        <f>SUM(Z101:AK101)</f>
        <v>0</v>
      </c>
      <c r="AL113" s="147"/>
    </row>
    <row r="114" spans="1:38" ht="12.9" thickBot="1">
      <c r="A114" s="512" t="s">
        <v>416</v>
      </c>
      <c r="B114" s="513"/>
      <c r="C114" s="191"/>
      <c r="D114" s="514"/>
      <c r="E114" s="514"/>
      <c r="F114" s="514"/>
      <c r="G114" s="514"/>
      <c r="H114" s="514"/>
      <c r="I114" s="514"/>
      <c r="J114" s="514"/>
      <c r="K114" s="514"/>
      <c r="L114" s="514"/>
      <c r="M114" s="514"/>
      <c r="N114" s="515">
        <f>SUM(B101:N101)</f>
        <v>0</v>
      </c>
      <c r="O114" s="271"/>
      <c r="P114" s="516"/>
      <c r="Q114" s="152"/>
      <c r="R114" s="152"/>
      <c r="S114" s="152"/>
      <c r="T114" s="152"/>
      <c r="U114" s="152"/>
      <c r="V114" s="152"/>
      <c r="W114" s="152"/>
      <c r="X114" s="152"/>
      <c r="Y114" s="152"/>
      <c r="Z114" s="517">
        <f>SUM(O101:Z101)</f>
        <v>0</v>
      </c>
      <c r="AA114" s="271"/>
      <c r="AB114" s="516"/>
      <c r="AC114" s="152"/>
      <c r="AD114" s="152"/>
      <c r="AE114" s="152"/>
      <c r="AF114" s="152"/>
      <c r="AG114" s="152"/>
      <c r="AH114" s="152"/>
      <c r="AI114" s="152"/>
      <c r="AJ114" s="152"/>
      <c r="AK114" s="152"/>
      <c r="AL114" s="518">
        <f>SUM(AA101:AL101)</f>
        <v>0</v>
      </c>
    </row>
    <row r="115" spans="1:38">
      <c r="A115" s="497" t="s">
        <v>422</v>
      </c>
      <c r="B115" s="498">
        <f>'Rahoitus Y3'!K20</f>
        <v>0</v>
      </c>
      <c r="C115" s="524">
        <f>B115-B116</f>
        <v>0</v>
      </c>
      <c r="D115" s="524">
        <f t="shared" ref="D115:AL115" si="13">C115-C116</f>
        <v>0</v>
      </c>
      <c r="E115" s="524">
        <f t="shared" si="13"/>
        <v>0</v>
      </c>
      <c r="F115" s="524">
        <f t="shared" si="13"/>
        <v>0</v>
      </c>
      <c r="G115" s="524">
        <f t="shared" si="13"/>
        <v>0</v>
      </c>
      <c r="H115" s="524">
        <f t="shared" si="13"/>
        <v>0</v>
      </c>
      <c r="I115" s="524">
        <f t="shared" si="13"/>
        <v>0</v>
      </c>
      <c r="J115" s="524">
        <f t="shared" si="13"/>
        <v>0</v>
      </c>
      <c r="K115" s="524">
        <f t="shared" si="13"/>
        <v>0</v>
      </c>
      <c r="L115" s="524">
        <f t="shared" si="13"/>
        <v>0</v>
      </c>
      <c r="M115" s="524">
        <f t="shared" si="13"/>
        <v>0</v>
      </c>
      <c r="N115" s="524">
        <f t="shared" si="13"/>
        <v>0</v>
      </c>
      <c r="O115" s="524">
        <f t="shared" si="13"/>
        <v>0</v>
      </c>
      <c r="P115" s="524">
        <f t="shared" si="13"/>
        <v>0</v>
      </c>
      <c r="Q115" s="524">
        <f t="shared" si="13"/>
        <v>0</v>
      </c>
      <c r="R115" s="524">
        <f t="shared" si="13"/>
        <v>0</v>
      </c>
      <c r="S115" s="524">
        <f t="shared" si="13"/>
        <v>0</v>
      </c>
      <c r="T115" s="524">
        <f t="shared" si="13"/>
        <v>0</v>
      </c>
      <c r="U115" s="524">
        <f t="shared" si="13"/>
        <v>0</v>
      </c>
      <c r="V115" s="524">
        <f t="shared" si="13"/>
        <v>0</v>
      </c>
      <c r="W115" s="524">
        <f t="shared" si="13"/>
        <v>0</v>
      </c>
      <c r="X115" s="524">
        <f t="shared" si="13"/>
        <v>0</v>
      </c>
      <c r="Y115" s="524">
        <f t="shared" si="13"/>
        <v>0</v>
      </c>
      <c r="Z115" s="524">
        <f t="shared" si="13"/>
        <v>0</v>
      </c>
      <c r="AA115" s="524">
        <f t="shared" si="13"/>
        <v>0</v>
      </c>
      <c r="AB115" s="524">
        <f t="shared" si="13"/>
        <v>0</v>
      </c>
      <c r="AC115" s="524">
        <f t="shared" si="13"/>
        <v>0</v>
      </c>
      <c r="AD115" s="524">
        <f t="shared" si="13"/>
        <v>0</v>
      </c>
      <c r="AE115" s="524">
        <f t="shared" si="13"/>
        <v>0</v>
      </c>
      <c r="AF115" s="524">
        <f t="shared" si="13"/>
        <v>0</v>
      </c>
      <c r="AG115" s="524">
        <f t="shared" si="13"/>
        <v>0</v>
      </c>
      <c r="AH115" s="524">
        <f t="shared" si="13"/>
        <v>0</v>
      </c>
      <c r="AI115" s="524">
        <f t="shared" si="13"/>
        <v>0</v>
      </c>
      <c r="AJ115" s="524">
        <f t="shared" si="13"/>
        <v>0</v>
      </c>
      <c r="AK115" s="524">
        <f t="shared" si="13"/>
        <v>0</v>
      </c>
      <c r="AL115" s="525">
        <f t="shared" si="13"/>
        <v>0</v>
      </c>
    </row>
    <row r="116" spans="1:38">
      <c r="A116" s="500" t="s">
        <v>403</v>
      </c>
      <c r="B116" s="68">
        <f>IF(B115=0,0,IF('Rahoitus Y3'!$I20=2,0,IF('Rahoitus Y3'!$I20=1,0,'Rahoitus Y3'!$K20/(2*'Rahoitus Y3'!$J20))))</f>
        <v>0</v>
      </c>
      <c r="C116" s="188"/>
      <c r="D116" s="189"/>
      <c r="E116" s="189"/>
      <c r="F116" s="189"/>
      <c r="G116" s="189"/>
      <c r="H116" s="68">
        <f>IF(H115=0,0,IF('Rahoitus Y3'!$I20=2,0,IF('Rahoitus Y3'!$I20=1,0,'Rahoitus Y3'!$K20/(2*'Rahoitus Y3'!$J20))))</f>
        <v>0</v>
      </c>
      <c r="I116" s="189"/>
      <c r="J116" s="189"/>
      <c r="K116" s="189"/>
      <c r="L116" s="189"/>
      <c r="M116" s="189"/>
      <c r="N116" s="68">
        <f>IF(N115=0,0,IF('Rahoitus Y3'!$I20=2,0,IF('Rahoitus Y3'!$I20=1,'Rahoitus Y3'!$K20/(2*'Rahoitus Y3'!$J20-2),'Rahoitus Y3'!$K20/(2*'Rahoitus Y3'!$J20))))</f>
        <v>0</v>
      </c>
      <c r="O116" s="189"/>
      <c r="P116" s="91"/>
      <c r="T116" s="68">
        <f>IF(T115=0,0,IF('Rahoitus Y3'!$I20=2,0,IF('Rahoitus Y3'!$I20=1,'Rahoitus Y3'!$K20/(2*'Rahoitus Y3'!$J20-2),'Rahoitus Y3'!$K20/(2*'Rahoitus Y3'!$J20))))</f>
        <v>0</v>
      </c>
      <c r="Z116" s="68">
        <f>IF(Z115=0,0,IF('Rahoitus Y3'!$I20=2,'Rahoitus Y3'!$K20/(2*'Rahoitus Y3'!$J20-4),IF('Rahoitus Y3'!$I20=1,'Rahoitus Y3'!$K20/(2*'Rahoitus Y3'!$J20-2),'Rahoitus Y3'!$K20/(2*'Rahoitus Y3'!$J20))))</f>
        <v>0</v>
      </c>
      <c r="AF116" s="68">
        <f>IF(AF115=0,0,IF('Rahoitus Y3'!$I20=2,'Rahoitus Y3'!$K20/(2*'Rahoitus Y3'!$J20-4),IF('Rahoitus Y3'!$I20=1,'Rahoitus Y3'!$K20/(2*'Rahoitus Y3'!$J20-2),'Rahoitus Y3'!$K20/(2*'Rahoitus Y3'!$J20))))</f>
        <v>0</v>
      </c>
      <c r="AL116" s="526">
        <f>IF(AL115=0,0,IF('Rahoitus Y3'!$I20=2,'Rahoitus Y3'!$K20/(2*'Rahoitus Y3'!$J20-4),IF('Rahoitus Y3'!$I20=1,'Rahoitus Y3'!$K20/(2*'Rahoitus Y3'!$J20-2),'Rahoitus Y3'!$K20/(2*'Rahoitus Y3'!$J20))))</f>
        <v>0</v>
      </c>
    </row>
    <row r="117" spans="1:38" s="534" customFormat="1">
      <c r="A117" s="532" t="s">
        <v>455</v>
      </c>
      <c r="B117" s="533">
        <f>B115-B116</f>
        <v>0</v>
      </c>
      <c r="C117" s="533">
        <f t="shared" ref="C117:AL117" si="14">C115-C116</f>
        <v>0</v>
      </c>
      <c r="D117" s="533">
        <f t="shared" si="14"/>
        <v>0</v>
      </c>
      <c r="E117" s="533">
        <f t="shared" si="14"/>
        <v>0</v>
      </c>
      <c r="F117" s="533">
        <f t="shared" si="14"/>
        <v>0</v>
      </c>
      <c r="G117" s="533">
        <f t="shared" si="14"/>
        <v>0</v>
      </c>
      <c r="H117" s="533">
        <f t="shared" si="14"/>
        <v>0</v>
      </c>
      <c r="I117" s="533">
        <f t="shared" si="14"/>
        <v>0</v>
      </c>
      <c r="J117" s="533">
        <f t="shared" si="14"/>
        <v>0</v>
      </c>
      <c r="K117" s="533">
        <f t="shared" si="14"/>
        <v>0</v>
      </c>
      <c r="L117" s="533">
        <f t="shared" si="14"/>
        <v>0</v>
      </c>
      <c r="M117" s="533">
        <f t="shared" si="14"/>
        <v>0</v>
      </c>
      <c r="N117" s="533">
        <f t="shared" si="14"/>
        <v>0</v>
      </c>
      <c r="O117" s="533">
        <f t="shared" si="14"/>
        <v>0</v>
      </c>
      <c r="P117" s="533">
        <f t="shared" si="14"/>
        <v>0</v>
      </c>
      <c r="Q117" s="533">
        <f t="shared" si="14"/>
        <v>0</v>
      </c>
      <c r="R117" s="533">
        <f t="shared" si="14"/>
        <v>0</v>
      </c>
      <c r="S117" s="533">
        <f t="shared" si="14"/>
        <v>0</v>
      </c>
      <c r="T117" s="533">
        <f t="shared" si="14"/>
        <v>0</v>
      </c>
      <c r="U117" s="533">
        <f t="shared" si="14"/>
        <v>0</v>
      </c>
      <c r="V117" s="533">
        <f t="shared" si="14"/>
        <v>0</v>
      </c>
      <c r="W117" s="533">
        <f t="shared" si="14"/>
        <v>0</v>
      </c>
      <c r="X117" s="533">
        <f t="shared" si="14"/>
        <v>0</v>
      </c>
      <c r="Y117" s="533">
        <f t="shared" si="14"/>
        <v>0</v>
      </c>
      <c r="Z117" s="533">
        <f t="shared" si="14"/>
        <v>0</v>
      </c>
      <c r="AA117" s="533">
        <f t="shared" si="14"/>
        <v>0</v>
      </c>
      <c r="AB117" s="533">
        <f t="shared" si="14"/>
        <v>0</v>
      </c>
      <c r="AC117" s="533">
        <f t="shared" si="14"/>
        <v>0</v>
      </c>
      <c r="AD117" s="533">
        <f t="shared" si="14"/>
        <v>0</v>
      </c>
      <c r="AE117" s="533">
        <f t="shared" si="14"/>
        <v>0</v>
      </c>
      <c r="AF117" s="533">
        <f t="shared" si="14"/>
        <v>0</v>
      </c>
      <c r="AG117" s="533">
        <f t="shared" si="14"/>
        <v>0</v>
      </c>
      <c r="AH117" s="533">
        <f t="shared" si="14"/>
        <v>0</v>
      </c>
      <c r="AI117" s="533">
        <f t="shared" si="14"/>
        <v>0</v>
      </c>
      <c r="AJ117" s="533">
        <f t="shared" si="14"/>
        <v>0</v>
      </c>
      <c r="AK117" s="533">
        <f t="shared" si="14"/>
        <v>0</v>
      </c>
      <c r="AL117" s="533">
        <f t="shared" si="14"/>
        <v>0</v>
      </c>
    </row>
    <row r="118" spans="1:38">
      <c r="A118" s="500" t="s">
        <v>42</v>
      </c>
      <c r="B118" s="441">
        <f>'Rahoitus Y3'!H20</f>
        <v>0</v>
      </c>
      <c r="C118" s="442">
        <f>B118</f>
        <v>0</v>
      </c>
      <c r="D118" s="442">
        <f t="shared" ref="D118:AL118" si="15">C118</f>
        <v>0</v>
      </c>
      <c r="E118" s="442">
        <f t="shared" si="15"/>
        <v>0</v>
      </c>
      <c r="F118" s="442">
        <f t="shared" si="15"/>
        <v>0</v>
      </c>
      <c r="G118" s="442">
        <f t="shared" si="15"/>
        <v>0</v>
      </c>
      <c r="H118" s="442">
        <f t="shared" si="15"/>
        <v>0</v>
      </c>
      <c r="I118" s="442">
        <f t="shared" si="15"/>
        <v>0</v>
      </c>
      <c r="J118" s="442">
        <f t="shared" si="15"/>
        <v>0</v>
      </c>
      <c r="K118" s="442">
        <f t="shared" si="15"/>
        <v>0</v>
      </c>
      <c r="L118" s="442">
        <f t="shared" si="15"/>
        <v>0</v>
      </c>
      <c r="M118" s="442">
        <f t="shared" si="15"/>
        <v>0</v>
      </c>
      <c r="N118" s="442">
        <f t="shared" si="15"/>
        <v>0</v>
      </c>
      <c r="O118" s="442">
        <f t="shared" si="15"/>
        <v>0</v>
      </c>
      <c r="P118" s="442">
        <f t="shared" si="15"/>
        <v>0</v>
      </c>
      <c r="Q118" s="442">
        <f t="shared" si="15"/>
        <v>0</v>
      </c>
      <c r="R118" s="442">
        <f t="shared" si="15"/>
        <v>0</v>
      </c>
      <c r="S118" s="442">
        <f t="shared" si="15"/>
        <v>0</v>
      </c>
      <c r="T118" s="442">
        <f t="shared" si="15"/>
        <v>0</v>
      </c>
      <c r="U118" s="442">
        <f t="shared" si="15"/>
        <v>0</v>
      </c>
      <c r="V118" s="442">
        <f t="shared" si="15"/>
        <v>0</v>
      </c>
      <c r="W118" s="442">
        <f t="shared" si="15"/>
        <v>0</v>
      </c>
      <c r="X118" s="442">
        <f t="shared" si="15"/>
        <v>0</v>
      </c>
      <c r="Y118" s="442">
        <f t="shared" si="15"/>
        <v>0</v>
      </c>
      <c r="Z118" s="442">
        <f t="shared" si="15"/>
        <v>0</v>
      </c>
      <c r="AA118" s="442">
        <f t="shared" si="15"/>
        <v>0</v>
      </c>
      <c r="AB118" s="442">
        <f t="shared" si="15"/>
        <v>0</v>
      </c>
      <c r="AC118" s="442">
        <f t="shared" si="15"/>
        <v>0</v>
      </c>
      <c r="AD118" s="442">
        <f t="shared" si="15"/>
        <v>0</v>
      </c>
      <c r="AE118" s="442">
        <f t="shared" si="15"/>
        <v>0</v>
      </c>
      <c r="AF118" s="442">
        <f t="shared" si="15"/>
        <v>0</v>
      </c>
      <c r="AG118" s="442">
        <f t="shared" si="15"/>
        <v>0</v>
      </c>
      <c r="AH118" s="442">
        <f t="shared" si="15"/>
        <v>0</v>
      </c>
      <c r="AI118" s="442">
        <f t="shared" si="15"/>
        <v>0</v>
      </c>
      <c r="AJ118" s="442">
        <f t="shared" si="15"/>
        <v>0</v>
      </c>
      <c r="AK118" s="442">
        <f t="shared" si="15"/>
        <v>0</v>
      </c>
      <c r="AL118" s="527">
        <f t="shared" si="15"/>
        <v>0</v>
      </c>
    </row>
    <row r="119" spans="1:38">
      <c r="A119" s="500" t="s">
        <v>404</v>
      </c>
      <c r="B119" s="443">
        <f>(B115)*B118/2</f>
        <v>0</v>
      </c>
      <c r="C119" s="443">
        <f>(C115)*C118/12</f>
        <v>0</v>
      </c>
      <c r="D119" s="443">
        <f t="shared" ref="D119:AL119" si="16">(D115)*D118/12</f>
        <v>0</v>
      </c>
      <c r="E119" s="443">
        <f t="shared" si="16"/>
        <v>0</v>
      </c>
      <c r="F119" s="443">
        <f t="shared" si="16"/>
        <v>0</v>
      </c>
      <c r="G119" s="443">
        <f t="shared" si="16"/>
        <v>0</v>
      </c>
      <c r="H119" s="443">
        <f t="shared" si="16"/>
        <v>0</v>
      </c>
      <c r="I119" s="443">
        <f t="shared" si="16"/>
        <v>0</v>
      </c>
      <c r="J119" s="443">
        <f t="shared" si="16"/>
        <v>0</v>
      </c>
      <c r="K119" s="443">
        <f t="shared" si="16"/>
        <v>0</v>
      </c>
      <c r="L119" s="443">
        <f t="shared" si="16"/>
        <v>0</v>
      </c>
      <c r="M119" s="443">
        <f t="shared" si="16"/>
        <v>0</v>
      </c>
      <c r="N119" s="443">
        <f t="shared" si="16"/>
        <v>0</v>
      </c>
      <c r="O119" s="443">
        <f t="shared" si="16"/>
        <v>0</v>
      </c>
      <c r="P119" s="443">
        <f t="shared" si="16"/>
        <v>0</v>
      </c>
      <c r="Q119" s="443">
        <f t="shared" si="16"/>
        <v>0</v>
      </c>
      <c r="R119" s="443">
        <f t="shared" si="16"/>
        <v>0</v>
      </c>
      <c r="S119" s="443">
        <f t="shared" si="16"/>
        <v>0</v>
      </c>
      <c r="T119" s="443">
        <f t="shared" si="16"/>
        <v>0</v>
      </c>
      <c r="U119" s="443">
        <f t="shared" si="16"/>
        <v>0</v>
      </c>
      <c r="V119" s="443">
        <f t="shared" si="16"/>
        <v>0</v>
      </c>
      <c r="W119" s="443">
        <f t="shared" si="16"/>
        <v>0</v>
      </c>
      <c r="X119" s="443">
        <f t="shared" si="16"/>
        <v>0</v>
      </c>
      <c r="Y119" s="443">
        <f t="shared" si="16"/>
        <v>0</v>
      </c>
      <c r="Z119" s="443">
        <f t="shared" si="16"/>
        <v>0</v>
      </c>
      <c r="AA119" s="443">
        <f t="shared" si="16"/>
        <v>0</v>
      </c>
      <c r="AB119" s="443">
        <f t="shared" si="16"/>
        <v>0</v>
      </c>
      <c r="AC119" s="443">
        <f t="shared" si="16"/>
        <v>0</v>
      </c>
      <c r="AD119" s="443">
        <f t="shared" si="16"/>
        <v>0</v>
      </c>
      <c r="AE119" s="443">
        <f t="shared" si="16"/>
        <v>0</v>
      </c>
      <c r="AF119" s="443">
        <f t="shared" si="16"/>
        <v>0</v>
      </c>
      <c r="AG119" s="443">
        <f t="shared" si="16"/>
        <v>0</v>
      </c>
      <c r="AH119" s="443">
        <f t="shared" si="16"/>
        <v>0</v>
      </c>
      <c r="AI119" s="443">
        <f t="shared" si="16"/>
        <v>0</v>
      </c>
      <c r="AJ119" s="443">
        <f t="shared" si="16"/>
        <v>0</v>
      </c>
      <c r="AK119" s="443">
        <f t="shared" si="16"/>
        <v>0</v>
      </c>
      <c r="AL119" s="528">
        <f t="shared" si="16"/>
        <v>0</v>
      </c>
    </row>
    <row r="120" spans="1:38">
      <c r="A120" s="501" t="s">
        <v>406</v>
      </c>
      <c r="B120" s="453">
        <f>B119</f>
        <v>0</v>
      </c>
      <c r="C120" s="188"/>
      <c r="D120" s="189"/>
      <c r="E120" s="189"/>
      <c r="F120" s="189"/>
      <c r="G120" s="189"/>
      <c r="H120" s="189"/>
      <c r="I120" s="189"/>
      <c r="J120" s="189"/>
      <c r="K120" s="189"/>
      <c r="L120" s="189"/>
      <c r="M120" s="189"/>
      <c r="N120" s="454">
        <f>SUM(C119:N119)</f>
        <v>0</v>
      </c>
      <c r="O120" s="189"/>
      <c r="P120" s="91"/>
      <c r="Z120" s="454">
        <f>SUM(O119:Z119)</f>
        <v>0</v>
      </c>
      <c r="AL120" s="147"/>
    </row>
    <row r="121" spans="1:38">
      <c r="A121" s="502" t="s">
        <v>407</v>
      </c>
      <c r="B121" s="68"/>
      <c r="C121" s="458">
        <f>B120+C119</f>
        <v>0</v>
      </c>
      <c r="D121" s="189"/>
      <c r="E121" s="189"/>
      <c r="F121" s="189"/>
      <c r="G121" s="189"/>
      <c r="H121" s="189"/>
      <c r="I121" s="189"/>
      <c r="J121" s="189"/>
      <c r="K121" s="189"/>
      <c r="L121" s="189"/>
      <c r="M121" s="189"/>
      <c r="O121" s="459">
        <f>SUM(D119:O119)</f>
        <v>0</v>
      </c>
      <c r="P121" s="91"/>
      <c r="AA121" s="459">
        <f>SUM(P119:AA119)</f>
        <v>0</v>
      </c>
      <c r="AB121" s="91"/>
      <c r="AL121" s="147"/>
    </row>
    <row r="122" spans="1:38">
      <c r="A122" s="503" t="s">
        <v>418</v>
      </c>
      <c r="B122" s="53"/>
      <c r="C122" s="53"/>
      <c r="D122" s="460">
        <f>SUM(B119:D119)</f>
        <v>0</v>
      </c>
      <c r="E122" s="444"/>
      <c r="F122" s="444"/>
      <c r="G122" s="444"/>
      <c r="H122" s="444"/>
      <c r="I122" s="444"/>
      <c r="J122" s="444"/>
      <c r="K122" s="444"/>
      <c r="L122" s="444"/>
      <c r="M122" s="444"/>
      <c r="N122" s="444"/>
      <c r="O122" s="189"/>
      <c r="P122" s="461">
        <f>SUM(E119:P119)</f>
        <v>0</v>
      </c>
      <c r="AA122" s="189"/>
      <c r="AB122" s="461">
        <f>SUM(Q119:AB119)</f>
        <v>0</v>
      </c>
      <c r="AL122" s="147"/>
    </row>
    <row r="123" spans="1:38">
      <c r="A123" s="550" t="s">
        <v>417</v>
      </c>
      <c r="B123" s="68"/>
      <c r="C123" s="188"/>
      <c r="D123" s="444"/>
      <c r="E123" s="463">
        <f>SUM(B119:E119)</f>
        <v>0</v>
      </c>
      <c r="F123" s="444"/>
      <c r="G123" s="444"/>
      <c r="H123" s="444"/>
      <c r="I123" s="444"/>
      <c r="J123" s="444"/>
      <c r="K123" s="444"/>
      <c r="L123" s="444"/>
      <c r="M123" s="444"/>
      <c r="N123" s="444"/>
      <c r="O123" s="189"/>
      <c r="P123" s="91"/>
      <c r="Q123" s="462">
        <f>SUM(F119:Q119)</f>
        <v>0</v>
      </c>
      <c r="AA123" s="189"/>
      <c r="AB123" s="91"/>
      <c r="AC123" s="462">
        <f>SUM(R119:AC119)</f>
        <v>0</v>
      </c>
      <c r="AL123" s="147"/>
    </row>
    <row r="124" spans="1:38">
      <c r="A124" s="504" t="s">
        <v>408</v>
      </c>
      <c r="B124" s="68"/>
      <c r="C124" s="188"/>
      <c r="D124" s="444"/>
      <c r="E124" s="444"/>
      <c r="F124" s="464">
        <f>SUM(B119:F119)</f>
        <v>0</v>
      </c>
      <c r="G124" s="444"/>
      <c r="H124" s="444"/>
      <c r="I124" s="444"/>
      <c r="J124" s="444"/>
      <c r="K124" s="444"/>
      <c r="L124" s="444"/>
      <c r="M124" s="444"/>
      <c r="N124" s="444"/>
      <c r="O124" s="189"/>
      <c r="P124" s="91"/>
      <c r="R124" s="465">
        <f>SUM(G119:R119)</f>
        <v>0</v>
      </c>
      <c r="AA124" s="189"/>
      <c r="AB124" s="91"/>
      <c r="AD124" s="465">
        <f>SUM(S119:AD119)</f>
        <v>0</v>
      </c>
      <c r="AL124" s="147"/>
    </row>
    <row r="125" spans="1:38">
      <c r="A125" s="505" t="s">
        <v>409</v>
      </c>
      <c r="B125" s="53"/>
      <c r="C125" s="53"/>
      <c r="D125" s="444"/>
      <c r="E125" s="444"/>
      <c r="F125" s="444"/>
      <c r="G125" s="467">
        <f>SUM(B119:G119)</f>
        <v>0</v>
      </c>
      <c r="H125" s="444"/>
      <c r="I125" s="444"/>
      <c r="J125" s="444"/>
      <c r="K125" s="444"/>
      <c r="L125" s="444"/>
      <c r="M125" s="444"/>
      <c r="N125" s="444"/>
      <c r="O125" s="189"/>
      <c r="P125" s="91"/>
      <c r="S125" s="466">
        <f>SUM(H119:S119)</f>
        <v>0</v>
      </c>
      <c r="AA125" s="189"/>
      <c r="AB125" s="91"/>
      <c r="AE125" s="466">
        <f>SUM(T119:AE119)</f>
        <v>0</v>
      </c>
      <c r="AL125" s="147"/>
    </row>
    <row r="126" spans="1:38">
      <c r="A126" s="506" t="s">
        <v>410</v>
      </c>
      <c r="B126" s="68"/>
      <c r="C126" s="188"/>
      <c r="D126" s="444"/>
      <c r="E126" s="444"/>
      <c r="F126" s="444"/>
      <c r="G126" s="444"/>
      <c r="H126" s="473">
        <f>SUM(B119:H119)</f>
        <v>0</v>
      </c>
      <c r="I126" s="444"/>
      <c r="J126" s="444"/>
      <c r="K126" s="444"/>
      <c r="L126" s="444"/>
      <c r="M126" s="444"/>
      <c r="N126" s="444"/>
      <c r="O126" s="189"/>
      <c r="P126" s="91"/>
      <c r="T126" s="474">
        <f>SUM(I119:T119)</f>
        <v>0</v>
      </c>
      <c r="AA126" s="189"/>
      <c r="AB126" s="91"/>
      <c r="AF126" s="474">
        <f>SUM(U119:AF119)</f>
        <v>0</v>
      </c>
      <c r="AL126" s="147"/>
    </row>
    <row r="127" spans="1:38">
      <c r="A127" s="507" t="s">
        <v>411</v>
      </c>
      <c r="B127" s="53"/>
      <c r="C127" s="53"/>
      <c r="D127" s="444"/>
      <c r="E127" s="444"/>
      <c r="F127" s="444"/>
      <c r="G127" s="444"/>
      <c r="H127" s="444"/>
      <c r="I127" s="479">
        <f>SUM(B119:I119)</f>
        <v>0</v>
      </c>
      <c r="J127" s="444"/>
      <c r="K127" s="444"/>
      <c r="L127" s="444"/>
      <c r="M127" s="444"/>
      <c r="N127" s="444"/>
      <c r="O127" s="189"/>
      <c r="P127" s="91"/>
      <c r="U127" s="475">
        <f>SUM(J119:U119)</f>
        <v>0</v>
      </c>
      <c r="AA127" s="189"/>
      <c r="AB127" s="91"/>
      <c r="AG127" s="475">
        <f>SUM(V119:AG119)</f>
        <v>0</v>
      </c>
      <c r="AL127" s="147"/>
    </row>
    <row r="128" spans="1:38">
      <c r="A128" s="508" t="s">
        <v>412</v>
      </c>
      <c r="B128" s="68"/>
      <c r="C128" s="188"/>
      <c r="D128" s="444"/>
      <c r="E128" s="444"/>
      <c r="F128" s="444"/>
      <c r="G128" s="444"/>
      <c r="H128" s="444"/>
      <c r="I128" s="444"/>
      <c r="J128" s="480">
        <f>SUM(B119:J119)</f>
        <v>0</v>
      </c>
      <c r="K128" s="444"/>
      <c r="L128" s="444"/>
      <c r="M128" s="444"/>
      <c r="N128" s="444"/>
      <c r="O128" s="189"/>
      <c r="P128" s="91"/>
      <c r="V128" s="476">
        <f>SUM(K119:V119)</f>
        <v>0</v>
      </c>
      <c r="AA128" s="189"/>
      <c r="AB128" s="91"/>
      <c r="AH128" s="476">
        <f>SUM(W119:AH119)</f>
        <v>0</v>
      </c>
      <c r="AL128" s="147"/>
    </row>
    <row r="129" spans="1:38">
      <c r="A129" s="509" t="s">
        <v>413</v>
      </c>
      <c r="B129" s="53"/>
      <c r="C129" s="53"/>
      <c r="D129" s="444"/>
      <c r="E129" s="444"/>
      <c r="F129" s="444"/>
      <c r="G129" s="444"/>
      <c r="H129" s="444"/>
      <c r="I129" s="444"/>
      <c r="J129" s="444"/>
      <c r="K129" s="481">
        <f>SUM(B119:K119)</f>
        <v>0</v>
      </c>
      <c r="L129" s="444"/>
      <c r="M129" s="444"/>
      <c r="N129" s="444"/>
      <c r="O129" s="189"/>
      <c r="P129" s="91"/>
      <c r="W129" s="477">
        <f>SUM(L119:W119)</f>
        <v>0</v>
      </c>
      <c r="AA129" s="189"/>
      <c r="AB129" s="91"/>
      <c r="AI129" s="477">
        <f>SUM(X119:AI119)</f>
        <v>0</v>
      </c>
      <c r="AL129" s="147"/>
    </row>
    <row r="130" spans="1:38">
      <c r="A130" s="510" t="s">
        <v>414</v>
      </c>
      <c r="B130" s="68"/>
      <c r="C130" s="188"/>
      <c r="D130" s="444"/>
      <c r="E130" s="444"/>
      <c r="F130" s="444"/>
      <c r="G130" s="444"/>
      <c r="H130" s="444"/>
      <c r="I130" s="444"/>
      <c r="J130" s="444"/>
      <c r="K130" s="444"/>
      <c r="L130" s="483">
        <f>SUM(B119:L119)</f>
        <v>0</v>
      </c>
      <c r="M130" s="444"/>
      <c r="N130" s="444"/>
      <c r="O130" s="189"/>
      <c r="P130" s="91"/>
      <c r="X130" s="478">
        <f>SUM(M119:X119)</f>
        <v>0</v>
      </c>
      <c r="AA130" s="189"/>
      <c r="AB130" s="91"/>
      <c r="AJ130" s="478">
        <f>SUM(Y119:AJ119)</f>
        <v>0</v>
      </c>
      <c r="AL130" s="147"/>
    </row>
    <row r="131" spans="1:38">
      <c r="A131" s="511" t="s">
        <v>415</v>
      </c>
      <c r="B131" s="53"/>
      <c r="C131" s="53"/>
      <c r="D131" s="444"/>
      <c r="E131" s="444"/>
      <c r="F131" s="444"/>
      <c r="G131" s="444"/>
      <c r="H131" s="444"/>
      <c r="I131" s="444"/>
      <c r="J131" s="444"/>
      <c r="K131" s="444"/>
      <c r="L131" s="444"/>
      <c r="M131" s="485">
        <f>SUM(B119:M119)</f>
        <v>0</v>
      </c>
      <c r="N131" s="444"/>
      <c r="O131" s="189"/>
      <c r="P131" s="91"/>
      <c r="Y131" s="484">
        <f>SUM(N119:Y119)</f>
        <v>0</v>
      </c>
      <c r="AA131" s="189"/>
      <c r="AB131" s="91"/>
      <c r="AK131" s="484">
        <f>SUM(Z119:AK119)</f>
        <v>0</v>
      </c>
      <c r="AL131" s="147"/>
    </row>
    <row r="132" spans="1:38" ht="12.9" thickBot="1">
      <c r="A132" s="512" t="s">
        <v>416</v>
      </c>
      <c r="B132" s="513"/>
      <c r="C132" s="191"/>
      <c r="D132" s="514"/>
      <c r="E132" s="514"/>
      <c r="F132" s="514"/>
      <c r="G132" s="514"/>
      <c r="H132" s="514"/>
      <c r="I132" s="514"/>
      <c r="J132" s="514"/>
      <c r="K132" s="514"/>
      <c r="L132" s="514"/>
      <c r="M132" s="514"/>
      <c r="N132" s="515">
        <f>SUM(B119:N119)</f>
        <v>0</v>
      </c>
      <c r="O132" s="271"/>
      <c r="P132" s="516"/>
      <c r="Q132" s="152"/>
      <c r="R132" s="152"/>
      <c r="S132" s="152"/>
      <c r="T132" s="152"/>
      <c r="U132" s="152"/>
      <c r="V132" s="152"/>
      <c r="W132" s="152"/>
      <c r="X132" s="152"/>
      <c r="Y132" s="152"/>
      <c r="Z132" s="517">
        <f>SUM(O119:Z119)</f>
        <v>0</v>
      </c>
      <c r="AA132" s="271"/>
      <c r="AB132" s="516"/>
      <c r="AC132" s="152"/>
      <c r="AD132" s="152"/>
      <c r="AE132" s="152"/>
      <c r="AF132" s="152"/>
      <c r="AG132" s="152"/>
      <c r="AH132" s="152"/>
      <c r="AI132" s="152"/>
      <c r="AJ132" s="152"/>
      <c r="AK132" s="152"/>
      <c r="AL132" s="518">
        <f>SUM(AA119:AL119)</f>
        <v>0</v>
      </c>
    </row>
    <row r="133" spans="1:38" s="2" customFormat="1" ht="24" customHeight="1">
      <c r="A133" s="548" t="s">
        <v>457</v>
      </c>
      <c r="B133" s="549">
        <f>B81+B100+B117</f>
        <v>0</v>
      </c>
      <c r="C133" s="549">
        <f t="shared" ref="C133:AL133" si="17">C81+C100+C117</f>
        <v>0</v>
      </c>
      <c r="D133" s="549">
        <f t="shared" si="17"/>
        <v>0</v>
      </c>
      <c r="E133" s="549">
        <f t="shared" si="17"/>
        <v>0</v>
      </c>
      <c r="F133" s="549">
        <f t="shared" si="17"/>
        <v>0</v>
      </c>
      <c r="G133" s="549">
        <f t="shared" si="17"/>
        <v>0</v>
      </c>
      <c r="H133" s="549">
        <f t="shared" si="17"/>
        <v>0</v>
      </c>
      <c r="I133" s="549">
        <f t="shared" si="17"/>
        <v>0</v>
      </c>
      <c r="J133" s="549">
        <f t="shared" si="17"/>
        <v>0</v>
      </c>
      <c r="K133" s="549">
        <f t="shared" si="17"/>
        <v>0</v>
      </c>
      <c r="L133" s="549">
        <f t="shared" si="17"/>
        <v>0</v>
      </c>
      <c r="M133" s="549">
        <f t="shared" si="17"/>
        <v>0</v>
      </c>
      <c r="N133" s="549">
        <f t="shared" si="17"/>
        <v>0</v>
      </c>
      <c r="O133" s="549">
        <f t="shared" si="17"/>
        <v>0</v>
      </c>
      <c r="P133" s="549">
        <f t="shared" si="17"/>
        <v>0</v>
      </c>
      <c r="Q133" s="549">
        <f t="shared" si="17"/>
        <v>0</v>
      </c>
      <c r="R133" s="549">
        <f t="shared" si="17"/>
        <v>0</v>
      </c>
      <c r="S133" s="549">
        <f t="shared" si="17"/>
        <v>0</v>
      </c>
      <c r="T133" s="549">
        <f t="shared" si="17"/>
        <v>0</v>
      </c>
      <c r="U133" s="549">
        <f t="shared" si="17"/>
        <v>0</v>
      </c>
      <c r="V133" s="549">
        <f t="shared" si="17"/>
        <v>0</v>
      </c>
      <c r="W133" s="549">
        <f t="shared" si="17"/>
        <v>0</v>
      </c>
      <c r="X133" s="549">
        <f t="shared" si="17"/>
        <v>0</v>
      </c>
      <c r="Y133" s="549">
        <f t="shared" si="17"/>
        <v>0</v>
      </c>
      <c r="Z133" s="549">
        <f t="shared" si="17"/>
        <v>0</v>
      </c>
      <c r="AA133" s="549">
        <f t="shared" si="17"/>
        <v>0</v>
      </c>
      <c r="AB133" s="549">
        <f t="shared" si="17"/>
        <v>0</v>
      </c>
      <c r="AC133" s="549">
        <f t="shared" si="17"/>
        <v>0</v>
      </c>
      <c r="AD133" s="549">
        <f t="shared" si="17"/>
        <v>0</v>
      </c>
      <c r="AE133" s="549">
        <f t="shared" si="17"/>
        <v>0</v>
      </c>
      <c r="AF133" s="549">
        <f t="shared" si="17"/>
        <v>0</v>
      </c>
      <c r="AG133" s="549">
        <f t="shared" si="17"/>
        <v>0</v>
      </c>
      <c r="AH133" s="549">
        <f t="shared" si="17"/>
        <v>0</v>
      </c>
      <c r="AI133" s="549">
        <f t="shared" si="17"/>
        <v>0</v>
      </c>
      <c r="AJ133" s="549">
        <f t="shared" si="17"/>
        <v>0</v>
      </c>
      <c r="AK133" s="549">
        <f t="shared" si="17"/>
        <v>0</v>
      </c>
      <c r="AL133" s="908">
        <f t="shared" si="17"/>
        <v>0</v>
      </c>
    </row>
    <row r="134" spans="1:38" ht="12" customHeight="1">
      <c r="A134" s="535" t="s">
        <v>458</v>
      </c>
      <c r="B134" s="536">
        <f>B116+B98+B80</f>
        <v>0</v>
      </c>
      <c r="C134" s="536">
        <f t="shared" ref="C134:AL134" si="18">C116+C98+C80</f>
        <v>0</v>
      </c>
      <c r="D134" s="536">
        <f t="shared" si="18"/>
        <v>0</v>
      </c>
      <c r="E134" s="536">
        <f t="shared" si="18"/>
        <v>0</v>
      </c>
      <c r="F134" s="536">
        <f t="shared" si="18"/>
        <v>0</v>
      </c>
      <c r="G134" s="536">
        <f t="shared" si="18"/>
        <v>0</v>
      </c>
      <c r="H134" s="536">
        <f t="shared" si="18"/>
        <v>0</v>
      </c>
      <c r="I134" s="536">
        <f t="shared" si="18"/>
        <v>0</v>
      </c>
      <c r="J134" s="536">
        <f t="shared" si="18"/>
        <v>0</v>
      </c>
      <c r="K134" s="536">
        <f t="shared" si="18"/>
        <v>0</v>
      </c>
      <c r="L134" s="536">
        <f t="shared" si="18"/>
        <v>0</v>
      </c>
      <c r="M134" s="536">
        <f t="shared" si="18"/>
        <v>0</v>
      </c>
      <c r="N134" s="536">
        <f t="shared" si="18"/>
        <v>0</v>
      </c>
      <c r="O134" s="536">
        <f t="shared" si="18"/>
        <v>0</v>
      </c>
      <c r="P134" s="536">
        <f t="shared" si="18"/>
        <v>0</v>
      </c>
      <c r="Q134" s="536">
        <f t="shared" si="18"/>
        <v>0</v>
      </c>
      <c r="R134" s="536">
        <f t="shared" si="18"/>
        <v>0</v>
      </c>
      <c r="S134" s="536">
        <f t="shared" si="18"/>
        <v>0</v>
      </c>
      <c r="T134" s="536">
        <f t="shared" si="18"/>
        <v>0</v>
      </c>
      <c r="U134" s="536">
        <f t="shared" si="18"/>
        <v>0</v>
      </c>
      <c r="V134" s="536">
        <f t="shared" si="18"/>
        <v>0</v>
      </c>
      <c r="W134" s="536">
        <f t="shared" si="18"/>
        <v>0</v>
      </c>
      <c r="X134" s="536">
        <f t="shared" si="18"/>
        <v>0</v>
      </c>
      <c r="Y134" s="536">
        <f t="shared" si="18"/>
        <v>0</v>
      </c>
      <c r="Z134" s="536">
        <f>Z116+Z98+Z80</f>
        <v>0</v>
      </c>
      <c r="AA134" s="536">
        <f t="shared" si="18"/>
        <v>0</v>
      </c>
      <c r="AB134" s="536">
        <f t="shared" si="18"/>
        <v>0</v>
      </c>
      <c r="AC134" s="536">
        <f t="shared" si="18"/>
        <v>0</v>
      </c>
      <c r="AD134" s="536">
        <f t="shared" si="18"/>
        <v>0</v>
      </c>
      <c r="AE134" s="536">
        <f t="shared" si="18"/>
        <v>0</v>
      </c>
      <c r="AF134" s="536">
        <f t="shared" si="18"/>
        <v>0</v>
      </c>
      <c r="AG134" s="536">
        <f t="shared" si="18"/>
        <v>0</v>
      </c>
      <c r="AH134" s="536">
        <f t="shared" si="18"/>
        <v>0</v>
      </c>
      <c r="AI134" s="536">
        <f t="shared" si="18"/>
        <v>0</v>
      </c>
      <c r="AJ134" s="536">
        <f t="shared" si="18"/>
        <v>0</v>
      </c>
      <c r="AK134" s="536">
        <f t="shared" si="18"/>
        <v>0</v>
      </c>
      <c r="AL134" s="909">
        <f t="shared" si="18"/>
        <v>0</v>
      </c>
    </row>
    <row r="135" spans="1:38" ht="12" customHeight="1">
      <c r="A135" s="535" t="s">
        <v>460</v>
      </c>
      <c r="B135" s="536">
        <f>B119+B101+B83</f>
        <v>0</v>
      </c>
      <c r="C135" s="536">
        <f t="shared" ref="C135:AL135" si="19">C119+C101+C83</f>
        <v>0</v>
      </c>
      <c r="D135" s="536">
        <f t="shared" si="19"/>
        <v>0</v>
      </c>
      <c r="E135" s="536">
        <f t="shared" si="19"/>
        <v>0</v>
      </c>
      <c r="F135" s="536">
        <f t="shared" si="19"/>
        <v>0</v>
      </c>
      <c r="G135" s="536">
        <f t="shared" si="19"/>
        <v>0</v>
      </c>
      <c r="H135" s="536">
        <f t="shared" si="19"/>
        <v>0</v>
      </c>
      <c r="I135" s="536">
        <f t="shared" si="19"/>
        <v>0</v>
      </c>
      <c r="J135" s="536">
        <f t="shared" si="19"/>
        <v>0</v>
      </c>
      <c r="K135" s="536">
        <f t="shared" si="19"/>
        <v>0</v>
      </c>
      <c r="L135" s="536">
        <f t="shared" si="19"/>
        <v>0</v>
      </c>
      <c r="M135" s="536">
        <f t="shared" si="19"/>
        <v>0</v>
      </c>
      <c r="N135" s="536">
        <f t="shared" si="19"/>
        <v>0</v>
      </c>
      <c r="O135" s="536">
        <f t="shared" si="19"/>
        <v>0</v>
      </c>
      <c r="P135" s="536">
        <f t="shared" si="19"/>
        <v>0</v>
      </c>
      <c r="Q135" s="536">
        <f t="shared" si="19"/>
        <v>0</v>
      </c>
      <c r="R135" s="536">
        <f t="shared" si="19"/>
        <v>0</v>
      </c>
      <c r="S135" s="536">
        <f t="shared" si="19"/>
        <v>0</v>
      </c>
      <c r="T135" s="536">
        <f t="shared" si="19"/>
        <v>0</v>
      </c>
      <c r="U135" s="536">
        <f t="shared" si="19"/>
        <v>0</v>
      </c>
      <c r="V135" s="536">
        <f t="shared" si="19"/>
        <v>0</v>
      </c>
      <c r="W135" s="536">
        <f t="shared" si="19"/>
        <v>0</v>
      </c>
      <c r="X135" s="536">
        <f t="shared" si="19"/>
        <v>0</v>
      </c>
      <c r="Y135" s="536">
        <f t="shared" si="19"/>
        <v>0</v>
      </c>
      <c r="Z135" s="536">
        <f t="shared" si="19"/>
        <v>0</v>
      </c>
      <c r="AA135" s="536">
        <f t="shared" si="19"/>
        <v>0</v>
      </c>
      <c r="AB135" s="536">
        <f t="shared" si="19"/>
        <v>0</v>
      </c>
      <c r="AC135" s="536">
        <f t="shared" si="19"/>
        <v>0</v>
      </c>
      <c r="AD135" s="536">
        <f t="shared" si="19"/>
        <v>0</v>
      </c>
      <c r="AE135" s="536">
        <f t="shared" si="19"/>
        <v>0</v>
      </c>
      <c r="AF135" s="536">
        <f t="shared" si="19"/>
        <v>0</v>
      </c>
      <c r="AG135" s="536">
        <f t="shared" si="19"/>
        <v>0</v>
      </c>
      <c r="AH135" s="536">
        <f t="shared" si="19"/>
        <v>0</v>
      </c>
      <c r="AI135" s="536">
        <f t="shared" si="19"/>
        <v>0</v>
      </c>
      <c r="AJ135" s="536">
        <f t="shared" si="19"/>
        <v>0</v>
      </c>
      <c r="AK135" s="536">
        <f t="shared" si="19"/>
        <v>0</v>
      </c>
      <c r="AL135" s="909">
        <f t="shared" si="19"/>
        <v>0</v>
      </c>
    </row>
    <row r="136" spans="1:38">
      <c r="A136" s="537" t="s">
        <v>459</v>
      </c>
      <c r="B136" s="539">
        <f>B120+B102+B84</f>
        <v>0</v>
      </c>
      <c r="C136" s="188"/>
      <c r="D136" s="189"/>
      <c r="E136" s="189"/>
      <c r="F136" s="189"/>
      <c r="G136" s="189"/>
      <c r="H136" s="189"/>
      <c r="I136" s="189"/>
      <c r="J136" s="189"/>
      <c r="K136" s="189"/>
      <c r="L136" s="189"/>
      <c r="M136" s="189"/>
      <c r="N136" s="538">
        <f>N120+N102+N84</f>
        <v>0</v>
      </c>
      <c r="O136" s="189"/>
      <c r="P136" s="91"/>
      <c r="Z136" s="454">
        <f>Z120+Z102+Z84</f>
        <v>0</v>
      </c>
      <c r="AL136" s="147"/>
    </row>
    <row r="137" spans="1:38">
      <c r="A137" s="502" t="s">
        <v>407</v>
      </c>
      <c r="B137" s="68"/>
      <c r="C137" s="458">
        <f>C121+C103+C85</f>
        <v>0</v>
      </c>
      <c r="D137" s="189"/>
      <c r="E137" s="189"/>
      <c r="F137" s="189"/>
      <c r="G137" s="189"/>
      <c r="H137" s="189"/>
      <c r="I137" s="189"/>
      <c r="J137" s="189"/>
      <c r="K137" s="189"/>
      <c r="L137" s="189"/>
      <c r="M137" s="189"/>
      <c r="O137" s="459">
        <f>O121+O103+O85</f>
        <v>0</v>
      </c>
      <c r="P137" s="91"/>
      <c r="AA137" s="459">
        <f>AA121+AA103+AA85</f>
        <v>0</v>
      </c>
      <c r="AB137" s="91"/>
      <c r="AL137" s="147"/>
    </row>
    <row r="138" spans="1:38">
      <c r="A138" s="503" t="s">
        <v>418</v>
      </c>
      <c r="B138" s="53"/>
      <c r="C138" s="53"/>
      <c r="D138" s="460">
        <f>D122+D104+D86</f>
        <v>0</v>
      </c>
      <c r="E138" s="444"/>
      <c r="F138" s="444"/>
      <c r="G138" s="444"/>
      <c r="H138" s="444"/>
      <c r="I138" s="444"/>
      <c r="J138" s="444"/>
      <c r="K138" s="444"/>
      <c r="L138" s="444"/>
      <c r="M138" s="444"/>
      <c r="N138" s="444"/>
      <c r="O138" s="189"/>
      <c r="P138" s="461">
        <f>P122+P104+P86</f>
        <v>0</v>
      </c>
      <c r="AA138" s="189"/>
      <c r="AB138" s="461">
        <f>AB122+AB104+AB86</f>
        <v>0</v>
      </c>
      <c r="AL138" s="147"/>
    </row>
    <row r="139" spans="1:38">
      <c r="A139" s="550" t="s">
        <v>417</v>
      </c>
      <c r="B139" s="68"/>
      <c r="C139" s="188"/>
      <c r="D139" s="444"/>
      <c r="E139" s="463">
        <f>E123+E105+E87</f>
        <v>0</v>
      </c>
      <c r="F139" s="444"/>
      <c r="G139" s="444"/>
      <c r="H139" s="444"/>
      <c r="I139" s="444"/>
      <c r="J139" s="444"/>
      <c r="K139" s="444"/>
      <c r="L139" s="444"/>
      <c r="M139" s="444"/>
      <c r="N139" s="444"/>
      <c r="O139" s="189"/>
      <c r="P139" s="91"/>
      <c r="Q139" s="462">
        <f>Q123+Q105+Q87</f>
        <v>0</v>
      </c>
      <c r="AA139" s="189"/>
      <c r="AB139" s="91"/>
      <c r="AC139" s="462">
        <f>AC123+AC105+AC87</f>
        <v>0</v>
      </c>
      <c r="AL139" s="147"/>
    </row>
    <row r="140" spans="1:38">
      <c r="A140" s="504" t="s">
        <v>408</v>
      </c>
      <c r="B140" s="68"/>
      <c r="C140" s="188"/>
      <c r="D140" s="444"/>
      <c r="E140" s="444"/>
      <c r="F140" s="464">
        <f>F124+F106+F88</f>
        <v>0</v>
      </c>
      <c r="G140" s="444"/>
      <c r="H140" s="444"/>
      <c r="I140" s="444"/>
      <c r="J140" s="444"/>
      <c r="K140" s="444"/>
      <c r="L140" s="444"/>
      <c r="M140" s="444"/>
      <c r="N140" s="444"/>
      <c r="O140" s="189"/>
      <c r="P140" s="91"/>
      <c r="R140" s="465">
        <f>R124+R106+R88</f>
        <v>0</v>
      </c>
      <c r="AA140" s="189"/>
      <c r="AB140" s="91"/>
      <c r="AD140" s="465">
        <f>AD124+AD106+AD88</f>
        <v>0</v>
      </c>
      <c r="AL140" s="147"/>
    </row>
    <row r="141" spans="1:38">
      <c r="A141" s="505" t="s">
        <v>409</v>
      </c>
      <c r="B141" s="53"/>
      <c r="C141" s="53"/>
      <c r="D141" s="444"/>
      <c r="E141" s="444"/>
      <c r="F141" s="444"/>
      <c r="G141" s="467">
        <f>G125+G107+G89</f>
        <v>0</v>
      </c>
      <c r="H141" s="444"/>
      <c r="I141" s="444"/>
      <c r="J141" s="444"/>
      <c r="K141" s="444"/>
      <c r="L141" s="444"/>
      <c r="M141" s="444"/>
      <c r="N141" s="444"/>
      <c r="O141" s="189"/>
      <c r="P141" s="91"/>
      <c r="S141" s="466">
        <f>S125+S107+S89</f>
        <v>0</v>
      </c>
      <c r="AA141" s="189"/>
      <c r="AB141" s="91"/>
      <c r="AE141" s="466">
        <f>AE125+AE107+AE89</f>
        <v>0</v>
      </c>
      <c r="AL141" s="147"/>
    </row>
    <row r="142" spans="1:38">
      <c r="A142" s="506" t="s">
        <v>410</v>
      </c>
      <c r="B142" s="68"/>
      <c r="C142" s="188"/>
      <c r="D142" s="444"/>
      <c r="E142" s="444"/>
      <c r="F142" s="444"/>
      <c r="G142" s="444"/>
      <c r="H142" s="473">
        <f>H126+H108+H90</f>
        <v>0</v>
      </c>
      <c r="I142" s="444"/>
      <c r="J142" s="444"/>
      <c r="K142" s="444"/>
      <c r="L142" s="444"/>
      <c r="M142" s="444"/>
      <c r="N142" s="444"/>
      <c r="O142" s="189"/>
      <c r="P142" s="91"/>
      <c r="T142" s="474">
        <f>T126+T108+T90</f>
        <v>0</v>
      </c>
      <c r="AA142" s="189"/>
      <c r="AB142" s="91"/>
      <c r="AF142" s="474">
        <f>AF126+AF108+AF90</f>
        <v>0</v>
      </c>
      <c r="AL142" s="147"/>
    </row>
    <row r="143" spans="1:38">
      <c r="A143" s="507" t="s">
        <v>411</v>
      </c>
      <c r="B143" s="53"/>
      <c r="C143" s="53"/>
      <c r="D143" s="444"/>
      <c r="E143" s="444"/>
      <c r="F143" s="444"/>
      <c r="G143" s="444"/>
      <c r="H143" s="444"/>
      <c r="I143" s="479">
        <f>I127+I109+I91</f>
        <v>0</v>
      </c>
      <c r="J143" s="444"/>
      <c r="K143" s="444"/>
      <c r="L143" s="444"/>
      <c r="M143" s="444"/>
      <c r="N143" s="444"/>
      <c r="O143" s="189"/>
      <c r="P143" s="91"/>
      <c r="U143" s="475">
        <f>U127+U109+U91</f>
        <v>0</v>
      </c>
      <c r="AA143" s="189"/>
      <c r="AB143" s="91"/>
      <c r="AG143" s="475">
        <f>AG127+AG109+AG91</f>
        <v>0</v>
      </c>
      <c r="AL143" s="147"/>
    </row>
    <row r="144" spans="1:38">
      <c r="A144" s="508" t="s">
        <v>412</v>
      </c>
      <c r="B144" s="68"/>
      <c r="C144" s="188"/>
      <c r="D144" s="444"/>
      <c r="E144" s="444"/>
      <c r="F144" s="444"/>
      <c r="G144" s="444"/>
      <c r="H144" s="444"/>
      <c r="I144" s="444"/>
      <c r="J144" s="480">
        <f>J128+J110+J92</f>
        <v>0</v>
      </c>
      <c r="K144" s="444"/>
      <c r="L144" s="444"/>
      <c r="M144" s="444"/>
      <c r="N144" s="444"/>
      <c r="O144" s="189"/>
      <c r="P144" s="91"/>
      <c r="V144" s="476">
        <f>V128+V110+V92</f>
        <v>0</v>
      </c>
      <c r="AA144" s="189"/>
      <c r="AB144" s="91"/>
      <c r="AH144" s="476">
        <f>AH128+AH110+AH92</f>
        <v>0</v>
      </c>
      <c r="AL144" s="147"/>
    </row>
    <row r="145" spans="1:38">
      <c r="A145" s="509" t="s">
        <v>413</v>
      </c>
      <c r="B145" s="53"/>
      <c r="C145" s="53"/>
      <c r="D145" s="444"/>
      <c r="E145" s="444"/>
      <c r="F145" s="444"/>
      <c r="G145" s="444"/>
      <c r="H145" s="444"/>
      <c r="I145" s="444"/>
      <c r="J145" s="444"/>
      <c r="K145" s="481">
        <f>K129+K111+K93</f>
        <v>0</v>
      </c>
      <c r="L145" s="444"/>
      <c r="M145" s="444"/>
      <c r="N145" s="444"/>
      <c r="O145" s="189"/>
      <c r="P145" s="91"/>
      <c r="W145" s="477">
        <f>W129+W111+W93</f>
        <v>0</v>
      </c>
      <c r="AA145" s="189"/>
      <c r="AB145" s="91"/>
      <c r="AI145" s="477">
        <f>AI129+AI111+AI93</f>
        <v>0</v>
      </c>
      <c r="AL145" s="147"/>
    </row>
    <row r="146" spans="1:38">
      <c r="A146" s="510" t="s">
        <v>414</v>
      </c>
      <c r="B146" s="68"/>
      <c r="C146" s="188"/>
      <c r="D146" s="444"/>
      <c r="E146" s="444"/>
      <c r="F146" s="444"/>
      <c r="G146" s="444"/>
      <c r="H146" s="444"/>
      <c r="I146" s="444"/>
      <c r="J146" s="444"/>
      <c r="K146" s="444"/>
      <c r="L146" s="483">
        <f>L130+L112+L94</f>
        <v>0</v>
      </c>
      <c r="M146" s="444"/>
      <c r="N146" s="444"/>
      <c r="O146" s="189"/>
      <c r="P146" s="91"/>
      <c r="X146" s="478">
        <f>X130+X112+X94</f>
        <v>0</v>
      </c>
      <c r="AA146" s="189"/>
      <c r="AB146" s="91"/>
      <c r="AJ146" s="478">
        <f>AJ130+AJ112+AJ94</f>
        <v>0</v>
      </c>
      <c r="AL146" s="147"/>
    </row>
    <row r="147" spans="1:38">
      <c r="A147" s="511" t="s">
        <v>415</v>
      </c>
      <c r="B147" s="53"/>
      <c r="C147" s="53"/>
      <c r="D147" s="444"/>
      <c r="E147" s="444"/>
      <c r="F147" s="444"/>
      <c r="G147" s="444"/>
      <c r="H147" s="444"/>
      <c r="I147" s="444"/>
      <c r="J147" s="444"/>
      <c r="K147" s="444"/>
      <c r="L147" s="444"/>
      <c r="M147" s="485">
        <f>M131+M113+M95</f>
        <v>0</v>
      </c>
      <c r="N147" s="444"/>
      <c r="O147" s="189"/>
      <c r="P147" s="91"/>
      <c r="Y147" s="484">
        <f>Y131+Y113+Y95</f>
        <v>0</v>
      </c>
      <c r="AA147" s="189"/>
      <c r="AB147" s="91"/>
      <c r="AK147" s="484">
        <f>AK131+AK113+AK95</f>
        <v>0</v>
      </c>
      <c r="AL147" s="147"/>
    </row>
    <row r="148" spans="1:38" ht="12.9" thickBot="1">
      <c r="A148" s="512" t="s">
        <v>416</v>
      </c>
      <c r="B148" s="513"/>
      <c r="C148" s="191"/>
      <c r="D148" s="514"/>
      <c r="E148" s="514"/>
      <c r="F148" s="514"/>
      <c r="G148" s="514"/>
      <c r="H148" s="514"/>
      <c r="I148" s="514"/>
      <c r="J148" s="514"/>
      <c r="K148" s="514"/>
      <c r="L148" s="514"/>
      <c r="M148" s="514"/>
      <c r="N148" s="515">
        <f>N132+N114+N96</f>
        <v>0</v>
      </c>
      <c r="O148" s="271"/>
      <c r="P148" s="516"/>
      <c r="Q148" s="152"/>
      <c r="R148" s="152"/>
      <c r="S148" s="152"/>
      <c r="T148" s="152"/>
      <c r="U148" s="152"/>
      <c r="V148" s="152"/>
      <c r="W148" s="152"/>
      <c r="X148" s="152"/>
      <c r="Y148" s="152"/>
      <c r="Z148" s="517">
        <f>Z132+Z114+Z96</f>
        <v>0</v>
      </c>
      <c r="AA148" s="271"/>
      <c r="AB148" s="516"/>
      <c r="AC148" s="152"/>
      <c r="AD148" s="152"/>
      <c r="AE148" s="152"/>
      <c r="AF148" s="152"/>
      <c r="AG148" s="152"/>
      <c r="AH148" s="152"/>
      <c r="AI148" s="152"/>
      <c r="AJ148" s="152"/>
      <c r="AK148" s="152"/>
      <c r="AL148" s="517">
        <f>AL132+AL114+AL96</f>
        <v>0</v>
      </c>
    </row>
    <row r="149" spans="1:38">
      <c r="A149" s="555" t="s">
        <v>474</v>
      </c>
      <c r="B149" s="556"/>
      <c r="C149" s="557"/>
      <c r="D149" s="558"/>
      <c r="E149" s="558"/>
      <c r="F149" s="558"/>
      <c r="G149" s="558"/>
      <c r="H149" s="558"/>
      <c r="I149" s="558"/>
      <c r="J149" s="558"/>
      <c r="K149" s="558"/>
      <c r="L149" s="558"/>
      <c r="M149" s="558"/>
      <c r="N149" s="558"/>
      <c r="O149" s="558"/>
      <c r="P149" s="558"/>
      <c r="Q149" s="559"/>
      <c r="R149" s="559"/>
      <c r="S149" s="559"/>
      <c r="T149" s="559"/>
      <c r="U149" s="559"/>
      <c r="V149" s="559"/>
      <c r="W149" s="559"/>
      <c r="X149" s="559"/>
      <c r="Y149" s="559"/>
      <c r="Z149" s="559"/>
      <c r="AA149" s="559"/>
      <c r="AB149" s="559"/>
      <c r="AC149" s="559"/>
      <c r="AD149" s="559"/>
      <c r="AE149" s="559"/>
      <c r="AF149" s="559"/>
      <c r="AG149" s="559"/>
      <c r="AH149" s="559"/>
      <c r="AI149" s="559"/>
      <c r="AJ149" s="559"/>
      <c r="AK149" s="559"/>
      <c r="AL149" s="560"/>
    </row>
    <row r="150" spans="1:38">
      <c r="A150" s="561" t="s">
        <v>475</v>
      </c>
      <c r="B150" s="523">
        <f>B$134+B136</f>
        <v>0</v>
      </c>
      <c r="C150" s="188"/>
      <c r="D150" s="189"/>
      <c r="E150" s="189"/>
      <c r="F150" s="189"/>
      <c r="G150" s="189"/>
      <c r="H150" s="189"/>
      <c r="I150" s="189"/>
      <c r="J150" s="189"/>
      <c r="K150" s="189"/>
      <c r="L150" s="189"/>
      <c r="M150" s="189"/>
      <c r="N150" s="523">
        <f>N$134+N136+H134</f>
        <v>0</v>
      </c>
      <c r="O150" s="189"/>
      <c r="P150" s="91"/>
      <c r="Z150" s="523">
        <f>Z$134+Z136+T134</f>
        <v>0</v>
      </c>
      <c r="AL150" s="147"/>
    </row>
    <row r="151" spans="1:38">
      <c r="A151" s="502" t="s">
        <v>407</v>
      </c>
      <c r="B151" s="440"/>
      <c r="C151" s="523">
        <f>C$134+C137+B$134</f>
        <v>0</v>
      </c>
      <c r="D151" s="189"/>
      <c r="E151" s="189"/>
      <c r="F151" s="189"/>
      <c r="G151" s="189"/>
      <c r="H151" s="189"/>
      <c r="I151" s="189"/>
      <c r="J151" s="189"/>
      <c r="K151" s="189"/>
      <c r="L151" s="189"/>
      <c r="M151" s="189"/>
      <c r="O151" s="523">
        <f>O$134+O137+N$134+H134</f>
        <v>0</v>
      </c>
      <c r="P151" s="189"/>
      <c r="Q151" s="189"/>
      <c r="R151" s="189"/>
      <c r="S151" s="189"/>
      <c r="T151" s="189"/>
      <c r="U151" s="189"/>
      <c r="V151" s="189"/>
      <c r="W151" s="189"/>
      <c r="X151" s="189"/>
      <c r="Y151" s="189"/>
      <c r="AA151" s="523">
        <f>AA$134+AA137+Z$134+T134</f>
        <v>0</v>
      </c>
      <c r="AB151" s="189"/>
      <c r="AC151" s="189"/>
      <c r="AD151" s="189"/>
      <c r="AE151" s="189"/>
      <c r="AF151" s="189"/>
      <c r="AG151" s="189"/>
      <c r="AH151" s="189"/>
      <c r="AI151" s="189"/>
      <c r="AJ151" s="189"/>
      <c r="AK151" s="189"/>
      <c r="AL151" s="147"/>
    </row>
    <row r="152" spans="1:38">
      <c r="A152" s="503" t="s">
        <v>418</v>
      </c>
      <c r="B152" s="53"/>
      <c r="C152" s="53"/>
      <c r="D152" s="523">
        <f>D$134+D138+C$134+B$134</f>
        <v>0</v>
      </c>
      <c r="E152" s="444"/>
      <c r="F152" s="444"/>
      <c r="G152" s="444"/>
      <c r="H152" s="444"/>
      <c r="I152" s="444"/>
      <c r="J152" s="444"/>
      <c r="K152" s="444"/>
      <c r="L152" s="444"/>
      <c r="M152" s="444"/>
      <c r="N152" s="444"/>
      <c r="O152" s="53"/>
      <c r="P152" s="523">
        <f>P$134+P138+O$134+N$134+H134</f>
        <v>0</v>
      </c>
      <c r="Q152" s="444"/>
      <c r="R152" s="444"/>
      <c r="S152" s="444"/>
      <c r="T152" s="444"/>
      <c r="U152" s="444"/>
      <c r="V152" s="444"/>
      <c r="W152" s="444"/>
      <c r="X152" s="444"/>
      <c r="Y152" s="444"/>
      <c r="Z152" s="444"/>
      <c r="AA152" s="53"/>
      <c r="AB152" s="523">
        <f>AB$134+AB138+AA$134+Z$134+T134</f>
        <v>0</v>
      </c>
      <c r="AC152" s="444"/>
      <c r="AD152" s="444"/>
      <c r="AE152" s="444"/>
      <c r="AF152" s="444"/>
      <c r="AG152" s="444"/>
      <c r="AH152" s="444"/>
      <c r="AI152" s="444"/>
      <c r="AJ152" s="444"/>
      <c r="AK152" s="444"/>
      <c r="AL152" s="562"/>
    </row>
    <row r="153" spans="1:38">
      <c r="A153" s="504" t="s">
        <v>417</v>
      </c>
      <c r="B153" s="440"/>
      <c r="C153" s="188"/>
      <c r="D153" s="444"/>
      <c r="E153" s="523">
        <f>E$134+E139+D$134+C$134+B134</f>
        <v>0</v>
      </c>
      <c r="F153" s="444"/>
      <c r="G153" s="444"/>
      <c r="H153" s="444"/>
      <c r="I153" s="444"/>
      <c r="J153" s="444"/>
      <c r="K153" s="444"/>
      <c r="L153" s="444"/>
      <c r="M153" s="444"/>
      <c r="N153" s="444"/>
      <c r="O153" s="188"/>
      <c r="P153" s="444"/>
      <c r="Q153" s="523">
        <f>Q$134+Q139+P$134+O$134+N134+H134</f>
        <v>0</v>
      </c>
      <c r="R153" s="444"/>
      <c r="S153" s="444"/>
      <c r="T153" s="444"/>
      <c r="U153" s="444"/>
      <c r="V153" s="444"/>
      <c r="W153" s="444"/>
      <c r="X153" s="444"/>
      <c r="Y153" s="444"/>
      <c r="Z153" s="444"/>
      <c r="AA153" s="188"/>
      <c r="AB153" s="444"/>
      <c r="AC153" s="523">
        <f>AC$134+AC139+AB$134+AA$134+Z134+T134</f>
        <v>0</v>
      </c>
      <c r="AD153" s="444"/>
      <c r="AE153" s="444"/>
      <c r="AF153" s="444"/>
      <c r="AG153" s="444"/>
      <c r="AH153" s="444"/>
      <c r="AI153" s="444"/>
      <c r="AJ153" s="444"/>
      <c r="AK153" s="444"/>
      <c r="AL153" s="562"/>
    </row>
    <row r="154" spans="1:38">
      <c r="A154" s="505" t="s">
        <v>408</v>
      </c>
      <c r="B154" s="440"/>
      <c r="C154" s="188"/>
      <c r="D154" s="444"/>
      <c r="E154" s="444"/>
      <c r="F154" s="523">
        <f>F$134+F140+E$134+D$134+B134+C134</f>
        <v>0</v>
      </c>
      <c r="G154" s="444"/>
      <c r="H154" s="444"/>
      <c r="I154" s="444"/>
      <c r="J154" s="444"/>
      <c r="K154" s="444"/>
      <c r="L154" s="444"/>
      <c r="M154" s="444"/>
      <c r="N154" s="444"/>
      <c r="O154" s="188"/>
      <c r="P154" s="444"/>
      <c r="Q154" s="444"/>
      <c r="R154" s="523">
        <f>R$134+R140+Q$134+P$134+N134+O134+H134</f>
        <v>0</v>
      </c>
      <c r="S154" s="444"/>
      <c r="T154" s="444"/>
      <c r="U154" s="444"/>
      <c r="V154" s="444"/>
      <c r="W154" s="444"/>
      <c r="X154" s="444"/>
      <c r="Y154" s="444"/>
      <c r="Z154" s="444"/>
      <c r="AA154" s="188"/>
      <c r="AB154" s="444"/>
      <c r="AC154" s="444"/>
      <c r="AD154" s="523">
        <f>AD$134+AD140+AC$134+AB$134+Z134+AA134+T134</f>
        <v>0</v>
      </c>
      <c r="AE154" s="444"/>
      <c r="AF154" s="444"/>
      <c r="AG154" s="444"/>
      <c r="AH154" s="444"/>
      <c r="AI154" s="444"/>
      <c r="AJ154" s="444"/>
      <c r="AK154" s="444"/>
      <c r="AL154" s="562"/>
    </row>
    <row r="155" spans="1:38">
      <c r="A155" s="506" t="s">
        <v>409</v>
      </c>
      <c r="B155" s="53"/>
      <c r="C155" s="53"/>
      <c r="D155" s="444"/>
      <c r="E155" s="444"/>
      <c r="F155" s="444"/>
      <c r="G155" s="523">
        <f>G$134+G141+F$134+E$134+B134+C134+D134</f>
        <v>0</v>
      </c>
      <c r="H155" s="444"/>
      <c r="I155" s="444"/>
      <c r="J155" s="444"/>
      <c r="K155" s="444"/>
      <c r="L155" s="444"/>
      <c r="M155" s="444"/>
      <c r="N155" s="444"/>
      <c r="O155" s="53"/>
      <c r="P155" s="444"/>
      <c r="Q155" s="444"/>
      <c r="R155" s="444"/>
      <c r="S155" s="523">
        <f>S$134+S141+R$134+Q$134+N134+O134+P134+H134</f>
        <v>0</v>
      </c>
      <c r="T155" s="444"/>
      <c r="U155" s="444"/>
      <c r="V155" s="444"/>
      <c r="W155" s="444"/>
      <c r="X155" s="444"/>
      <c r="Y155" s="444"/>
      <c r="Z155" s="444"/>
      <c r="AA155" s="53"/>
      <c r="AB155" s="444"/>
      <c r="AC155" s="444"/>
      <c r="AD155" s="444"/>
      <c r="AE155" s="523">
        <f>AE$134+AE141+AD$134+AC$134+Z134+AA134+AB134+T134</f>
        <v>0</v>
      </c>
      <c r="AF155" s="444"/>
      <c r="AG155" s="444"/>
      <c r="AH155" s="444"/>
      <c r="AI155" s="444"/>
      <c r="AJ155" s="444"/>
      <c r="AK155" s="444"/>
      <c r="AL155" s="562"/>
    </row>
    <row r="156" spans="1:38">
      <c r="A156" s="506" t="s">
        <v>410</v>
      </c>
      <c r="B156" s="440"/>
      <c r="C156" s="188"/>
      <c r="D156" s="444"/>
      <c r="E156" s="444"/>
      <c r="F156" s="444"/>
      <c r="G156" s="444"/>
      <c r="H156" s="523">
        <f>H$134+H142+G$134+F$134+B134+C134+D134+E134</f>
        <v>0</v>
      </c>
      <c r="I156" s="444"/>
      <c r="J156" s="444"/>
      <c r="K156" s="444"/>
      <c r="L156" s="444"/>
      <c r="M156" s="444"/>
      <c r="N156" s="444"/>
      <c r="O156" s="188"/>
      <c r="P156" s="444"/>
      <c r="Q156" s="444"/>
      <c r="R156" s="444"/>
      <c r="S156" s="444"/>
      <c r="T156" s="523">
        <f>T$134+T142+S$134+R$134+N134+O134+P134+Q134</f>
        <v>0</v>
      </c>
      <c r="U156" s="444"/>
      <c r="V156" s="444"/>
      <c r="W156" s="444"/>
      <c r="X156" s="444"/>
      <c r="Y156" s="444"/>
      <c r="Z156" s="444"/>
      <c r="AA156" s="188"/>
      <c r="AB156" s="444"/>
      <c r="AC156" s="444"/>
      <c r="AD156" s="444"/>
      <c r="AE156" s="444"/>
      <c r="AF156" s="523">
        <f>AF$134+AF142+AE$134+AD$134+Z134+AA134+AB134+AC134</f>
        <v>0</v>
      </c>
      <c r="AG156" s="444"/>
      <c r="AH156" s="444"/>
      <c r="AI156" s="444"/>
      <c r="AJ156" s="444"/>
      <c r="AK156" s="444"/>
      <c r="AL156" s="562"/>
    </row>
    <row r="157" spans="1:38">
      <c r="A157" s="507" t="s">
        <v>411</v>
      </c>
      <c r="B157" s="53"/>
      <c r="C157" s="53"/>
      <c r="D157" s="444"/>
      <c r="E157" s="444"/>
      <c r="F157" s="444"/>
      <c r="G157" s="444"/>
      <c r="H157" s="444"/>
      <c r="I157" s="523">
        <f>I$134+I143+H$134+G$134+F134+E134+D134+C134+B134</f>
        <v>0</v>
      </c>
      <c r="J157" s="444"/>
      <c r="K157" s="444"/>
      <c r="L157" s="444"/>
      <c r="M157" s="444"/>
      <c r="N157" s="444"/>
      <c r="O157" s="53"/>
      <c r="P157" s="444"/>
      <c r="Q157" s="444"/>
      <c r="R157" s="444"/>
      <c r="S157" s="444"/>
      <c r="T157" s="444"/>
      <c r="U157" s="523">
        <f>U$134+U143+T$134+S$134+R134+Q134+P134+O134+N134</f>
        <v>0</v>
      </c>
      <c r="V157" s="444"/>
      <c r="W157" s="444"/>
      <c r="X157" s="444"/>
      <c r="Y157" s="444"/>
      <c r="Z157" s="444"/>
      <c r="AA157" s="53"/>
      <c r="AB157" s="444"/>
      <c r="AC157" s="444"/>
      <c r="AD157" s="444"/>
      <c r="AE157" s="444"/>
      <c r="AF157" s="444"/>
      <c r="AG157" s="523">
        <f>AG$134+AG143+AF$134+AE$134+AD134+AC134+AB134+AA134+Z134</f>
        <v>0</v>
      </c>
      <c r="AH157" s="444"/>
      <c r="AI157" s="444"/>
      <c r="AJ157" s="444"/>
      <c r="AK157" s="444"/>
      <c r="AL157" s="562"/>
    </row>
    <row r="158" spans="1:38">
      <c r="A158" s="508" t="s">
        <v>412</v>
      </c>
      <c r="B158" s="440"/>
      <c r="C158" s="188"/>
      <c r="D158" s="444"/>
      <c r="E158" s="444"/>
      <c r="F158" s="444"/>
      <c r="G158" s="444"/>
      <c r="H158" s="444"/>
      <c r="I158" s="444"/>
      <c r="J158" s="523">
        <f>J$134+J144+I$134+H$134++G134+F134+E134+D134+C134+B134</f>
        <v>0</v>
      </c>
      <c r="K158" s="444"/>
      <c r="L158" s="444"/>
      <c r="M158" s="444"/>
      <c r="N158" s="444"/>
      <c r="O158" s="188"/>
      <c r="P158" s="444"/>
      <c r="Q158" s="444"/>
      <c r="R158" s="444"/>
      <c r="S158" s="444"/>
      <c r="T158" s="444"/>
      <c r="U158" s="444"/>
      <c r="V158" s="523">
        <f>V$134+V144+U$134+T$134++S134+R134+Q134+P134+O134+N134</f>
        <v>0</v>
      </c>
      <c r="W158" s="444"/>
      <c r="X158" s="444"/>
      <c r="Y158" s="444"/>
      <c r="Z158" s="444"/>
      <c r="AA158" s="188"/>
      <c r="AB158" s="444"/>
      <c r="AC158" s="444"/>
      <c r="AD158" s="444"/>
      <c r="AE158" s="444"/>
      <c r="AF158" s="444"/>
      <c r="AG158" s="444"/>
      <c r="AH158" s="523">
        <f>AH$134+AH144+AG$134+AF$134++AE134+AD134+AC134+AB134+AA134+Z134</f>
        <v>0</v>
      </c>
      <c r="AI158" s="444"/>
      <c r="AJ158" s="444"/>
      <c r="AK158" s="444"/>
      <c r="AL158" s="562"/>
    </row>
    <row r="159" spans="1:38">
      <c r="A159" s="509" t="s">
        <v>413</v>
      </c>
      <c r="B159" s="53"/>
      <c r="C159" s="53"/>
      <c r="D159" s="444"/>
      <c r="E159" s="444"/>
      <c r="F159" s="444"/>
      <c r="G159" s="444"/>
      <c r="H159" s="444"/>
      <c r="I159" s="444"/>
      <c r="J159" s="444"/>
      <c r="K159" s="523">
        <f>K$134+K145+J$134+I$134++B134+C134+D134+E134+F134+G134+H134</f>
        <v>0</v>
      </c>
      <c r="L159" s="444"/>
      <c r="M159" s="444"/>
      <c r="N159" s="444"/>
      <c r="O159" s="53"/>
      <c r="P159" s="444"/>
      <c r="Q159" s="444"/>
      <c r="R159" s="444"/>
      <c r="S159" s="444"/>
      <c r="T159" s="444"/>
      <c r="U159" s="444"/>
      <c r="V159" s="444"/>
      <c r="W159" s="523">
        <f>W$134+W145+V$134+U$134++N134+O134+P134+Q134+R134+S134+T134</f>
        <v>0</v>
      </c>
      <c r="X159" s="444"/>
      <c r="Y159" s="444"/>
      <c r="Z159" s="444"/>
      <c r="AA159" s="53"/>
      <c r="AB159" s="444"/>
      <c r="AC159" s="444"/>
      <c r="AD159" s="444"/>
      <c r="AE159" s="444"/>
      <c r="AF159" s="444"/>
      <c r="AG159" s="444"/>
      <c r="AH159" s="444"/>
      <c r="AI159" s="523">
        <f>AI$134+AI145+AH$134+AG$134++Z134+AA134+AB134+AC134+AD134+AE134+AF134</f>
        <v>0</v>
      </c>
      <c r="AJ159" s="444"/>
      <c r="AK159" s="444"/>
      <c r="AL159" s="562"/>
    </row>
    <row r="160" spans="1:38">
      <c r="A160" s="510" t="s">
        <v>414</v>
      </c>
      <c r="B160" s="440"/>
      <c r="C160" s="188"/>
      <c r="D160" s="444"/>
      <c r="E160" s="444"/>
      <c r="F160" s="444"/>
      <c r="G160" s="444"/>
      <c r="H160" s="444"/>
      <c r="I160" s="444"/>
      <c r="J160" s="444"/>
      <c r="K160" s="444"/>
      <c r="L160" s="523">
        <f>L$134+L146+K$134+J$134+I134+H134+G134+F134+E134+D134+C134+B134</f>
        <v>0</v>
      </c>
      <c r="M160" s="444"/>
      <c r="N160" s="444"/>
      <c r="O160" s="188"/>
      <c r="P160" s="444"/>
      <c r="Q160" s="444"/>
      <c r="R160" s="444"/>
      <c r="S160" s="444"/>
      <c r="T160" s="444"/>
      <c r="U160" s="444"/>
      <c r="V160" s="444"/>
      <c r="W160" s="444"/>
      <c r="X160" s="523">
        <f>X$134+X146+W$134+V$134+U134+T134+S134+R134+Q134+P134+O134+N134</f>
        <v>0</v>
      </c>
      <c r="Y160" s="444"/>
      <c r="Z160" s="444"/>
      <c r="AA160" s="188"/>
      <c r="AB160" s="444"/>
      <c r="AC160" s="444"/>
      <c r="AD160" s="444"/>
      <c r="AE160" s="444"/>
      <c r="AF160" s="444"/>
      <c r="AG160" s="444"/>
      <c r="AH160" s="444"/>
      <c r="AI160" s="444"/>
      <c r="AJ160" s="523">
        <f>AJ$134+AJ146+AI$134+AH$134+AG134+AF134+AE134+AD134+AC134+AB134+AA134+Z134</f>
        <v>0</v>
      </c>
      <c r="AK160" s="444"/>
      <c r="AL160" s="562"/>
    </row>
    <row r="161" spans="1:38">
      <c r="A161" s="511" t="s">
        <v>415</v>
      </c>
      <c r="B161" s="53"/>
      <c r="C161" s="53"/>
      <c r="D161" s="444"/>
      <c r="E161" s="444"/>
      <c r="F161" s="444"/>
      <c r="G161" s="444"/>
      <c r="H161" s="444"/>
      <c r="I161" s="444"/>
      <c r="J161" s="444"/>
      <c r="K161" s="444"/>
      <c r="L161" s="444"/>
      <c r="M161" s="523">
        <f>M$134+M147+L$134+K$134+J134+I134+H134+G134+F134+E134+D134+C134+B134</f>
        <v>0</v>
      </c>
      <c r="N161" s="444"/>
      <c r="O161" s="53"/>
      <c r="P161" s="444"/>
      <c r="Q161" s="444"/>
      <c r="R161" s="444"/>
      <c r="S161" s="444"/>
      <c r="T161" s="444"/>
      <c r="U161" s="444"/>
      <c r="V161" s="444"/>
      <c r="W161" s="444"/>
      <c r="X161" s="444"/>
      <c r="Y161" s="523">
        <f>Y$134+Y147+X$134+W$134+V134+U134+T134+S134+R134+Q134+P134+O134+N134</f>
        <v>0</v>
      </c>
      <c r="Z161" s="444"/>
      <c r="AA161" s="53"/>
      <c r="AB161" s="444"/>
      <c r="AC161" s="444"/>
      <c r="AD161" s="444"/>
      <c r="AE161" s="444"/>
      <c r="AF161" s="444"/>
      <c r="AG161" s="444"/>
      <c r="AH161" s="444"/>
      <c r="AI161" s="444"/>
      <c r="AJ161" s="444"/>
      <c r="AK161" s="523">
        <f>AK$134+AK147+AJ$134+AI$134+AH134+AG134+AF134+AE134+AD134+AC134+AB134+AA134+Z134</f>
        <v>0</v>
      </c>
      <c r="AL161" s="562"/>
    </row>
    <row r="162" spans="1:38" ht="12.9" thickBot="1">
      <c r="A162" s="512" t="s">
        <v>416</v>
      </c>
      <c r="B162" s="513"/>
      <c r="C162" s="191"/>
      <c r="D162" s="514"/>
      <c r="E162" s="514"/>
      <c r="F162" s="514"/>
      <c r="G162" s="514"/>
      <c r="H162" s="514"/>
      <c r="I162" s="514"/>
      <c r="J162" s="514"/>
      <c r="K162" s="514"/>
      <c r="L162" s="514"/>
      <c r="M162" s="514"/>
      <c r="N162" s="563">
        <f>N$134+N148+M$134+L$134+K134+J134+I134+H134+G134+F134+E134+D134+C134+B134</f>
        <v>0</v>
      </c>
      <c r="O162" s="191"/>
      <c r="P162" s="514"/>
      <c r="Q162" s="514"/>
      <c r="R162" s="514"/>
      <c r="S162" s="514"/>
      <c r="T162" s="514"/>
      <c r="U162" s="514"/>
      <c r="V162" s="514"/>
      <c r="W162" s="514"/>
      <c r="X162" s="514"/>
      <c r="Y162" s="514"/>
      <c r="Z162" s="563">
        <f>Z$134+Z148+Y$134+X$134+W134+V134+U134+T134+S134+R134+Q134+P134+O134</f>
        <v>0</v>
      </c>
      <c r="AA162" s="191"/>
      <c r="AB162" s="514"/>
      <c r="AC162" s="514"/>
      <c r="AD162" s="514"/>
      <c r="AE162" s="514"/>
      <c r="AF162" s="514"/>
      <c r="AG162" s="514"/>
      <c r="AH162" s="514"/>
      <c r="AI162" s="514"/>
      <c r="AJ162" s="514"/>
      <c r="AK162" s="514"/>
      <c r="AL162" s="563">
        <f>AL$134+AL148+AK$134+AJ$134+AI134+AH134+AG134+AF134+AE134+AD134+AC134+AB134+AA134</f>
        <v>0</v>
      </c>
    </row>
    <row r="163" spans="1:38">
      <c r="A163" s="445" t="s">
        <v>425</v>
      </c>
      <c r="B163" s="446">
        <f>L24</f>
        <v>0</v>
      </c>
      <c r="C163" s="447">
        <f>B163-B164</f>
        <v>0</v>
      </c>
      <c r="D163" s="447">
        <f>C163-C164</f>
        <v>0</v>
      </c>
      <c r="E163" s="447">
        <f t="shared" ref="E163:AL163" si="20">D163-D164</f>
        <v>0</v>
      </c>
      <c r="F163" s="447">
        <f t="shared" si="20"/>
        <v>0</v>
      </c>
      <c r="G163" s="447">
        <f t="shared" si="20"/>
        <v>0</v>
      </c>
      <c r="H163" s="447">
        <f t="shared" si="20"/>
        <v>0</v>
      </c>
      <c r="I163" s="447">
        <f t="shared" si="20"/>
        <v>0</v>
      </c>
      <c r="J163" s="447">
        <f t="shared" si="20"/>
        <v>0</v>
      </c>
      <c r="K163" s="447">
        <f t="shared" si="20"/>
        <v>0</v>
      </c>
      <c r="L163" s="447">
        <f>K163-K164</f>
        <v>0</v>
      </c>
      <c r="M163" s="447">
        <f t="shared" si="20"/>
        <v>0</v>
      </c>
      <c r="N163" s="447">
        <f t="shared" si="20"/>
        <v>0</v>
      </c>
      <c r="O163" s="447">
        <f t="shared" si="20"/>
        <v>0</v>
      </c>
      <c r="P163" s="447">
        <f t="shared" si="20"/>
        <v>0</v>
      </c>
      <c r="Q163" s="447">
        <f t="shared" si="20"/>
        <v>0</v>
      </c>
      <c r="R163" s="447">
        <f t="shared" si="20"/>
        <v>0</v>
      </c>
      <c r="S163" s="447">
        <f t="shared" si="20"/>
        <v>0</v>
      </c>
      <c r="T163" s="447">
        <f t="shared" si="20"/>
        <v>0</v>
      </c>
      <c r="U163" s="447">
        <f t="shared" si="20"/>
        <v>0</v>
      </c>
      <c r="V163" s="447">
        <f t="shared" si="20"/>
        <v>0</v>
      </c>
      <c r="W163" s="447">
        <f t="shared" si="20"/>
        <v>0</v>
      </c>
      <c r="X163" s="447">
        <f t="shared" si="20"/>
        <v>0</v>
      </c>
      <c r="Y163" s="447">
        <f t="shared" si="20"/>
        <v>0</v>
      </c>
      <c r="Z163" s="447">
        <f t="shared" si="20"/>
        <v>0</v>
      </c>
      <c r="AA163" s="447">
        <f t="shared" si="20"/>
        <v>0</v>
      </c>
      <c r="AB163" s="447">
        <f t="shared" si="20"/>
        <v>0</v>
      </c>
      <c r="AC163" s="447">
        <f t="shared" si="20"/>
        <v>0</v>
      </c>
      <c r="AD163" s="447">
        <f t="shared" si="20"/>
        <v>0</v>
      </c>
      <c r="AE163" s="447">
        <f t="shared" si="20"/>
        <v>0</v>
      </c>
      <c r="AF163" s="447">
        <f t="shared" si="20"/>
        <v>0</v>
      </c>
      <c r="AG163" s="447">
        <f t="shared" si="20"/>
        <v>0</v>
      </c>
      <c r="AH163" s="447">
        <f t="shared" si="20"/>
        <v>0</v>
      </c>
      <c r="AI163" s="447">
        <f t="shared" si="20"/>
        <v>0</v>
      </c>
      <c r="AJ163" s="447">
        <f t="shared" si="20"/>
        <v>0</v>
      </c>
      <c r="AK163" s="447">
        <f t="shared" si="20"/>
        <v>0</v>
      </c>
      <c r="AL163" s="447">
        <f t="shared" si="20"/>
        <v>0</v>
      </c>
    </row>
    <row r="164" spans="1:38">
      <c r="A164" s="7" t="s">
        <v>476</v>
      </c>
      <c r="B164" s="446">
        <f>K31</f>
        <v>0</v>
      </c>
      <c r="C164" s="447">
        <f>L31/3</f>
        <v>0</v>
      </c>
      <c r="D164" s="522">
        <f>C164</f>
        <v>0</v>
      </c>
      <c r="E164" s="522">
        <f>D164</f>
        <v>0</v>
      </c>
      <c r="F164" s="447">
        <f>M31/3</f>
        <v>0</v>
      </c>
      <c r="G164" s="522">
        <f>F164</f>
        <v>0</v>
      </c>
      <c r="H164" s="522">
        <f>G164</f>
        <v>0</v>
      </c>
      <c r="I164" s="447">
        <f>N31/3</f>
        <v>0</v>
      </c>
      <c r="J164" s="522">
        <f>I164</f>
        <v>0</v>
      </c>
      <c r="K164" s="522">
        <f>J164</f>
        <v>0</v>
      </c>
      <c r="L164" s="447">
        <f>O31/3</f>
        <v>0</v>
      </c>
      <c r="M164" s="522">
        <f>L164</f>
        <v>0</v>
      </c>
      <c r="N164" s="522">
        <f>M164</f>
        <v>0</v>
      </c>
      <c r="O164" s="447">
        <f>P31/3</f>
        <v>0</v>
      </c>
      <c r="P164" s="522">
        <f>O164</f>
        <v>0</v>
      </c>
      <c r="Q164" s="522">
        <f>P164</f>
        <v>0</v>
      </c>
      <c r="R164" s="447">
        <f>Q31/3</f>
        <v>0</v>
      </c>
      <c r="S164" s="522">
        <f>R164</f>
        <v>0</v>
      </c>
      <c r="T164" s="522">
        <f>S164</f>
        <v>0</v>
      </c>
      <c r="U164" s="447">
        <f>R31/3</f>
        <v>0</v>
      </c>
      <c r="V164" s="522">
        <f>U164</f>
        <v>0</v>
      </c>
      <c r="W164" s="522">
        <f>V164</f>
        <v>0</v>
      </c>
      <c r="X164" s="447">
        <f>S31/3</f>
        <v>0</v>
      </c>
      <c r="Y164" s="522">
        <f>X164</f>
        <v>0</v>
      </c>
      <c r="Z164" s="522">
        <f>Y164</f>
        <v>0</v>
      </c>
      <c r="AA164" s="447">
        <f>T31/3</f>
        <v>0</v>
      </c>
      <c r="AB164" s="522">
        <f>AA164</f>
        <v>0</v>
      </c>
      <c r="AC164" s="522">
        <f>AB164</f>
        <v>0</v>
      </c>
      <c r="AD164" s="447">
        <f>U31/3</f>
        <v>0</v>
      </c>
      <c r="AE164" s="522">
        <f>AD164</f>
        <v>0</v>
      </c>
      <c r="AF164" s="522">
        <f>AE164</f>
        <v>0</v>
      </c>
      <c r="AG164" s="447">
        <f>V31/3</f>
        <v>0</v>
      </c>
      <c r="AH164" s="522">
        <f>AG164</f>
        <v>0</v>
      </c>
      <c r="AI164" s="522">
        <f>AH164</f>
        <v>0</v>
      </c>
      <c r="AJ164" s="447">
        <f>W31/3</f>
        <v>0</v>
      </c>
      <c r="AK164" s="522">
        <f>AJ164</f>
        <v>0</v>
      </c>
      <c r="AL164" s="522">
        <f>AK164</f>
        <v>0</v>
      </c>
    </row>
    <row r="165" spans="1:38">
      <c r="A165" s="7" t="s">
        <v>477</v>
      </c>
      <c r="B165" s="446">
        <f>K30</f>
        <v>0</v>
      </c>
      <c r="C165" s="519">
        <f>L29</f>
        <v>0</v>
      </c>
      <c r="D165" s="520">
        <f>C165</f>
        <v>0</v>
      </c>
      <c r="E165" s="520">
        <f>D165</f>
        <v>0</v>
      </c>
      <c r="F165" s="520">
        <f>M29</f>
        <v>0</v>
      </c>
      <c r="G165" s="520">
        <f>F165</f>
        <v>0</v>
      </c>
      <c r="H165" s="520">
        <f>G165</f>
        <v>0</v>
      </c>
      <c r="I165" s="520">
        <f>N29</f>
        <v>0</v>
      </c>
      <c r="J165" s="520">
        <f>I165</f>
        <v>0</v>
      </c>
      <c r="K165" s="520">
        <f>J165</f>
        <v>0</v>
      </c>
      <c r="L165" s="521">
        <f>O29</f>
        <v>0</v>
      </c>
      <c r="M165" s="520">
        <f>L165</f>
        <v>0</v>
      </c>
      <c r="N165" s="520">
        <f>M165</f>
        <v>0</v>
      </c>
      <c r="O165" s="447">
        <f>P29</f>
        <v>0</v>
      </c>
      <c r="P165" s="520">
        <f>O165</f>
        <v>0</v>
      </c>
      <c r="Q165" s="520">
        <f>P165</f>
        <v>0</v>
      </c>
      <c r="R165" s="447">
        <f>Q29</f>
        <v>0</v>
      </c>
      <c r="S165" s="520">
        <f>R165</f>
        <v>0</v>
      </c>
      <c r="T165" s="520">
        <f>S165</f>
        <v>0</v>
      </c>
      <c r="U165" s="447">
        <f>R29</f>
        <v>0</v>
      </c>
      <c r="V165" s="520">
        <f>U165</f>
        <v>0</v>
      </c>
      <c r="W165" s="520">
        <f>V165</f>
        <v>0</v>
      </c>
      <c r="X165" s="447">
        <f>S29</f>
        <v>0</v>
      </c>
      <c r="Y165" s="520">
        <f>X165</f>
        <v>0</v>
      </c>
      <c r="Z165" s="520">
        <f>Y165</f>
        <v>0</v>
      </c>
      <c r="AA165" s="447">
        <f>T29</f>
        <v>0</v>
      </c>
      <c r="AB165" s="520">
        <f>AA165</f>
        <v>0</v>
      </c>
      <c r="AC165" s="520">
        <f>AB165</f>
        <v>0</v>
      </c>
      <c r="AD165" s="447">
        <f>U29</f>
        <v>0</v>
      </c>
      <c r="AE165" s="520">
        <f>AD165</f>
        <v>0</v>
      </c>
      <c r="AF165" s="520">
        <f>AE165</f>
        <v>0</v>
      </c>
      <c r="AG165" s="447">
        <f>V29</f>
        <v>0</v>
      </c>
      <c r="AH165" s="520">
        <f>AG165</f>
        <v>0</v>
      </c>
      <c r="AI165" s="520">
        <f>AH165</f>
        <v>0</v>
      </c>
      <c r="AJ165" s="447">
        <f>W29</f>
        <v>0</v>
      </c>
      <c r="AK165" s="520">
        <f>AJ165</f>
        <v>0</v>
      </c>
      <c r="AL165" s="520">
        <f>AK165</f>
        <v>0</v>
      </c>
    </row>
    <row r="166" spans="1:38">
      <c r="A166" s="452" t="s">
        <v>406</v>
      </c>
      <c r="B166" s="453">
        <f>K30</f>
        <v>0</v>
      </c>
      <c r="L166" s="189"/>
      <c r="M166" s="189"/>
      <c r="N166" s="454">
        <f>SUM(C165:N165)</f>
        <v>0</v>
      </c>
      <c r="O166" s="189"/>
      <c r="P166" s="91"/>
      <c r="Z166" s="454">
        <f>SUM(O165:Z165)</f>
        <v>0</v>
      </c>
      <c r="AL166" t="s">
        <v>0</v>
      </c>
    </row>
    <row r="167" spans="1:38">
      <c r="A167" s="455" t="s">
        <v>407</v>
      </c>
      <c r="B167" s="68"/>
      <c r="C167" s="458">
        <f>$L$29*C$78</f>
        <v>0</v>
      </c>
      <c r="D167" s="189"/>
      <c r="E167" s="189"/>
      <c r="F167" s="189"/>
      <c r="G167" s="189"/>
      <c r="H167" s="189"/>
      <c r="I167" s="189"/>
      <c r="J167" s="189"/>
      <c r="K167" s="189"/>
      <c r="L167" s="189"/>
      <c r="M167" s="189"/>
      <c r="O167" s="459">
        <f>SUM(D165:O165)</f>
        <v>0</v>
      </c>
      <c r="P167" s="91"/>
      <c r="AA167" s="459">
        <f>SUM(P165:AA165)</f>
        <v>0</v>
      </c>
      <c r="AB167" s="91"/>
    </row>
    <row r="168" spans="1:38">
      <c r="A168" s="457" t="s">
        <v>418</v>
      </c>
      <c r="B168" s="53"/>
      <c r="C168" s="53"/>
      <c r="D168" s="460">
        <f>$L$29*D$78</f>
        <v>0</v>
      </c>
      <c r="E168" s="444"/>
      <c r="F168" s="444"/>
      <c r="G168" s="444"/>
      <c r="H168" s="444"/>
      <c r="I168" s="444"/>
      <c r="J168" s="444"/>
      <c r="K168" s="444"/>
      <c r="L168" s="444"/>
      <c r="M168" s="444"/>
      <c r="N168" s="444"/>
      <c r="O168" s="189"/>
      <c r="P168" s="461">
        <f>SUM(E165:P165)</f>
        <v>0</v>
      </c>
      <c r="AA168" s="189"/>
      <c r="AB168" s="461">
        <f>SUM(Q165:AB165)</f>
        <v>0</v>
      </c>
    </row>
    <row r="169" spans="1:38">
      <c r="A169" s="550" t="s">
        <v>417</v>
      </c>
      <c r="B169" s="68"/>
      <c r="C169" s="188"/>
      <c r="D169" s="444"/>
      <c r="E169" s="463">
        <f>$L$29*E$78</f>
        <v>0</v>
      </c>
      <c r="F169" s="444"/>
      <c r="G169" s="444"/>
      <c r="H169" s="444"/>
      <c r="I169" s="444"/>
      <c r="J169" s="444"/>
      <c r="K169" s="444"/>
      <c r="L169" s="444"/>
      <c r="M169" s="444"/>
      <c r="N169" s="444"/>
      <c r="O169" s="189"/>
      <c r="P169" s="91"/>
      <c r="Q169" s="462">
        <f>SUM(F165:Q165)</f>
        <v>0</v>
      </c>
      <c r="AA169" s="189"/>
      <c r="AB169" s="91"/>
      <c r="AC169" s="462">
        <f>SUM(R165:AC165)</f>
        <v>0</v>
      </c>
    </row>
    <row r="170" spans="1:38">
      <c r="A170" s="504" t="s">
        <v>408</v>
      </c>
      <c r="B170" s="68"/>
      <c r="C170" s="188"/>
      <c r="D170" s="444"/>
      <c r="E170" s="444"/>
      <c r="F170" s="464">
        <f>F$78*$M$29</f>
        <v>0</v>
      </c>
      <c r="G170" s="444"/>
      <c r="H170" s="444"/>
      <c r="I170" s="444"/>
      <c r="J170" s="444"/>
      <c r="K170" s="444"/>
      <c r="L170" s="444"/>
      <c r="M170" s="444"/>
      <c r="N170" s="444"/>
      <c r="O170" s="189"/>
      <c r="P170" s="91"/>
      <c r="R170" s="465">
        <f>SUM(G165:R165)</f>
        <v>0</v>
      </c>
      <c r="AA170" s="189"/>
      <c r="AB170" s="91"/>
      <c r="AD170" s="465">
        <f>SUM(S165:AD165)</f>
        <v>0</v>
      </c>
    </row>
    <row r="171" spans="1:38">
      <c r="A171" s="505" t="s">
        <v>409</v>
      </c>
      <c r="B171" s="53"/>
      <c r="C171" s="53"/>
      <c r="D171" s="444"/>
      <c r="E171" s="444"/>
      <c r="F171" s="444"/>
      <c r="G171" s="467">
        <f>G$78*$M$29</f>
        <v>0</v>
      </c>
      <c r="H171" s="444"/>
      <c r="I171" s="444"/>
      <c r="J171" s="444"/>
      <c r="K171" s="444"/>
      <c r="L171" s="444"/>
      <c r="M171" s="444"/>
      <c r="N171" s="444"/>
      <c r="O171" s="189"/>
      <c r="P171" s="91"/>
      <c r="S171" s="466">
        <f>SUM(H165:S165)</f>
        <v>0</v>
      </c>
      <c r="AA171" s="189"/>
      <c r="AB171" s="91"/>
      <c r="AE171" s="466">
        <f>SUM(T165:AE165)</f>
        <v>0</v>
      </c>
    </row>
    <row r="172" spans="1:38">
      <c r="A172" s="472" t="s">
        <v>410</v>
      </c>
      <c r="B172" s="68"/>
      <c r="C172" s="188"/>
      <c r="D172" s="444"/>
      <c r="E172" s="444"/>
      <c r="F172" s="444"/>
      <c r="G172" s="444"/>
      <c r="H172" s="473">
        <f>H$78*$M$29</f>
        <v>0</v>
      </c>
      <c r="I172" s="444"/>
      <c r="J172" s="444"/>
      <c r="K172" s="444"/>
      <c r="L172" s="444"/>
      <c r="M172" s="444"/>
      <c r="N172" s="444"/>
      <c r="O172" s="189"/>
      <c r="P172" s="91"/>
      <c r="T172" s="474">
        <f>SUM(I165:T165)</f>
        <v>0</v>
      </c>
      <c r="AA172" s="189"/>
      <c r="AB172" s="91"/>
      <c r="AF172" s="474">
        <f>SUM(U165:AF165)</f>
        <v>0</v>
      </c>
    </row>
    <row r="173" spans="1:38">
      <c r="A173" s="469" t="s">
        <v>411</v>
      </c>
      <c r="B173" s="53"/>
      <c r="C173" s="53"/>
      <c r="D173" s="444"/>
      <c r="E173" s="444"/>
      <c r="F173" s="444"/>
      <c r="G173" s="444"/>
      <c r="H173" s="444"/>
      <c r="I173" s="479">
        <f>I$78*$N$29</f>
        <v>0</v>
      </c>
      <c r="J173" s="444"/>
      <c r="K173" s="444"/>
      <c r="L173" s="444"/>
      <c r="M173" s="444"/>
      <c r="N173" s="444"/>
      <c r="O173" s="189"/>
      <c r="P173" s="91"/>
      <c r="U173" s="475">
        <f>SUM(J165:U165)</f>
        <v>0</v>
      </c>
      <c r="AA173" s="189"/>
      <c r="AB173" s="91"/>
      <c r="AG173" s="475">
        <f>SUM(V165:AG165)</f>
        <v>0</v>
      </c>
    </row>
    <row r="174" spans="1:38">
      <c r="A174" s="470" t="s">
        <v>412</v>
      </c>
      <c r="B174" s="68"/>
      <c r="C174" s="188"/>
      <c r="D174" s="444"/>
      <c r="E174" s="444"/>
      <c r="F174" s="444"/>
      <c r="G174" s="444"/>
      <c r="H174" s="444"/>
      <c r="I174" s="444"/>
      <c r="J174" s="480">
        <f>J$78*$N$29</f>
        <v>0</v>
      </c>
      <c r="K174" s="444"/>
      <c r="L174" s="444"/>
      <c r="M174" s="444"/>
      <c r="N174" s="444"/>
      <c r="O174" s="189"/>
      <c r="P174" s="91"/>
      <c r="V174" s="476">
        <f>SUM(K165:V165)</f>
        <v>0</v>
      </c>
      <c r="AA174" s="189"/>
      <c r="AB174" s="91"/>
      <c r="AH174" s="476">
        <f>SUM(W165:AH165)</f>
        <v>0</v>
      </c>
    </row>
    <row r="175" spans="1:38">
      <c r="A175" s="471" t="s">
        <v>413</v>
      </c>
      <c r="B175" s="53"/>
      <c r="C175" s="53"/>
      <c r="D175" s="444"/>
      <c r="E175" s="444"/>
      <c r="F175" s="444"/>
      <c r="G175" s="444"/>
      <c r="H175" s="444"/>
      <c r="I175" s="444"/>
      <c r="J175" s="444"/>
      <c r="K175" s="481">
        <f>K$78*$N$29</f>
        <v>0</v>
      </c>
      <c r="L175" s="444"/>
      <c r="M175" s="444"/>
      <c r="N175" s="444"/>
      <c r="O175" s="189"/>
      <c r="P175" s="91"/>
      <c r="W175" s="477">
        <f>SUM(L165:W165)</f>
        <v>0</v>
      </c>
      <c r="AA175" s="189"/>
      <c r="AB175" s="91"/>
      <c r="AI175" s="477">
        <f>SUM(X165:AI165)</f>
        <v>0</v>
      </c>
    </row>
    <row r="176" spans="1:38">
      <c r="A176" s="482" t="s">
        <v>414</v>
      </c>
      <c r="B176" s="68"/>
      <c r="C176" s="188"/>
      <c r="D176" s="444"/>
      <c r="E176" s="444"/>
      <c r="F176" s="444"/>
      <c r="G176" s="444"/>
      <c r="H176" s="444"/>
      <c r="I176" s="444"/>
      <c r="J176" s="444"/>
      <c r="K176" s="444"/>
      <c r="L176" s="483">
        <f>L$78*$O$29</f>
        <v>0</v>
      </c>
      <c r="M176" s="444"/>
      <c r="N176" s="444"/>
      <c r="O176" s="189"/>
      <c r="P176" s="91"/>
      <c r="X176" s="478">
        <f>SUM(M165:X165)</f>
        <v>0</v>
      </c>
      <c r="AA176" s="189"/>
      <c r="AB176" s="91"/>
      <c r="AJ176" s="478">
        <f>SUM(Y165:AJ165)</f>
        <v>0</v>
      </c>
    </row>
    <row r="177" spans="1:38">
      <c r="A177" s="486" t="s">
        <v>415</v>
      </c>
      <c r="B177" s="53"/>
      <c r="C177" s="53"/>
      <c r="D177" s="444"/>
      <c r="E177" s="444"/>
      <c r="F177" s="444"/>
      <c r="G177" s="444"/>
      <c r="H177" s="444"/>
      <c r="I177" s="444"/>
      <c r="J177" s="444"/>
      <c r="K177" s="444"/>
      <c r="L177" s="444"/>
      <c r="M177" s="485">
        <f>M$78*$O$29</f>
        <v>0</v>
      </c>
      <c r="N177" s="444"/>
      <c r="O177" s="189"/>
      <c r="P177" s="91"/>
      <c r="Y177" s="484">
        <f>SUM(N165:Y165)</f>
        <v>0</v>
      </c>
      <c r="AA177" s="189"/>
      <c r="AB177" s="91"/>
      <c r="AK177" s="484">
        <f>SUM(Z165:AK165)</f>
        <v>0</v>
      </c>
    </row>
    <row r="178" spans="1:38">
      <c r="A178" s="487" t="s">
        <v>416</v>
      </c>
      <c r="B178" s="68"/>
      <c r="C178" s="188"/>
      <c r="D178" s="444"/>
      <c r="E178" s="444"/>
      <c r="F178" s="444"/>
      <c r="G178" s="444"/>
      <c r="H178" s="444"/>
      <c r="I178" s="444"/>
      <c r="J178" s="444"/>
      <c r="K178" s="444"/>
      <c r="L178" s="444"/>
      <c r="M178" s="444"/>
      <c r="N178" s="488">
        <f>N$78*$O$29</f>
        <v>0</v>
      </c>
      <c r="O178" s="189"/>
      <c r="P178" s="91"/>
      <c r="Z178" s="489">
        <f>SUM(O165:Z165)</f>
        <v>0</v>
      </c>
      <c r="AA178" s="189"/>
      <c r="AB178" s="91"/>
      <c r="AL178" s="489">
        <f>SUM(AA165:AL165)</f>
        <v>0</v>
      </c>
    </row>
    <row r="179" spans="1:38">
      <c r="B179" s="200"/>
      <c r="C179" s="211"/>
      <c r="D179" s="8"/>
      <c r="E179" s="8"/>
      <c r="F179" s="8"/>
      <c r="G179" s="8"/>
      <c r="H179" s="8"/>
      <c r="I179" s="8"/>
      <c r="J179" s="8"/>
      <c r="K179" s="8"/>
      <c r="L179" s="8"/>
      <c r="M179" s="8"/>
      <c r="N179" s="8"/>
      <c r="O179" s="8"/>
      <c r="P179" s="8"/>
    </row>
    <row r="180" spans="1:38" ht="12.9" thickBot="1">
      <c r="A180" s="543" t="s">
        <v>461</v>
      </c>
      <c r="B180" s="544"/>
      <c r="C180" s="545"/>
      <c r="D180" s="546"/>
      <c r="E180" s="546"/>
      <c r="F180" s="546"/>
      <c r="G180" s="546"/>
      <c r="H180" s="546"/>
      <c r="I180" s="546"/>
      <c r="J180" s="546"/>
      <c r="K180" s="546"/>
      <c r="L180" s="546"/>
      <c r="M180" s="546"/>
      <c r="N180" s="546"/>
      <c r="O180" s="546"/>
      <c r="P180" s="546"/>
      <c r="Q180" s="547"/>
      <c r="R180" s="547"/>
      <c r="S180" s="547"/>
      <c r="T180" s="547"/>
      <c r="U180" s="547"/>
      <c r="V180" s="547"/>
      <c r="W180" s="547"/>
      <c r="X180" s="547"/>
      <c r="Y180" s="547"/>
      <c r="Z180" s="547"/>
      <c r="AA180" s="547"/>
      <c r="AB180" s="547"/>
      <c r="AC180" s="547"/>
      <c r="AD180" s="547"/>
      <c r="AE180" s="547"/>
      <c r="AF180" s="547"/>
      <c r="AG180" s="547"/>
      <c r="AH180" s="547"/>
      <c r="AI180" s="547"/>
      <c r="AJ180" s="547"/>
      <c r="AK180" s="547"/>
      <c r="AL180" s="547"/>
    </row>
    <row r="181" spans="1:38">
      <c r="A181" s="497" t="s">
        <v>423</v>
      </c>
      <c r="B181" s="498">
        <f t="shared" ref="B181:AL181" si="21">B79+B97+B115</f>
        <v>0</v>
      </c>
      <c r="C181" s="498">
        <f t="shared" si="21"/>
        <v>0</v>
      </c>
      <c r="D181" s="498">
        <f t="shared" si="21"/>
        <v>0</v>
      </c>
      <c r="E181" s="498">
        <f t="shared" si="21"/>
        <v>0</v>
      </c>
      <c r="F181" s="498">
        <f t="shared" si="21"/>
        <v>0</v>
      </c>
      <c r="G181" s="498">
        <f t="shared" si="21"/>
        <v>0</v>
      </c>
      <c r="H181" s="498">
        <f t="shared" si="21"/>
        <v>0</v>
      </c>
      <c r="I181" s="498">
        <f t="shared" si="21"/>
        <v>0</v>
      </c>
      <c r="J181" s="498">
        <f t="shared" si="21"/>
        <v>0</v>
      </c>
      <c r="K181" s="498">
        <f t="shared" si="21"/>
        <v>0</v>
      </c>
      <c r="L181" s="498">
        <f t="shared" si="21"/>
        <v>0</v>
      </c>
      <c r="M181" s="498">
        <f t="shared" si="21"/>
        <v>0</v>
      </c>
      <c r="N181" s="498">
        <f t="shared" si="21"/>
        <v>0</v>
      </c>
      <c r="O181" s="498">
        <f t="shared" si="21"/>
        <v>0</v>
      </c>
      <c r="P181" s="498">
        <f t="shared" si="21"/>
        <v>0</v>
      </c>
      <c r="Q181" s="498">
        <f t="shared" si="21"/>
        <v>0</v>
      </c>
      <c r="R181" s="498">
        <f t="shared" si="21"/>
        <v>0</v>
      </c>
      <c r="S181" s="498">
        <f t="shared" si="21"/>
        <v>0</v>
      </c>
      <c r="T181" s="498">
        <f t="shared" si="21"/>
        <v>0</v>
      </c>
      <c r="U181" s="498">
        <f t="shared" si="21"/>
        <v>0</v>
      </c>
      <c r="V181" s="498">
        <f t="shared" si="21"/>
        <v>0</v>
      </c>
      <c r="W181" s="498">
        <f t="shared" si="21"/>
        <v>0</v>
      </c>
      <c r="X181" s="498">
        <f t="shared" si="21"/>
        <v>0</v>
      </c>
      <c r="Y181" s="498">
        <f t="shared" si="21"/>
        <v>0</v>
      </c>
      <c r="Z181" s="498">
        <f t="shared" si="21"/>
        <v>0</v>
      </c>
      <c r="AA181" s="498">
        <f t="shared" si="21"/>
        <v>0</v>
      </c>
      <c r="AB181" s="498">
        <f t="shared" si="21"/>
        <v>0</v>
      </c>
      <c r="AC181" s="498">
        <f t="shared" si="21"/>
        <v>0</v>
      </c>
      <c r="AD181" s="498">
        <f t="shared" si="21"/>
        <v>0</v>
      </c>
      <c r="AE181" s="498">
        <f t="shared" si="21"/>
        <v>0</v>
      </c>
      <c r="AF181" s="498">
        <f t="shared" si="21"/>
        <v>0</v>
      </c>
      <c r="AG181" s="498">
        <f t="shared" si="21"/>
        <v>0</v>
      </c>
      <c r="AH181" s="498">
        <f t="shared" si="21"/>
        <v>0</v>
      </c>
      <c r="AI181" s="498">
        <f t="shared" si="21"/>
        <v>0</v>
      </c>
      <c r="AJ181" s="498">
        <f t="shared" si="21"/>
        <v>0</v>
      </c>
      <c r="AK181" s="498">
        <f t="shared" si="21"/>
        <v>0</v>
      </c>
      <c r="AL181" s="499">
        <f t="shared" si="21"/>
        <v>0</v>
      </c>
    </row>
    <row r="182" spans="1:38">
      <c r="A182" s="500" t="s">
        <v>424</v>
      </c>
      <c r="B182" s="446">
        <f t="shared" ref="B182:AL182" si="22">B80+B98+B116+B164</f>
        <v>0</v>
      </c>
      <c r="C182" s="446">
        <f t="shared" si="22"/>
        <v>0</v>
      </c>
      <c r="D182" s="446">
        <f t="shared" si="22"/>
        <v>0</v>
      </c>
      <c r="E182" s="446">
        <f t="shared" si="22"/>
        <v>0</v>
      </c>
      <c r="F182" s="446">
        <f t="shared" si="22"/>
        <v>0</v>
      </c>
      <c r="G182" s="446">
        <f t="shared" si="22"/>
        <v>0</v>
      </c>
      <c r="H182" s="446">
        <f t="shared" si="22"/>
        <v>0</v>
      </c>
      <c r="I182" s="446">
        <f t="shared" si="22"/>
        <v>0</v>
      </c>
      <c r="J182" s="446">
        <f t="shared" si="22"/>
        <v>0</v>
      </c>
      <c r="K182" s="446">
        <f t="shared" si="22"/>
        <v>0</v>
      </c>
      <c r="L182" s="446">
        <f t="shared" si="22"/>
        <v>0</v>
      </c>
      <c r="M182" s="446">
        <f t="shared" si="22"/>
        <v>0</v>
      </c>
      <c r="N182" s="446">
        <f t="shared" si="22"/>
        <v>0</v>
      </c>
      <c r="O182" s="446">
        <f t="shared" si="22"/>
        <v>0</v>
      </c>
      <c r="P182" s="446">
        <f t="shared" si="22"/>
        <v>0</v>
      </c>
      <c r="Q182" s="446">
        <f t="shared" si="22"/>
        <v>0</v>
      </c>
      <c r="R182" s="446">
        <f t="shared" si="22"/>
        <v>0</v>
      </c>
      <c r="S182" s="446">
        <f t="shared" si="22"/>
        <v>0</v>
      </c>
      <c r="T182" s="446">
        <f t="shared" si="22"/>
        <v>0</v>
      </c>
      <c r="U182" s="446">
        <f t="shared" si="22"/>
        <v>0</v>
      </c>
      <c r="V182" s="446">
        <f t="shared" si="22"/>
        <v>0</v>
      </c>
      <c r="W182" s="446">
        <f t="shared" si="22"/>
        <v>0</v>
      </c>
      <c r="X182" s="446">
        <f t="shared" si="22"/>
        <v>0</v>
      </c>
      <c r="Y182" s="446">
        <f t="shared" si="22"/>
        <v>0</v>
      </c>
      <c r="Z182" s="446">
        <f t="shared" si="22"/>
        <v>0</v>
      </c>
      <c r="AA182" s="446">
        <f t="shared" si="22"/>
        <v>0</v>
      </c>
      <c r="AB182" s="446">
        <f t="shared" si="22"/>
        <v>0</v>
      </c>
      <c r="AC182" s="446">
        <f t="shared" si="22"/>
        <v>0</v>
      </c>
      <c r="AD182" s="446">
        <f t="shared" si="22"/>
        <v>0</v>
      </c>
      <c r="AE182" s="446">
        <f t="shared" si="22"/>
        <v>0</v>
      </c>
      <c r="AF182" s="446">
        <f t="shared" si="22"/>
        <v>0</v>
      </c>
      <c r="AG182" s="446">
        <f t="shared" si="22"/>
        <v>0</v>
      </c>
      <c r="AH182" s="446">
        <f t="shared" si="22"/>
        <v>0</v>
      </c>
      <c r="AI182" s="446">
        <f t="shared" si="22"/>
        <v>0</v>
      </c>
      <c r="AJ182" s="446">
        <f t="shared" si="22"/>
        <v>0</v>
      </c>
      <c r="AK182" s="446">
        <f t="shared" si="22"/>
        <v>0</v>
      </c>
      <c r="AL182" s="446">
        <f t="shared" si="22"/>
        <v>0</v>
      </c>
    </row>
    <row r="183" spans="1:38">
      <c r="A183" s="523" t="s">
        <v>443</v>
      </c>
      <c r="B183" s="453">
        <f>B182</f>
        <v>0</v>
      </c>
      <c r="C183" s="188"/>
      <c r="D183" s="189"/>
      <c r="E183" s="189"/>
      <c r="F183" s="189"/>
      <c r="G183" s="189"/>
      <c r="H183" s="189"/>
      <c r="I183" s="189"/>
      <c r="J183" s="189"/>
      <c r="K183" s="189"/>
      <c r="L183" s="189"/>
      <c r="M183" s="189"/>
      <c r="N183" s="453">
        <f>SUM(C$182:N$182)</f>
        <v>0</v>
      </c>
      <c r="O183" s="189"/>
      <c r="P183" s="91"/>
      <c r="Z183" s="453">
        <f>SUM(O$182:Z$182)</f>
        <v>0</v>
      </c>
      <c r="AL183" s="147"/>
    </row>
    <row r="184" spans="1:38">
      <c r="A184" s="502" t="s">
        <v>407</v>
      </c>
      <c r="B184" s="68"/>
      <c r="C184" s="458">
        <f>B182+C182</f>
        <v>0</v>
      </c>
      <c r="D184" s="189"/>
      <c r="E184" s="189"/>
      <c r="F184" s="189"/>
      <c r="G184" s="189"/>
      <c r="H184" s="189"/>
      <c r="I184" s="189"/>
      <c r="J184" s="189"/>
      <c r="K184" s="189"/>
      <c r="L184" s="189"/>
      <c r="M184" s="189"/>
      <c r="O184" s="459">
        <f>SUM(D$182:O$182)</f>
        <v>0</v>
      </c>
      <c r="P184" s="91"/>
      <c r="AA184" s="459">
        <f>SUM(P$182:AA$182)</f>
        <v>0</v>
      </c>
      <c r="AB184" s="91"/>
      <c r="AL184" s="147"/>
    </row>
    <row r="185" spans="1:38">
      <c r="A185" s="503" t="s">
        <v>418</v>
      </c>
      <c r="B185" s="53"/>
      <c r="C185" s="53"/>
      <c r="D185" s="460">
        <f>B182+C182+D182</f>
        <v>0</v>
      </c>
      <c r="E185" s="444"/>
      <c r="F185" s="444"/>
      <c r="G185" s="444"/>
      <c r="H185" s="444"/>
      <c r="I185" s="444"/>
      <c r="J185" s="444"/>
      <c r="K185" s="444"/>
      <c r="L185" s="444"/>
      <c r="M185" s="444"/>
      <c r="N185" s="444"/>
      <c r="O185" s="189"/>
      <c r="P185" s="461">
        <f>SUM(E$182:P$182)</f>
        <v>0</v>
      </c>
      <c r="AA185" s="189"/>
      <c r="AB185" s="461">
        <f>SUM(Q$182:AB$182)</f>
        <v>0</v>
      </c>
      <c r="AL185" s="147"/>
    </row>
    <row r="186" spans="1:38">
      <c r="A186" s="550" t="s">
        <v>417</v>
      </c>
      <c r="B186" s="68"/>
      <c r="C186" s="188"/>
      <c r="D186" s="444"/>
      <c r="E186" s="463">
        <f>SUM(B182:E182)</f>
        <v>0</v>
      </c>
      <c r="F186" s="444"/>
      <c r="G186" s="444"/>
      <c r="H186" s="444"/>
      <c r="I186" s="444"/>
      <c r="J186" s="444"/>
      <c r="K186" s="444"/>
      <c r="L186" s="444"/>
      <c r="M186" s="444"/>
      <c r="N186" s="444"/>
      <c r="O186" s="189"/>
      <c r="P186" s="91"/>
      <c r="Q186" s="462">
        <f>SUM(F$182:Q$182)</f>
        <v>0</v>
      </c>
      <c r="AA186" s="189"/>
      <c r="AB186" s="91"/>
      <c r="AC186" s="462">
        <f>SUM(R$182:AC$182)</f>
        <v>0</v>
      </c>
      <c r="AL186" s="147"/>
    </row>
    <row r="187" spans="1:38">
      <c r="A187" s="504" t="s">
        <v>408</v>
      </c>
      <c r="B187" s="68"/>
      <c r="C187" s="188"/>
      <c r="D187" s="444"/>
      <c r="E187" s="444"/>
      <c r="F187" s="464">
        <f>SUM(B182:F182)</f>
        <v>0</v>
      </c>
      <c r="G187" s="444"/>
      <c r="H187" s="444"/>
      <c r="I187" s="444"/>
      <c r="J187" s="444"/>
      <c r="K187" s="444"/>
      <c r="L187" s="444"/>
      <c r="M187" s="444"/>
      <c r="N187" s="444"/>
      <c r="O187" s="189"/>
      <c r="P187" s="91"/>
      <c r="R187" s="465">
        <f>SUM(G$182:R$182)</f>
        <v>0</v>
      </c>
      <c r="AA187" s="189"/>
      <c r="AB187" s="91"/>
      <c r="AD187" s="465">
        <f>SUM(S$182:AD$182)</f>
        <v>0</v>
      </c>
      <c r="AL187" s="147"/>
    </row>
    <row r="188" spans="1:38">
      <c r="A188" s="505" t="s">
        <v>409</v>
      </c>
      <c r="B188" s="53"/>
      <c r="C188" s="53"/>
      <c r="D188" s="444"/>
      <c r="E188" s="444"/>
      <c r="F188" s="444"/>
      <c r="G188" s="467">
        <f>SUM(B182:G182)</f>
        <v>0</v>
      </c>
      <c r="H188" s="444"/>
      <c r="I188" s="444"/>
      <c r="J188" s="444"/>
      <c r="K188" s="444"/>
      <c r="L188" s="444"/>
      <c r="M188" s="444"/>
      <c r="N188" s="444"/>
      <c r="O188" s="189"/>
      <c r="P188" s="91"/>
      <c r="S188" s="466">
        <f>SUM(H$182:S$182)</f>
        <v>0</v>
      </c>
      <c r="AA188" s="189"/>
      <c r="AB188" s="91"/>
      <c r="AE188" s="466">
        <f>SUM(T$182:AE$182)</f>
        <v>0</v>
      </c>
      <c r="AL188" s="147"/>
    </row>
    <row r="189" spans="1:38">
      <c r="A189" s="506" t="s">
        <v>410</v>
      </c>
      <c r="B189" s="68"/>
      <c r="C189" s="188"/>
      <c r="D189" s="444"/>
      <c r="E189" s="444"/>
      <c r="F189" s="444"/>
      <c r="G189" s="444"/>
      <c r="H189" s="473">
        <f>SUM(B182:H182)</f>
        <v>0</v>
      </c>
      <c r="I189" s="444"/>
      <c r="J189" s="444"/>
      <c r="K189" s="444"/>
      <c r="L189" s="444"/>
      <c r="M189" s="444"/>
      <c r="N189" s="444"/>
      <c r="O189" s="189"/>
      <c r="P189" s="91"/>
      <c r="T189" s="474">
        <f>SUM(I$182:T$182)</f>
        <v>0</v>
      </c>
      <c r="AA189" s="189"/>
      <c r="AB189" s="91"/>
      <c r="AF189" s="474">
        <f>SUM(U$182:AF$182)</f>
        <v>0</v>
      </c>
      <c r="AL189" s="147"/>
    </row>
    <row r="190" spans="1:38">
      <c r="A190" s="507" t="s">
        <v>411</v>
      </c>
      <c r="B190" s="53"/>
      <c r="C190" s="53"/>
      <c r="D190" s="444"/>
      <c r="E190" s="444"/>
      <c r="F190" s="444"/>
      <c r="G190" s="444"/>
      <c r="H190" s="444"/>
      <c r="I190" s="479">
        <f>SUM(B182:I182)</f>
        <v>0</v>
      </c>
      <c r="J190" s="444"/>
      <c r="K190" s="444"/>
      <c r="L190" s="444"/>
      <c r="M190" s="444"/>
      <c r="N190" s="444"/>
      <c r="O190" s="189"/>
      <c r="P190" s="91"/>
      <c r="U190" s="475">
        <f>SUM(J$182:U$182)</f>
        <v>0</v>
      </c>
      <c r="AA190" s="189"/>
      <c r="AB190" s="91"/>
      <c r="AG190" s="475">
        <f>SUM(V$182:AG$182)</f>
        <v>0</v>
      </c>
      <c r="AL190" s="147"/>
    </row>
    <row r="191" spans="1:38">
      <c r="A191" s="508" t="s">
        <v>412</v>
      </c>
      <c r="B191" s="68"/>
      <c r="C191" s="188"/>
      <c r="D191" s="444"/>
      <c r="E191" s="444"/>
      <c r="F191" s="444"/>
      <c r="G191" s="444"/>
      <c r="H191" s="444"/>
      <c r="I191" s="444"/>
      <c r="J191" s="480">
        <f>SUM(B182:K182)</f>
        <v>0</v>
      </c>
      <c r="K191" s="444"/>
      <c r="L191" s="444"/>
      <c r="M191" s="444"/>
      <c r="N191" s="444"/>
      <c r="O191" s="189"/>
      <c r="P191" s="91"/>
      <c r="V191" s="476">
        <f>SUM(K$182:V$182)</f>
        <v>0</v>
      </c>
      <c r="AA191" s="189"/>
      <c r="AB191" s="91"/>
      <c r="AH191" s="476">
        <f>SUM(W$182:AH$182)</f>
        <v>0</v>
      </c>
      <c r="AL191" s="147"/>
    </row>
    <row r="192" spans="1:38">
      <c r="A192" s="509" t="s">
        <v>413</v>
      </c>
      <c r="B192" s="53"/>
      <c r="C192" s="53"/>
      <c r="D192" s="444"/>
      <c r="E192" s="444"/>
      <c r="F192" s="444"/>
      <c r="G192" s="444"/>
      <c r="H192" s="444"/>
      <c r="I192" s="444"/>
      <c r="J192" s="444"/>
      <c r="K192" s="481">
        <f>SUM(B182:K182)</f>
        <v>0</v>
      </c>
      <c r="L192" s="444"/>
      <c r="M192" s="444"/>
      <c r="N192" s="444"/>
      <c r="O192" s="189"/>
      <c r="P192" s="91"/>
      <c r="W192" s="477">
        <f>SUM(L$182:W$182)</f>
        <v>0</v>
      </c>
      <c r="AA192" s="189"/>
      <c r="AB192" s="91"/>
      <c r="AI192" s="477">
        <f>SUM(X$182:AI$182)</f>
        <v>0</v>
      </c>
      <c r="AL192" s="147"/>
    </row>
    <row r="193" spans="1:38">
      <c r="A193" s="510" t="s">
        <v>414</v>
      </c>
      <c r="B193" s="68"/>
      <c r="C193" s="188"/>
      <c r="D193" s="444"/>
      <c r="E193" s="444"/>
      <c r="F193" s="444"/>
      <c r="G193" s="444"/>
      <c r="H193" s="444"/>
      <c r="I193" s="444"/>
      <c r="J193" s="444"/>
      <c r="K193" s="444"/>
      <c r="L193" s="483">
        <f>SUM(B182:L182)</f>
        <v>0</v>
      </c>
      <c r="M193" s="444"/>
      <c r="N193" s="444"/>
      <c r="O193" s="189"/>
      <c r="P193" s="91"/>
      <c r="X193" s="478">
        <f>SUM(M$182:X$182)</f>
        <v>0</v>
      </c>
      <c r="AA193" s="189"/>
      <c r="AB193" s="91"/>
      <c r="AJ193" s="478">
        <f>SUM(Y$182:AJ$182)</f>
        <v>0</v>
      </c>
      <c r="AL193" s="147"/>
    </row>
    <row r="194" spans="1:38">
      <c r="A194" s="511" t="s">
        <v>415</v>
      </c>
      <c r="B194" s="53"/>
      <c r="C194" s="53"/>
      <c r="D194" s="444"/>
      <c r="E194" s="444"/>
      <c r="F194" s="444"/>
      <c r="G194" s="444"/>
      <c r="H194" s="444"/>
      <c r="I194" s="444"/>
      <c r="J194" s="444"/>
      <c r="K194" s="444"/>
      <c r="L194" s="444"/>
      <c r="M194" s="485">
        <f>SUM(B182:M182)</f>
        <v>0</v>
      </c>
      <c r="N194" s="444"/>
      <c r="O194" s="189"/>
      <c r="P194" s="91"/>
      <c r="Y194" s="484">
        <f>SUM(N$182:Y$182)</f>
        <v>0</v>
      </c>
      <c r="AA194" s="189"/>
      <c r="AB194" s="91"/>
      <c r="AK194" s="484">
        <f>SUM(Z$182:AK$182)</f>
        <v>0</v>
      </c>
      <c r="AL194" s="147"/>
    </row>
    <row r="195" spans="1:38" ht="12.9" thickBot="1">
      <c r="A195" s="512" t="s">
        <v>416</v>
      </c>
      <c r="B195" s="513"/>
      <c r="C195" s="191"/>
      <c r="D195" s="514"/>
      <c r="E195" s="514"/>
      <c r="F195" s="514"/>
      <c r="G195" s="514"/>
      <c r="H195" s="514"/>
      <c r="I195" s="514"/>
      <c r="J195" s="514"/>
      <c r="K195" s="514"/>
      <c r="L195" s="514"/>
      <c r="M195" s="514"/>
      <c r="N195" s="515">
        <f>SUM(B182:N182)</f>
        <v>0</v>
      </c>
      <c r="O195" s="271"/>
      <c r="P195" s="516"/>
      <c r="Q195" s="152"/>
      <c r="R195" s="152"/>
      <c r="S195" s="152"/>
      <c r="T195" s="152"/>
      <c r="U195" s="152"/>
      <c r="V195" s="152"/>
      <c r="W195" s="152"/>
      <c r="X195" s="152"/>
      <c r="Y195" s="152"/>
      <c r="Z195" s="517">
        <f>SUM(O$182:Z$182)</f>
        <v>0</v>
      </c>
      <c r="AA195" s="271"/>
      <c r="AB195" s="516"/>
      <c r="AC195" s="152"/>
      <c r="AD195" s="152"/>
      <c r="AE195" s="152"/>
      <c r="AF195" s="152"/>
      <c r="AG195" s="152"/>
      <c r="AH195" s="152"/>
      <c r="AI195" s="152"/>
      <c r="AJ195" s="152"/>
      <c r="AK195" s="152"/>
      <c r="AL195" s="518">
        <f>SUM(AA$182:AL$182)</f>
        <v>0</v>
      </c>
    </row>
    <row r="196" spans="1:38">
      <c r="A196" s="523" t="s">
        <v>442</v>
      </c>
      <c r="B196" s="453">
        <f>B84+B102+B120+B166</f>
        <v>0</v>
      </c>
      <c r="C196" s="188"/>
      <c r="D196" s="189"/>
      <c r="E196" s="189"/>
      <c r="F196" s="189"/>
      <c r="G196" s="189"/>
      <c r="H196" s="189"/>
      <c r="I196" s="189"/>
      <c r="J196" s="189"/>
      <c r="K196" s="189"/>
      <c r="L196" s="189"/>
      <c r="M196" s="189"/>
      <c r="N196" s="453">
        <f>N84+N102+N120+N166</f>
        <v>0</v>
      </c>
      <c r="O196" s="189"/>
      <c r="P196" s="91"/>
      <c r="Z196" s="453">
        <f>Z84+Z102+Z120+Z166</f>
        <v>0</v>
      </c>
      <c r="AL196" s="147"/>
    </row>
    <row r="197" spans="1:38">
      <c r="A197" s="502" t="s">
        <v>407</v>
      </c>
      <c r="B197" s="68"/>
      <c r="C197" s="458">
        <f>C85+C103+C121+C167</f>
        <v>0</v>
      </c>
      <c r="D197" s="189"/>
      <c r="E197" s="189"/>
      <c r="F197" s="189"/>
      <c r="G197" s="189"/>
      <c r="H197" s="189"/>
      <c r="I197" s="189"/>
      <c r="J197" s="189"/>
      <c r="K197" s="189"/>
      <c r="L197" s="189"/>
      <c r="M197" s="189"/>
      <c r="O197" s="459">
        <f>O85+O103+O121+O167</f>
        <v>0</v>
      </c>
      <c r="P197" s="91"/>
      <c r="AA197" s="459">
        <f>AA85+AA103+AA121+AA167</f>
        <v>0</v>
      </c>
      <c r="AB197" s="91"/>
      <c r="AL197" s="147"/>
    </row>
    <row r="198" spans="1:38">
      <c r="A198" s="503" t="s">
        <v>418</v>
      </c>
      <c r="B198" s="53"/>
      <c r="C198" s="53"/>
      <c r="D198" s="460">
        <f>D86+D104+D122+D168</f>
        <v>0</v>
      </c>
      <c r="E198" s="444"/>
      <c r="F198" s="444"/>
      <c r="G198" s="444"/>
      <c r="H198" s="444"/>
      <c r="I198" s="444"/>
      <c r="J198" s="444"/>
      <c r="K198" s="444"/>
      <c r="L198" s="444"/>
      <c r="M198" s="444"/>
      <c r="N198" s="444"/>
      <c r="O198" s="189"/>
      <c r="P198" s="461">
        <f>P86+P104+P122+P168</f>
        <v>0</v>
      </c>
      <c r="AA198" s="189"/>
      <c r="AB198" s="461">
        <f>AB86+AB104+AB122+AB168</f>
        <v>0</v>
      </c>
      <c r="AL198" s="147"/>
    </row>
    <row r="199" spans="1:38">
      <c r="A199" s="550" t="s">
        <v>417</v>
      </c>
      <c r="B199" s="68"/>
      <c r="C199" s="188"/>
      <c r="D199" s="444"/>
      <c r="E199" s="463">
        <f>E87+E105+E123+E169</f>
        <v>0</v>
      </c>
      <c r="F199" s="444"/>
      <c r="G199" s="444"/>
      <c r="H199" s="444"/>
      <c r="I199" s="444"/>
      <c r="J199" s="444"/>
      <c r="K199" s="444"/>
      <c r="L199" s="444"/>
      <c r="M199" s="444"/>
      <c r="N199" s="444"/>
      <c r="O199" s="189"/>
      <c r="P199" s="91"/>
      <c r="Q199" s="462">
        <f>Q87+Q105+Q123+Q169</f>
        <v>0</v>
      </c>
      <c r="AA199" s="189"/>
      <c r="AB199" s="91"/>
      <c r="AC199" s="462">
        <f>AC87+AC105+AC123+AC169</f>
        <v>0</v>
      </c>
      <c r="AL199" s="147"/>
    </row>
    <row r="200" spans="1:38">
      <c r="A200" s="504" t="s">
        <v>408</v>
      </c>
      <c r="B200" s="68"/>
      <c r="C200" s="188"/>
      <c r="D200" s="444"/>
      <c r="E200" s="444"/>
      <c r="F200" s="464">
        <f>F88+F106+F124+F170</f>
        <v>0</v>
      </c>
      <c r="G200" s="444"/>
      <c r="H200" s="444"/>
      <c r="I200" s="444"/>
      <c r="J200" s="444"/>
      <c r="K200" s="444"/>
      <c r="L200" s="444"/>
      <c r="M200" s="444"/>
      <c r="N200" s="444"/>
      <c r="O200" s="189"/>
      <c r="P200" s="91"/>
      <c r="R200" s="465">
        <f>R88+R106+R124+R170</f>
        <v>0</v>
      </c>
      <c r="AA200" s="189"/>
      <c r="AB200" s="91"/>
      <c r="AD200" s="465">
        <f>AD88+AD106+AD124+AD170</f>
        <v>0</v>
      </c>
      <c r="AL200" s="147"/>
    </row>
    <row r="201" spans="1:38">
      <c r="A201" s="505" t="s">
        <v>409</v>
      </c>
      <c r="B201" s="53"/>
      <c r="C201" s="53"/>
      <c r="D201" s="444"/>
      <c r="E201" s="444"/>
      <c r="F201" s="444"/>
      <c r="G201" s="467">
        <f>G89+G107+G125+G171</f>
        <v>0</v>
      </c>
      <c r="H201" s="444"/>
      <c r="I201" s="444"/>
      <c r="J201" s="444"/>
      <c r="K201" s="444"/>
      <c r="L201" s="444"/>
      <c r="M201" s="444"/>
      <c r="N201" s="444"/>
      <c r="O201" s="189"/>
      <c r="P201" s="91"/>
      <c r="S201" s="466">
        <f>S89+S107+S125+S171</f>
        <v>0</v>
      </c>
      <c r="AA201" s="189"/>
      <c r="AB201" s="91"/>
      <c r="AE201" s="466">
        <f>AE89+AE107+AE125+AE171</f>
        <v>0</v>
      </c>
      <c r="AL201" s="147"/>
    </row>
    <row r="202" spans="1:38">
      <c r="A202" s="506" t="s">
        <v>410</v>
      </c>
      <c r="B202" s="68"/>
      <c r="C202" s="188"/>
      <c r="D202" s="444"/>
      <c r="E202" s="444"/>
      <c r="F202" s="444"/>
      <c r="G202" s="444"/>
      <c r="H202" s="473">
        <f>H90+H108+H126+H172</f>
        <v>0</v>
      </c>
      <c r="I202" s="444"/>
      <c r="J202" s="444"/>
      <c r="K202" s="444"/>
      <c r="L202" s="444"/>
      <c r="M202" s="444"/>
      <c r="N202" s="444"/>
      <c r="O202" s="189"/>
      <c r="P202" s="91"/>
      <c r="T202" s="474">
        <f>T90+T108+T126+T172</f>
        <v>0</v>
      </c>
      <c r="AA202" s="189"/>
      <c r="AB202" s="91"/>
      <c r="AF202" s="474">
        <f>AF90+AF108+AF126+AF172</f>
        <v>0</v>
      </c>
      <c r="AL202" s="147"/>
    </row>
    <row r="203" spans="1:38">
      <c r="A203" s="507" t="s">
        <v>411</v>
      </c>
      <c r="B203" s="53"/>
      <c r="C203" s="53"/>
      <c r="D203" s="444"/>
      <c r="E203" s="444"/>
      <c r="F203" s="444"/>
      <c r="G203" s="444"/>
      <c r="H203" s="444"/>
      <c r="I203" s="479">
        <f>I91+I109+I127+I173</f>
        <v>0</v>
      </c>
      <c r="J203" s="444"/>
      <c r="K203" s="444"/>
      <c r="L203" s="444"/>
      <c r="M203" s="444"/>
      <c r="N203" s="444"/>
      <c r="O203" s="189"/>
      <c r="P203" s="91"/>
      <c r="U203" s="475">
        <f>U91+U109+U127+U173</f>
        <v>0</v>
      </c>
      <c r="AA203" s="189"/>
      <c r="AB203" s="91"/>
      <c r="AG203" s="475">
        <f>AG91+AG109+AG127+AG173</f>
        <v>0</v>
      </c>
      <c r="AL203" s="147"/>
    </row>
    <row r="204" spans="1:38">
      <c r="A204" s="508" t="s">
        <v>412</v>
      </c>
      <c r="B204" s="68"/>
      <c r="C204" s="188"/>
      <c r="D204" s="444"/>
      <c r="E204" s="444"/>
      <c r="F204" s="444"/>
      <c r="G204" s="444"/>
      <c r="H204" s="444"/>
      <c r="I204" s="444"/>
      <c r="J204" s="480">
        <f>J92+J110+J128+J174</f>
        <v>0</v>
      </c>
      <c r="K204" s="444"/>
      <c r="L204" s="444"/>
      <c r="M204" s="444"/>
      <c r="N204" s="444"/>
      <c r="O204" s="189"/>
      <c r="P204" s="91"/>
      <c r="V204" s="476">
        <f>V92+V110+V128+V174</f>
        <v>0</v>
      </c>
      <c r="AA204" s="189"/>
      <c r="AB204" s="91"/>
      <c r="AG204">
        <f>AG92+AG110+AG128+AG174</f>
        <v>0</v>
      </c>
      <c r="AH204" s="476">
        <f>AH92+AH110+AH128+AH174</f>
        <v>0</v>
      </c>
      <c r="AL204" s="147"/>
    </row>
    <row r="205" spans="1:38">
      <c r="A205" s="509" t="s">
        <v>413</v>
      </c>
      <c r="B205" s="53"/>
      <c r="C205" s="53"/>
      <c r="D205" s="444"/>
      <c r="E205" s="444"/>
      <c r="F205" s="444"/>
      <c r="G205" s="444"/>
      <c r="H205" s="444"/>
      <c r="I205" s="444"/>
      <c r="J205" s="444"/>
      <c r="K205" s="481">
        <f>K93+K111+K129+K175</f>
        <v>0</v>
      </c>
      <c r="L205" s="444"/>
      <c r="M205" s="444"/>
      <c r="N205" s="444"/>
      <c r="O205" s="189"/>
      <c r="P205" s="91"/>
      <c r="W205" s="477">
        <f>W93+W111+W129+W175</f>
        <v>0</v>
      </c>
      <c r="AA205" s="189"/>
      <c r="AB205" s="91"/>
      <c r="AI205" s="477">
        <f>AI93+AI111+AI129+AI175</f>
        <v>0</v>
      </c>
      <c r="AL205" s="147"/>
    </row>
    <row r="206" spans="1:38">
      <c r="A206" s="510" t="s">
        <v>414</v>
      </c>
      <c r="B206" s="68"/>
      <c r="C206" s="188"/>
      <c r="D206" s="444"/>
      <c r="E206" s="444"/>
      <c r="F206" s="444"/>
      <c r="G206" s="444"/>
      <c r="H206" s="444"/>
      <c r="I206" s="444"/>
      <c r="J206" s="444"/>
      <c r="K206" s="444"/>
      <c r="L206" s="483">
        <f>L94+L112+L130+L176</f>
        <v>0</v>
      </c>
      <c r="M206" s="444"/>
      <c r="N206" s="444"/>
      <c r="O206" s="189"/>
      <c r="P206" s="91"/>
      <c r="X206" s="478">
        <f>X94+X112+X130+X176</f>
        <v>0</v>
      </c>
      <c r="AA206" s="189"/>
      <c r="AB206" s="91"/>
      <c r="AJ206" s="478">
        <f>AJ94+AJ112+AJ130+AJ176</f>
        <v>0</v>
      </c>
      <c r="AL206" s="147"/>
    </row>
    <row r="207" spans="1:38">
      <c r="A207" s="511" t="s">
        <v>415</v>
      </c>
      <c r="B207" s="53"/>
      <c r="C207" s="53"/>
      <c r="D207" s="444"/>
      <c r="E207" s="444"/>
      <c r="F207" s="444"/>
      <c r="G207" s="444"/>
      <c r="H207" s="444"/>
      <c r="I207" s="444"/>
      <c r="J207" s="444"/>
      <c r="K207" s="444"/>
      <c r="L207" s="444"/>
      <c r="M207" s="485">
        <f>M95+M113+M131+M177</f>
        <v>0</v>
      </c>
      <c r="N207" s="444"/>
      <c r="O207" s="189"/>
      <c r="P207" s="91"/>
      <c r="Y207" s="484">
        <f>Y95+Y113+Y131+Y177</f>
        <v>0</v>
      </c>
      <c r="AA207" s="189"/>
      <c r="AB207" s="91"/>
      <c r="AK207" s="484">
        <f>AK95+AK113+AK131+AK177</f>
        <v>0</v>
      </c>
      <c r="AL207" s="147"/>
    </row>
    <row r="208" spans="1:38" ht="12.9" thickBot="1">
      <c r="A208" s="512" t="s">
        <v>416</v>
      </c>
      <c r="B208" s="513"/>
      <c r="C208" s="191"/>
      <c r="D208" s="514"/>
      <c r="E208" s="514"/>
      <c r="F208" s="514"/>
      <c r="G208" s="514"/>
      <c r="H208" s="514"/>
      <c r="I208" s="514"/>
      <c r="J208" s="514"/>
      <c r="K208" s="514"/>
      <c r="L208" s="514"/>
      <c r="M208" s="514"/>
      <c r="N208" s="515">
        <f>N96+N114+N132+N178</f>
        <v>0</v>
      </c>
      <c r="O208" s="271"/>
      <c r="P208" s="516"/>
      <c r="Q208" s="152"/>
      <c r="R208" s="152"/>
      <c r="S208" s="152"/>
      <c r="T208" s="152"/>
      <c r="U208" s="152"/>
      <c r="V208" s="152"/>
      <c r="W208" s="152"/>
      <c r="X208" s="152"/>
      <c r="Y208" s="152"/>
      <c r="Z208" s="517">
        <f>Z96+Z114+Z132+Z178</f>
        <v>0</v>
      </c>
      <c r="AA208" s="271"/>
      <c r="AB208" s="516"/>
      <c r="AC208" s="152"/>
      <c r="AD208" s="152"/>
      <c r="AE208" s="152"/>
      <c r="AF208" s="152"/>
      <c r="AG208" s="152"/>
      <c r="AH208" s="152"/>
      <c r="AI208" s="152"/>
      <c r="AJ208" s="152"/>
      <c r="AK208" s="152"/>
      <c r="AL208" s="518">
        <f>AL96+AL114+AL132+AL178</f>
        <v>0</v>
      </c>
    </row>
  </sheetData>
  <sheetProtection algorithmName="SHA-512" hashValue="sqH6d519+1hKnKppTJnkoyMNKNWd/z2xkBxmCH9eCVhb3gR0Cws8xWlFMY3sn2/5eGrDYVLaFqrAOTnc5L4EpQ==" saltValue="QQmUekmuiSa/KpIfbI+m/w==" spinCount="100000" sheet="1" objects="1" scenarios="1" selectLockedCells="1" selectUnlockedCells="1"/>
  <mergeCells count="10">
    <mergeCell ref="D2:E2"/>
    <mergeCell ref="G21:I21"/>
    <mergeCell ref="C29:E29"/>
    <mergeCell ref="B10:E10"/>
    <mergeCell ref="B5:C5"/>
    <mergeCell ref="B4:E4"/>
    <mergeCell ref="B7:E7"/>
    <mergeCell ref="B8:E8"/>
    <mergeCell ref="B9:E9"/>
    <mergeCell ref="G29:I29"/>
  </mergeCells>
  <pageMargins left="0.7" right="0.7" top="0.75" bottom="0.75" header="0.3" footer="0.3"/>
  <pageSetup paperSize="9" orientation="portrait" horizontalDpi="1200" verticalDpi="4"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ul17"/>
  <dimension ref="A2:J33"/>
  <sheetViews>
    <sheetView workbookViewId="0"/>
  </sheetViews>
  <sheetFormatPr defaultRowHeight="12.45"/>
  <cols>
    <col min="2" max="2" width="13.84375" customWidth="1"/>
    <col min="3" max="3" width="13.07421875" customWidth="1"/>
    <col min="5" max="5" width="15.53515625" bestFit="1" customWidth="1"/>
    <col min="7" max="7" width="17.69140625" customWidth="1"/>
    <col min="8" max="8" width="10.69140625" customWidth="1"/>
  </cols>
  <sheetData>
    <row r="2" spans="1:10">
      <c r="C2" s="255" t="s">
        <v>222</v>
      </c>
      <c r="G2" s="717"/>
    </row>
    <row r="3" spans="1:10" ht="15.45">
      <c r="B3" s="627" t="s">
        <v>597</v>
      </c>
    </row>
    <row r="4" spans="1:10" ht="15.45">
      <c r="B4" s="627" t="s">
        <v>598</v>
      </c>
    </row>
    <row r="5" spans="1:10" ht="15.45">
      <c r="B5" s="627" t="s">
        <v>858</v>
      </c>
    </row>
    <row r="6" spans="1:10" ht="15.45">
      <c r="C6" s="13" t="s">
        <v>498</v>
      </c>
    </row>
    <row r="7" spans="1:10">
      <c r="H7" s="142" t="s">
        <v>516</v>
      </c>
    </row>
    <row r="8" spans="1:10">
      <c r="B8" s="255" t="s">
        <v>593</v>
      </c>
    </row>
    <row r="9" spans="1:10">
      <c r="A9" s="255" t="s">
        <v>223</v>
      </c>
      <c r="B9" s="608">
        <f>Toimialatiedot!P5</f>
        <v>2021</v>
      </c>
      <c r="C9" s="609">
        <f>Toimialatiedot!H5</f>
        <v>2022</v>
      </c>
      <c r="D9" s="439">
        <f>'Myynti K2'!C12</f>
        <v>2025</v>
      </c>
      <c r="E9" s="439">
        <f>'Myynti K2'!D12</f>
        <v>2026</v>
      </c>
      <c r="F9" s="439">
        <f>'Myynti K2'!E12</f>
        <v>2027</v>
      </c>
    </row>
    <row r="10" spans="1:10">
      <c r="A10" s="93">
        <f>'Rahoitus K3'!$F$97</f>
        <v>0</v>
      </c>
      <c r="B10" s="716">
        <f>IF($A10=0,0,LOOKUP($A10,Toimialatiedot!$B$8:$B$77,Toimialatiedot!N$8:N77))/1000</f>
        <v>0</v>
      </c>
      <c r="C10" s="613">
        <f>IF($A10=0,0,LOOKUP($A10,Toimialatiedot!$B$8:$B$77,Toimialatiedot!F$8:F$77))/1000</f>
        <v>0</v>
      </c>
      <c r="D10" s="717">
        <f>'Rahoitus K3'!F43/'Rahoitus K3'!F40/1000</f>
        <v>0</v>
      </c>
      <c r="E10" s="717">
        <f>'Rahoitus K3'!H43/'Rahoitus K3'!H40/1000</f>
        <v>0</v>
      </c>
      <c r="F10" s="717">
        <f>'Rahoitus K3'!K43/'Rahoitus K3'!K40/1000</f>
        <v>0</v>
      </c>
      <c r="G10" s="255" t="s">
        <v>662</v>
      </c>
      <c r="J10" s="754" t="s">
        <v>599</v>
      </c>
    </row>
    <row r="11" spans="1:10">
      <c r="B11" s="716">
        <f>IF($A17=0,0,LOOKUP($A17,Toimialatiedot!$B$8:$B$77,Toimialatiedot!$Q$8:$Q$77))/1000</f>
        <v>0</v>
      </c>
      <c r="C11" s="716">
        <f>IF($A17=0,0,LOOKUP($A17,Toimialatiedot!$B$8:$B$77,Toimialatiedot!$I$8:$I$77))/1000</f>
        <v>0</v>
      </c>
      <c r="D11" s="717">
        <f>'Kustannukset K1'!F121/1000/'Rahoitus K3'!F40</f>
        <v>0</v>
      </c>
      <c r="E11" s="717">
        <f>'Kustannukset K1'!G121/1000/'Rahoitus K3'!H40</f>
        <v>0</v>
      </c>
      <c r="F11" s="717">
        <f>'Kustannukset K1'!H121/1000/'Rahoitus K3'!K40</f>
        <v>0</v>
      </c>
      <c r="G11" s="255" t="s">
        <v>661</v>
      </c>
      <c r="J11" s="142" t="s">
        <v>600</v>
      </c>
    </row>
    <row r="12" spans="1:10">
      <c r="A12" s="347"/>
      <c r="B12" s="611"/>
      <c r="C12" s="611"/>
      <c r="D12" s="611"/>
      <c r="E12" s="611"/>
      <c r="F12" s="611"/>
      <c r="G12" s="347"/>
    </row>
    <row r="13" spans="1:10">
      <c r="A13" s="347"/>
      <c r="B13" s="611"/>
      <c r="C13" s="611"/>
      <c r="D13" s="612"/>
      <c r="E13" s="612"/>
      <c r="F13" s="612"/>
      <c r="G13" s="347"/>
    </row>
    <row r="14" spans="1:10">
      <c r="B14" s="345"/>
      <c r="C14" s="345"/>
      <c r="D14" s="345"/>
      <c r="E14" s="345"/>
      <c r="F14" s="345"/>
    </row>
    <row r="15" spans="1:10">
      <c r="B15" s="637" t="s">
        <v>592</v>
      </c>
      <c r="C15" s="345"/>
      <c r="D15" s="345"/>
      <c r="E15" s="345"/>
      <c r="F15" s="345"/>
    </row>
    <row r="16" spans="1:10">
      <c r="A16" s="255" t="s">
        <v>223</v>
      </c>
      <c r="B16" s="616">
        <f>B9</f>
        <v>2021</v>
      </c>
      <c r="C16" s="617">
        <f>C9</f>
        <v>2022</v>
      </c>
      <c r="D16" s="439">
        <f>'Myynti K2'!C$12</f>
        <v>2025</v>
      </c>
      <c r="E16" s="439">
        <f>'Myynti K2'!D$12</f>
        <v>2026</v>
      </c>
      <c r="F16" s="439">
        <f>'Myynti K2'!E$12</f>
        <v>2027</v>
      </c>
    </row>
    <row r="17" spans="1:7">
      <c r="A17" s="93">
        <f>'Rahoitus K3'!$F$97</f>
        <v>0</v>
      </c>
      <c r="B17" s="715">
        <f>IF($A17=0,0,LOOKUP($A17,Toimialatiedot!$B$8:$B$77,Toimialatiedot!O$8:O$77))</f>
        <v>0</v>
      </c>
      <c r="C17" s="715">
        <f>IF($A17=0,0,LOOKUP($A17,Toimialatiedot!$B$8:$B$77,Toimialatiedot!G$8:G$77))</f>
        <v>0</v>
      </c>
      <c r="D17" s="720">
        <f>'Rahoitus K3'!G49/100</f>
        <v>0</v>
      </c>
      <c r="E17" s="720">
        <f>'Rahoitus K3'!J49/100</f>
        <v>0</v>
      </c>
      <c r="F17" s="720">
        <f>'Rahoitus K3'!L49/100</f>
        <v>0</v>
      </c>
      <c r="G17" s="255" t="s">
        <v>30</v>
      </c>
    </row>
    <row r="19" spans="1:7">
      <c r="A19" s="341"/>
      <c r="B19" s="1544"/>
      <c r="C19" s="617"/>
      <c r="D19" s="617"/>
      <c r="E19" s="617"/>
      <c r="F19" s="617"/>
      <c r="G19" s="341"/>
    </row>
    <row r="20" spans="1:7">
      <c r="A20" s="362"/>
      <c r="B20" s="616"/>
      <c r="C20" s="617"/>
      <c r="D20" s="1545"/>
      <c r="E20" s="1545"/>
      <c r="F20" s="1545"/>
      <c r="G20" s="341"/>
    </row>
    <row r="21" spans="1:7">
      <c r="A21" s="1546"/>
      <c r="B21" s="1547"/>
      <c r="C21" s="1547"/>
      <c r="D21" s="1548"/>
      <c r="E21" s="1548"/>
      <c r="F21" s="1548"/>
      <c r="G21" s="362"/>
    </row>
    <row r="22" spans="1:7">
      <c r="A22" s="1546"/>
      <c r="B22" s="341"/>
      <c r="C22" s="341"/>
      <c r="D22" s="341"/>
      <c r="E22" s="341"/>
      <c r="F22" s="341"/>
      <c r="G22" s="362"/>
    </row>
    <row r="23" spans="1:7">
      <c r="A23" s="93"/>
      <c r="B23" s="345"/>
      <c r="C23" s="345"/>
      <c r="D23" s="610"/>
      <c r="E23" s="610"/>
      <c r="F23" s="610"/>
    </row>
    <row r="24" spans="1:7" ht="15.45">
      <c r="A24" s="635"/>
      <c r="B24" s="636" t="s">
        <v>499</v>
      </c>
      <c r="C24" s="615"/>
      <c r="D24" s="345"/>
      <c r="E24" s="345"/>
      <c r="F24" s="345"/>
    </row>
    <row r="25" spans="1:7">
      <c r="B25" s="637" t="s">
        <v>595</v>
      </c>
      <c r="C25" s="345"/>
      <c r="D25" s="345"/>
      <c r="E25" s="345"/>
      <c r="F25" s="345"/>
    </row>
    <row r="26" spans="1:7">
      <c r="A26" s="255" t="s">
        <v>223</v>
      </c>
      <c r="B26" s="616">
        <f>B9</f>
        <v>2021</v>
      </c>
      <c r="C26" s="617">
        <f>C9</f>
        <v>2022</v>
      </c>
      <c r="D26" s="439">
        <f>'Myynti Y2'!C12</f>
        <v>2025</v>
      </c>
      <c r="E26" s="439">
        <f>'Myynti Y2'!D12</f>
        <v>2026</v>
      </c>
      <c r="F26" s="439">
        <f>'Myynti Y2'!E12</f>
        <v>2027</v>
      </c>
    </row>
    <row r="27" spans="1:7">
      <c r="A27" s="93">
        <f>'Rahoitus Y3'!F98</f>
        <v>0</v>
      </c>
      <c r="B27" s="613">
        <f>IF($A27=0,0,LOOKUP($A27,Toimialatiedot!$B$8:$B$77,Toimialatiedot!N$8:N$71))/1000</f>
        <v>0</v>
      </c>
      <c r="C27" s="613">
        <f>IF($A27=0,0,LOOKUP($A27,Toimialatiedot!$B$8:$B$77,Toimialatiedot!F$8:F$71))/1000</f>
        <v>0</v>
      </c>
      <c r="D27" s="628">
        <f>'Rahoitus Y3'!E82/1000</f>
        <v>0</v>
      </c>
      <c r="E27" s="628">
        <f>'Rahoitus Y3'!F82/1000</f>
        <v>0</v>
      </c>
      <c r="F27" s="628">
        <f>'Rahoitus Y3'!G82/1000</f>
        <v>0</v>
      </c>
      <c r="G27" s="255" t="s">
        <v>662</v>
      </c>
    </row>
    <row r="28" spans="1:7">
      <c r="B28" s="718">
        <f>IF($A27=0,0,LOOKUP($A27,Toimialatiedot!$B$8:$B$77,Toimialatiedot!$P$8:$P$71))/1000</f>
        <v>0</v>
      </c>
      <c r="C28" s="718">
        <f>IF($A27=0,0,LOOKUP($A27,Toimialatiedot!$B$8:$B$77,Toimialatiedot!$I$8:$I$71))/1000</f>
        <v>0</v>
      </c>
      <c r="D28" s="614">
        <f>'Kustannukset Y1'!F121/1000/'Rahoitus Y3'!F40</f>
        <v>0</v>
      </c>
      <c r="E28" s="614">
        <f>'Kustannukset Y1'!G121/1000/'Rahoitus Y3'!H40</f>
        <v>0</v>
      </c>
      <c r="F28" s="614">
        <f>'Kustannukset Y1'!H121/1000/'Rahoitus Y3'!K40</f>
        <v>0</v>
      </c>
      <c r="G28" s="255" t="s">
        <v>661</v>
      </c>
    </row>
    <row r="29" spans="1:7">
      <c r="B29" s="345"/>
      <c r="C29" s="345"/>
      <c r="D29" s="345"/>
      <c r="E29" s="345"/>
      <c r="F29" s="345"/>
    </row>
    <row r="30" spans="1:7">
      <c r="B30" s="637" t="s">
        <v>592</v>
      </c>
      <c r="C30" s="345"/>
      <c r="D30" s="345"/>
      <c r="E30" s="345"/>
      <c r="F30" s="345"/>
    </row>
    <row r="31" spans="1:7">
      <c r="A31" s="255" t="s">
        <v>223</v>
      </c>
      <c r="B31" s="608">
        <f>B9</f>
        <v>2021</v>
      </c>
      <c r="C31" s="609">
        <f>C9</f>
        <v>2022</v>
      </c>
      <c r="D31" s="439">
        <f>'Myynti Y2'!C12</f>
        <v>2025</v>
      </c>
      <c r="E31" s="439">
        <f>'Myynti Y2'!D12</f>
        <v>2026</v>
      </c>
      <c r="F31" s="439">
        <f>'Myynti Y2'!E12</f>
        <v>2027</v>
      </c>
    </row>
    <row r="32" spans="1:7">
      <c r="A32" s="93">
        <f>'Rahoitus Y3'!F98</f>
        <v>0</v>
      </c>
      <c r="B32" s="719">
        <f>IF($A32=0,0,LOOKUP($A32,Toimialatiedot!$B$8:$B$77,Toimialatiedot!O$8:O$71))</f>
        <v>0</v>
      </c>
      <c r="C32" s="719">
        <f>IF($A32=0,0,LOOKUP($A32,Toimialatiedot!$B$8:$B$77,Toimialatiedot!G$8:G$71))</f>
        <v>0</v>
      </c>
      <c r="D32" s="720">
        <f>'Rahoitus Y3'!G49/100</f>
        <v>0</v>
      </c>
      <c r="E32" s="720">
        <f>'Rahoitus Y3'!J49/100</f>
        <v>0</v>
      </c>
      <c r="F32" s="720">
        <f>'Rahoitus Y3'!L49/100</f>
        <v>0</v>
      </c>
      <c r="G32" s="255" t="s">
        <v>30</v>
      </c>
    </row>
    <row r="33" spans="1:7">
      <c r="A33" s="93"/>
      <c r="B33" s="609"/>
      <c r="C33" s="613"/>
      <c r="D33" s="614"/>
      <c r="E33" s="614"/>
      <c r="F33" s="614"/>
      <c r="G33" s="255"/>
    </row>
  </sheetData>
  <sheetProtection algorithmName="SHA-512" hashValue="o1/yMrK25Qpqd73DKUch557985uDrXrCMtx5V2Ca/usRUB5tYS2sWmNJFFHTpBnsO65rNKo5l2QVYGv+6VhALg==" saltValue="MlEtZ/SmxBB7Dx3a2wHz0Q==" spinCount="100000" sheet="1" objects="1" scenarios="1" selectLockedCells="1" selectUnlockedCells="1"/>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ul3">
    <tabColor rgb="FFFFFF00"/>
  </sheetPr>
  <dimension ref="A2:W185"/>
  <sheetViews>
    <sheetView showGridLines="0" showZeros="0" zoomScaleNormal="100" workbookViewId="0"/>
  </sheetViews>
  <sheetFormatPr defaultRowHeight="12.45"/>
  <cols>
    <col min="1" max="1" width="5.84375" customWidth="1"/>
    <col min="2" max="2" width="7.53515625" style="93" customWidth="1"/>
    <col min="3" max="3" width="3.84375" style="15" customWidth="1"/>
    <col min="4" max="4" width="53.3046875" customWidth="1"/>
    <col min="5" max="5" width="6.53515625" customWidth="1"/>
    <col min="6" max="8" width="10.84375" customWidth="1"/>
    <col min="9" max="9" width="2.53515625" customWidth="1"/>
    <col min="10" max="11" width="9.07421875" customWidth="1"/>
    <col min="12" max="12" width="7.84375" customWidth="1"/>
    <col min="17" max="18" width="8.84375" customWidth="1"/>
  </cols>
  <sheetData>
    <row r="2" spans="1:20" ht="15" customHeight="1">
      <c r="C2" s="1681" t="s">
        <v>357</v>
      </c>
      <c r="D2" s="1682"/>
      <c r="E2" s="1682"/>
      <c r="F2" s="1682"/>
      <c r="G2" s="1682"/>
      <c r="H2" s="1682"/>
      <c r="J2" s="1680"/>
      <c r="K2" s="1680"/>
      <c r="M2" s="1677"/>
      <c r="N2" s="1677"/>
    </row>
    <row r="3" spans="1:20" ht="15" customHeight="1">
      <c r="C3" s="421"/>
      <c r="D3" s="421"/>
      <c r="E3" s="1678"/>
      <c r="F3" s="1678"/>
      <c r="G3" s="1678"/>
      <c r="H3" s="1678"/>
    </row>
    <row r="4" spans="1:20" ht="15" customHeight="1">
      <c r="C4" s="1683"/>
      <c r="D4" s="1684"/>
      <c r="E4" s="1684"/>
      <c r="F4" s="1684"/>
      <c r="G4" s="1684"/>
      <c r="H4" s="1684"/>
      <c r="J4" s="1679"/>
      <c r="K4" s="1679"/>
    </row>
    <row r="5" spans="1:20" ht="12" customHeight="1">
      <c r="C5" s="99" t="str">
        <f>Aloitussivu!F33</f>
        <v>Yritystulkin tarjoavat</v>
      </c>
      <c r="E5" s="71"/>
      <c r="G5" s="1"/>
      <c r="H5" s="422" t="s">
        <v>0</v>
      </c>
      <c r="I5" s="30"/>
      <c r="J5" s="1679"/>
      <c r="K5" s="1679"/>
      <c r="S5" s="262"/>
    </row>
    <row r="6" spans="1:20" ht="12" customHeight="1">
      <c r="C6" s="63" t="str">
        <f>Aloitussivu!J34</f>
        <v>Iisalmi, Lapinlahti, Sonkajärvi, Vieremä</v>
      </c>
      <c r="E6" s="255"/>
      <c r="F6" s="36"/>
      <c r="G6" s="39"/>
      <c r="H6" s="39"/>
      <c r="I6" s="36"/>
      <c r="J6" s="13"/>
      <c r="N6" s="255" t="s">
        <v>0</v>
      </c>
      <c r="R6" s="20"/>
      <c r="S6" s="20"/>
    </row>
    <row r="7" spans="1:20" ht="12" customHeight="1">
      <c r="C7" s="99"/>
      <c r="E7" s="2"/>
      <c r="F7" s="36"/>
      <c r="G7" s="39"/>
      <c r="H7" s="39"/>
      <c r="I7" s="36"/>
      <c r="J7" s="13"/>
      <c r="R7" s="20"/>
      <c r="S7" s="20"/>
    </row>
    <row r="8" spans="1:20" ht="12" customHeight="1">
      <c r="C8" s="99" t="s">
        <v>22</v>
      </c>
      <c r="E8" s="71"/>
      <c r="F8" s="39"/>
      <c r="G8" s="39"/>
      <c r="H8" s="39"/>
      <c r="I8" s="44"/>
      <c r="J8" s="71"/>
      <c r="R8" s="20"/>
      <c r="S8" s="20"/>
    </row>
    <row r="9" spans="1:20" ht="13.5" customHeight="1">
      <c r="C9" s="1674"/>
      <c r="D9" s="1674"/>
      <c r="E9" s="1691"/>
      <c r="F9" s="1691"/>
      <c r="G9" s="1691"/>
      <c r="H9" s="1691"/>
      <c r="I9" s="669"/>
      <c r="J9" s="1687"/>
      <c r="K9" s="1687"/>
      <c r="L9" s="1687"/>
      <c r="M9" s="1687"/>
      <c r="N9" s="1687"/>
      <c r="R9" s="20"/>
      <c r="S9" s="20"/>
    </row>
    <row r="10" spans="1:20" ht="7.5" customHeight="1">
      <c r="G10" s="29"/>
      <c r="J10" s="1"/>
      <c r="K10" s="1"/>
      <c r="L10" s="1"/>
      <c r="M10" s="1"/>
      <c r="N10" s="1"/>
      <c r="O10" s="1"/>
      <c r="P10" s="1"/>
      <c r="Q10" s="1"/>
      <c r="R10" s="20"/>
      <c r="S10" s="20"/>
    </row>
    <row r="11" spans="1:20" ht="14.25" customHeight="1">
      <c r="A11" s="1668" t="s">
        <v>775</v>
      </c>
      <c r="B11" s="1668"/>
      <c r="C11" s="1673" t="str">
        <f>IF(F13=12,"TOIMINTAKUSTANNUKSET TILIKAUDELLA (alv 0 %)","TOIMINTAKUSTANNUKSET TILIKAUDELLA (alv 0 %). HUOMIOI KUSTANNUKSISSA TILIKAUDEN PITUUS!")</f>
        <v>TOIMINTAKUSTANNUKSET TILIKAUDELLA (alv 0 %)</v>
      </c>
      <c r="D11" s="1673"/>
      <c r="E11" s="1673"/>
      <c r="F11" s="1131" t="s">
        <v>400</v>
      </c>
      <c r="G11" s="1131" t="s">
        <v>401</v>
      </c>
      <c r="H11" s="1131" t="s">
        <v>444</v>
      </c>
      <c r="I11" s="47"/>
      <c r="J11" s="1688" t="s">
        <v>773</v>
      </c>
      <c r="K11" s="1689"/>
      <c r="L11" s="1689"/>
      <c r="M11" s="1689"/>
      <c r="N11" s="1689"/>
      <c r="O11" s="1689"/>
      <c r="P11" s="1689"/>
      <c r="Q11" s="1689"/>
      <c r="R11" s="1689"/>
      <c r="S11" s="1689"/>
      <c r="T11" s="1690"/>
    </row>
    <row r="12" spans="1:20" ht="13.5" customHeight="1">
      <c r="A12" s="1668"/>
      <c r="B12" s="1668"/>
      <c r="C12" s="1673"/>
      <c r="D12" s="1673"/>
      <c r="E12" s="1673"/>
      <c r="F12" s="1140">
        <v>2025</v>
      </c>
      <c r="G12" s="1140">
        <f>F12+1</f>
        <v>2026</v>
      </c>
      <c r="H12" s="1140">
        <f>G12+1</f>
        <v>2027</v>
      </c>
      <c r="I12" s="48"/>
      <c r="J12" s="1418"/>
      <c r="K12" s="1419"/>
      <c r="L12" s="1386"/>
      <c r="M12" s="1386"/>
      <c r="N12" s="1386"/>
      <c r="O12" s="1386"/>
      <c r="P12" s="1386"/>
      <c r="Q12" s="1386"/>
      <c r="R12" s="1386"/>
      <c r="S12" s="1386"/>
      <c r="T12" s="1391"/>
    </row>
    <row r="13" spans="1:20" ht="12.65" customHeight="1" thickBot="1">
      <c r="B13" s="576"/>
      <c r="C13" s="592"/>
      <c r="D13" s="1672" t="s">
        <v>380</v>
      </c>
      <c r="E13" s="1672"/>
      <c r="F13" s="1132">
        <v>12</v>
      </c>
      <c r="G13" s="1138">
        <v>12</v>
      </c>
      <c r="H13" s="1138">
        <v>12</v>
      </c>
      <c r="I13" s="48"/>
      <c r="J13" s="1388"/>
      <c r="K13" s="1389"/>
      <c r="L13" s="1389"/>
      <c r="M13" s="1389"/>
      <c r="N13" s="1389"/>
      <c r="O13" s="1389"/>
      <c r="P13" s="1046" t="s">
        <v>772</v>
      </c>
      <c r="Q13" s="354"/>
      <c r="R13" s="1389"/>
      <c r="S13" s="1389"/>
      <c r="T13" s="1390"/>
    </row>
    <row r="14" spans="1:20" ht="12.65" customHeight="1" thickBot="1">
      <c r="B14" s="577" t="s">
        <v>177</v>
      </c>
      <c r="C14" s="278" t="s">
        <v>12</v>
      </c>
      <c r="D14" s="530" t="s">
        <v>819</v>
      </c>
      <c r="E14" s="530"/>
      <c r="F14" s="1113">
        <f>F16*F18</f>
        <v>0</v>
      </c>
      <c r="G14" s="1113">
        <f>G16*G18</f>
        <v>0</v>
      </c>
      <c r="H14" s="1113">
        <f>H16*H18</f>
        <v>0</v>
      </c>
      <c r="I14" s="48"/>
      <c r="J14" s="1675" t="s">
        <v>552</v>
      </c>
      <c r="K14" s="1676"/>
      <c r="L14" s="783"/>
      <c r="M14" s="783"/>
      <c r="N14" s="783"/>
      <c r="O14" s="783"/>
      <c r="P14" s="783"/>
      <c r="Q14" s="783"/>
      <c r="R14" s="783"/>
      <c r="S14" s="783"/>
      <c r="T14" s="1387"/>
    </row>
    <row r="15" spans="1:20" ht="12.65" customHeight="1">
      <c r="B15" s="578" t="s">
        <v>0</v>
      </c>
      <c r="C15" s="278">
        <v>0</v>
      </c>
      <c r="D15" s="1664" t="s">
        <v>491</v>
      </c>
      <c r="E15" s="1664"/>
      <c r="F15" s="1133">
        <f>(F16+F17)*F18</f>
        <v>0</v>
      </c>
      <c r="G15" s="1133">
        <f>(G16+G17)*G18</f>
        <v>0</v>
      </c>
      <c r="H15" s="1133">
        <f>(H16+H17)*H18</f>
        <v>0</v>
      </c>
      <c r="I15" s="4"/>
      <c r="J15" s="784">
        <f>Teksti38</f>
        <v>2026</v>
      </c>
      <c r="K15" s="784">
        <f>Teksti39</f>
        <v>2027</v>
      </c>
      <c r="L15" s="783"/>
      <c r="M15" s="783"/>
      <c r="N15" s="783"/>
      <c r="O15" s="783"/>
      <c r="P15" s="783"/>
      <c r="Q15" s="783"/>
      <c r="R15" s="783"/>
      <c r="S15" s="783"/>
      <c r="T15" s="1387"/>
    </row>
    <row r="16" spans="1:20" ht="12.65" customHeight="1">
      <c r="B16" s="578"/>
      <c r="C16" s="278"/>
      <c r="D16" s="1670" t="s">
        <v>62</v>
      </c>
      <c r="E16" s="1671"/>
      <c r="F16" s="1101">
        <v>0</v>
      </c>
      <c r="G16" s="1101">
        <f>F16 +F16*J16</f>
        <v>0</v>
      </c>
      <c r="H16" s="1101">
        <f>G16 +G16*K16</f>
        <v>0</v>
      </c>
      <c r="I16" s="4"/>
      <c r="J16" s="785">
        <v>0.03</v>
      </c>
      <c r="K16" s="785">
        <f>J16</f>
        <v>0.03</v>
      </c>
      <c r="L16" s="783"/>
      <c r="M16" s="783"/>
      <c r="N16" s="783"/>
      <c r="O16" s="783"/>
      <c r="P16" s="783"/>
      <c r="Q16" s="783"/>
      <c r="R16" s="783"/>
      <c r="S16" s="783"/>
      <c r="T16" s="1387"/>
    </row>
    <row r="17" spans="1:20" ht="12.65" customHeight="1">
      <c r="B17" s="578"/>
      <c r="C17" s="278"/>
      <c r="D17" s="1670" t="s">
        <v>502</v>
      </c>
      <c r="E17" s="1671"/>
      <c r="F17" s="1101">
        <v>0</v>
      </c>
      <c r="G17" s="1101">
        <f>F17 +F17*J17</f>
        <v>0</v>
      </c>
      <c r="H17" s="1101">
        <f>G17 +G17*K17</f>
        <v>0</v>
      </c>
      <c r="I17" s="4"/>
      <c r="J17" s="785">
        <v>0.03</v>
      </c>
      <c r="K17" s="785">
        <f>J17</f>
        <v>0.03</v>
      </c>
      <c r="L17" s="783"/>
      <c r="M17" s="783"/>
      <c r="N17" s="783"/>
      <c r="O17" s="783"/>
      <c r="P17" s="783"/>
      <c r="Q17" s="783"/>
      <c r="R17" s="783"/>
      <c r="S17" s="783"/>
      <c r="T17" s="1387"/>
    </row>
    <row r="18" spans="1:20" ht="12.65" customHeight="1">
      <c r="B18" s="578"/>
      <c r="C18" s="278"/>
      <c r="D18" s="1670" t="s">
        <v>63</v>
      </c>
      <c r="E18" s="1671"/>
      <c r="F18" s="1134">
        <f>F13</f>
        <v>12</v>
      </c>
      <c r="G18" s="1134">
        <f>12.5</f>
        <v>12.5</v>
      </c>
      <c r="H18" s="1134">
        <f>G18</f>
        <v>12.5</v>
      </c>
      <c r="I18" s="4"/>
      <c r="J18" s="678"/>
      <c r="K18" s="783"/>
      <c r="L18" s="783"/>
      <c r="M18" s="783"/>
      <c r="N18" s="783"/>
      <c r="O18" s="783"/>
      <c r="P18" s="783"/>
      <c r="Q18" s="783"/>
      <c r="R18" s="783"/>
      <c r="S18" s="783"/>
      <c r="T18" s="1387"/>
    </row>
    <row r="19" spans="1:20" ht="12.65" customHeight="1" thickBot="1">
      <c r="B19" s="578"/>
      <c r="C19" s="280"/>
      <c r="D19" s="1669" t="s">
        <v>241</v>
      </c>
      <c r="E19" s="1669"/>
      <c r="F19" s="1118">
        <v>1</v>
      </c>
      <c r="G19" s="1118">
        <f>F19</f>
        <v>1</v>
      </c>
      <c r="H19" s="1118">
        <f>G19</f>
        <v>1</v>
      </c>
      <c r="I19" s="4"/>
      <c r="J19" s="678"/>
      <c r="K19" s="783"/>
      <c r="L19" s="783"/>
      <c r="M19" s="783"/>
      <c r="N19" s="783"/>
      <c r="O19" s="783"/>
      <c r="P19" s="783"/>
      <c r="Q19" s="783"/>
      <c r="R19" s="783"/>
      <c r="S19" s="783"/>
      <c r="T19" s="1387"/>
    </row>
    <row r="20" spans="1:20" ht="12.65" customHeight="1" thickBot="1">
      <c r="A20" s="154"/>
      <c r="C20" s="278" t="s">
        <v>13</v>
      </c>
      <c r="D20" s="1658" t="s">
        <v>820</v>
      </c>
      <c r="E20" s="1658"/>
      <c r="F20" s="1135">
        <f>IF($F13=6,'1Kauppa AT lainat ja avustukset'!B148,IF($F13=7,'1Kauppa AT lainat ja avustukset'!C149,IF($F13=8,'1Kauppa AT lainat ja avustukset'!D150,IF($F13=9,'1Kauppa AT lainat ja avustukset'!E151,IF($F13=10,'1Kauppa AT lainat ja avustukset'!F152,IF($F13=11,'1Kauppa AT lainat ja avustukset'!G153,IF($F13=12,'1Kauppa AT lainat ja avustukset'!H154,IF($F13=13,'1Kauppa AT lainat ja avustukset'!I155,IF($F13=14,'1Kauppa AT lainat ja avustukset'!J156,IF($F13=15,'1Kauppa AT lainat ja avustukset'!K157,IF($F13=16,'1Kauppa AT lainat ja avustukset'!L158,IF($F13=17,'1Kauppa AT lainat ja avustukset'!M159,'1Kauppa AT lainat ja avustukset'!N160))))))))))))</f>
        <v>0</v>
      </c>
      <c r="G20" s="1135">
        <f>IF($F13=6,'1Kauppa AT lainat ja avustukset'!N148,IF($F13=7,'1Kauppa AT lainat ja avustukset'!O149,IF($F13=8,'1Kauppa AT lainat ja avustukset'!P150,IF($F13=9,'1Kauppa AT lainat ja avustukset'!Q151,IF($F13=10,'1Kauppa AT lainat ja avustukset'!R152,IF($F13=11,'1Kauppa AT lainat ja avustukset'!S153,IF($F13=12,'1Kauppa AT lainat ja avustukset'!T154,IF($F13=13,'1Kauppa AT lainat ja avustukset'!U155,IF($F13=14,'1Kauppa AT lainat ja avustukset'!V156,IF($F13=15,'1Kauppa AT lainat ja avustukset'!W157,IF($F13=16,'1Kauppa AT lainat ja avustukset'!X158,IF($F13=17,'1Kauppa AT lainat ja avustukset'!Y159,'1Kauppa AT lainat ja avustukset'!Z160))))))))))))</f>
        <v>0</v>
      </c>
      <c r="H20" s="1135">
        <f>IF($F13=6,'1Kauppa AT lainat ja avustukset'!Z148,IF($F13=7,'1Kauppa AT lainat ja avustukset'!AA149,IF($F13=8,'1Kauppa AT lainat ja avustukset'!AB150,IF($F13=9,'1Kauppa AT lainat ja avustukset'!AC151,IF($F13=10,'1Kauppa AT lainat ja avustukset'!AD152,IF($F13=11,'1Kauppa AT lainat ja avustukset'!AE153,IF($F13=12,'1Kauppa AT lainat ja avustukset'!AF154,IF($F13=13,'1Kauppa AT lainat ja avustukset'!AG155,IF($F13=14,'1Kauppa AT lainat ja avustukset'!AH156,IF($F13=15,'1Kauppa AT lainat ja avustukset'!AI157,IF($F13=16,'1Kauppa AT lainat ja avustukset'!AJ158,IF($F13=17,'1Kauppa AT lainat ja avustukset'!AK159,'1Kauppa AT lainat ja avustukset'!AL160))))))))))))</f>
        <v>0</v>
      </c>
      <c r="I20" s="6"/>
      <c r="J20" s="678"/>
      <c r="K20" s="783"/>
      <c r="L20" s="783"/>
      <c r="M20" s="783"/>
      <c r="N20" s="783"/>
      <c r="O20" s="783"/>
      <c r="P20" s="783"/>
      <c r="Q20" s="783"/>
      <c r="R20" s="783"/>
      <c r="S20" s="783"/>
      <c r="T20" s="1387"/>
    </row>
    <row r="21" spans="1:20" ht="12.65" customHeight="1">
      <c r="B21" s="578"/>
      <c r="C21" s="278"/>
      <c r="D21" s="1664" t="s">
        <v>52</v>
      </c>
      <c r="E21" s="1664"/>
      <c r="F21" s="1136">
        <f>IF($F13=6,'1Kauppa AT lainat ja avustukset'!B134,IF($F13=7,'1Kauppa AT lainat ja avustukset'!C135,IF($F13=8,'1Kauppa AT lainat ja avustukset'!D136,IF($F13=9,'1Kauppa AT lainat ja avustukset'!E137,IF($F13=10,'1Kauppa AT lainat ja avustukset'!F138,IF($F13=11,'1Kauppa AT lainat ja avustukset'!G139,IF($F13=12,'1Kauppa AT lainat ja avustukset'!H140,IF($F13=13,'1Kauppa AT lainat ja avustukset'!I141,IF($F13=14,'1Kauppa AT lainat ja avustukset'!J142,IF($F13=15,'1Kauppa AT lainat ja avustukset'!K143,IF($F13=16,'1Kauppa AT lainat ja avustukset'!L144,IF($F13=17,'1Kauppa AT lainat ja avustukset'!M145,'1Kauppa AT lainat ja avustukset'!N146))))))))))))</f>
        <v>0</v>
      </c>
      <c r="G21" s="1136">
        <f>IF($F13=6,'1Kauppa AT lainat ja avustukset'!N134,IF($F13=7,'1Kauppa AT lainat ja avustukset'!O135,IF($F13=8,'1Kauppa AT lainat ja avustukset'!P136,IF($F13=9,'1Kauppa AT lainat ja avustukset'!Q137,IF($F13=10,'1Kauppa AT lainat ja avustukset'!R138,IF($F13=11,'1Kauppa AT lainat ja avustukset'!S139,IF($F13=12,'1Kauppa AT lainat ja avustukset'!T140,IF($F13=13,'1Kauppa AT lainat ja avustukset'!U141,IF($F13=14,'1Kauppa AT lainat ja avustukset'!V142,IF($F13=15,'1Kauppa AT lainat ja avustukset'!W143,IF($F13=16,'1Kauppa AT lainat ja avustukset'!X144,IF($F13=17,'1Kauppa AT lainat ja avustukset'!Y145,'1Kauppa AT lainat ja avustukset'!Z146))))))))))))</f>
        <v>0</v>
      </c>
      <c r="H21" s="1136">
        <f>IF($F13=6,'1Kauppa AT lainat ja avustukset'!Z134,IF($F13=7,'1Kauppa AT lainat ja avustukset'!AA135,IF($F13=8,'1Kauppa AT lainat ja avustukset'!AB136,IF($F13=9,'1Kauppa AT lainat ja avustukset'!AC137,IF($F13=10,'1Kauppa AT lainat ja avustukset'!AD138,IF($F13=11,'1Kauppa AT lainat ja avustukset'!AE139,IF($F13=12,'1Kauppa AT lainat ja avustukset'!AF140,IF($F13=13,'1Kauppa AT lainat ja avustukset'!AG141,IF($F13=14,'1Kauppa AT lainat ja avustukset'!AH142,IF($F13=15,'1Kauppa AT lainat ja avustukset'!AI143,IF($F13=16,'1Kauppa AT lainat ja avustukset'!AJ144,IF($F13=17,'1Kauppa AT lainat ja avustukset'!AK145,'1Kauppa AT lainat ja avustukset'!AL146))))))))))))</f>
        <v>0</v>
      </c>
      <c r="I21" s="6"/>
      <c r="J21" s="678"/>
      <c r="K21" s="783"/>
      <c r="L21" s="783"/>
      <c r="M21" s="783"/>
      <c r="N21" s="783"/>
      <c r="O21" s="783"/>
      <c r="P21" s="783"/>
      <c r="Q21" s="783"/>
      <c r="R21" s="783"/>
      <c r="S21" s="783"/>
      <c r="T21" s="1387"/>
    </row>
    <row r="22" spans="1:20" ht="12.65" customHeight="1" thickBot="1">
      <c r="A22" s="154"/>
      <c r="B22" s="578"/>
      <c r="C22" s="280"/>
      <c r="D22" s="1666" t="s">
        <v>60</v>
      </c>
      <c r="E22" s="1666"/>
      <c r="F22" s="1112">
        <f>IF($F13&lt;12,'1Kauppa AT lainat ja avustukset'!G131,IF($F13&lt;18,'1Kauppa AT lainat ja avustukset'!M131,'1Kauppa AT lainat ja avustukset'!N131))</f>
        <v>0</v>
      </c>
      <c r="G22" s="1139">
        <f>IF($F13&lt;12,'1Kauppa AT lainat ja avustukset'!S131,IF($F13&lt;18,'1Kauppa AT lainat ja avustukset'!Y131,'1Kauppa AT lainat ja avustukset'!Z131))</f>
        <v>0</v>
      </c>
      <c r="H22" s="1139">
        <f>IF($F13&lt;12,'1Kauppa AT lainat ja avustukset'!AE131,IF($F13&lt;18,'1Kauppa AT lainat ja avustukset'!AK131,'1Kauppa AT lainat ja avustukset'!AL131))</f>
        <v>0</v>
      </c>
      <c r="I22" s="6"/>
      <c r="J22" s="678"/>
      <c r="K22" s="783"/>
      <c r="L22" s="783"/>
      <c r="M22" s="783"/>
      <c r="N22" s="783"/>
      <c r="O22" s="783"/>
      <c r="P22" s="783"/>
      <c r="Q22" s="783"/>
      <c r="R22" s="783"/>
      <c r="S22" s="783"/>
      <c r="T22" s="1387"/>
    </row>
    <row r="23" spans="1:20" ht="12.65" customHeight="1">
      <c r="A23" s="2"/>
      <c r="B23" s="577" t="s">
        <v>179</v>
      </c>
      <c r="C23" s="1142" t="s">
        <v>14</v>
      </c>
      <c r="D23" s="306" t="s">
        <v>328</v>
      </c>
      <c r="E23" s="306"/>
      <c r="F23" s="1137">
        <f>F14+F20</f>
        <v>0</v>
      </c>
      <c r="G23" s="1137">
        <f>G14+G20</f>
        <v>0</v>
      </c>
      <c r="H23" s="1137">
        <f>H14+H20</f>
        <v>0</v>
      </c>
      <c r="I23" s="6"/>
      <c r="J23" s="678"/>
      <c r="K23" s="783"/>
      <c r="L23" s="783"/>
      <c r="M23" s="783"/>
      <c r="N23" s="783"/>
      <c r="O23" s="783"/>
      <c r="P23" s="783"/>
      <c r="Q23" s="783"/>
      <c r="R23" s="783"/>
      <c r="S23" s="783"/>
      <c r="T23" s="1387"/>
    </row>
    <row r="24" spans="1:20" ht="6.75" customHeight="1">
      <c r="A24" s="154"/>
      <c r="B24" s="579"/>
      <c r="C24" s="278"/>
      <c r="D24" s="63"/>
      <c r="E24" s="63"/>
      <c r="F24" s="741"/>
      <c r="G24" s="741"/>
      <c r="H24" s="741"/>
      <c r="I24" s="4"/>
      <c r="J24" s="1388"/>
      <c r="K24" s="1389"/>
      <c r="L24" s="1389"/>
      <c r="M24" s="1389"/>
      <c r="N24" s="1389"/>
      <c r="O24" s="1389"/>
      <c r="P24" s="1389"/>
      <c r="Q24" s="1389"/>
      <c r="R24" s="1389"/>
      <c r="S24" s="1389"/>
      <c r="T24" s="1390"/>
    </row>
    <row r="25" spans="1:20" ht="15" customHeight="1">
      <c r="B25" s="578"/>
      <c r="C25" s="915" t="s">
        <v>0</v>
      </c>
      <c r="D25" s="924" t="s">
        <v>471</v>
      </c>
      <c r="E25" s="925"/>
      <c r="F25" s="844"/>
      <c r="G25" s="844"/>
      <c r="H25" s="844"/>
      <c r="I25" s="1"/>
      <c r="J25" s="678"/>
      <c r="K25" s="783"/>
      <c r="L25" s="783"/>
      <c r="M25" s="783"/>
      <c r="N25" s="783"/>
      <c r="O25" s="783"/>
      <c r="P25" s="783"/>
      <c r="Q25" s="783"/>
      <c r="R25" s="783"/>
      <c r="S25" s="783"/>
      <c r="T25" s="1387"/>
    </row>
    <row r="26" spans="1:20" ht="12.75" customHeight="1" thickBot="1">
      <c r="B26" s="580" t="s">
        <v>254</v>
      </c>
      <c r="C26" s="149" t="s">
        <v>15</v>
      </c>
      <c r="D26" s="1665" t="s">
        <v>821</v>
      </c>
      <c r="E26" s="1665"/>
      <c r="F26" s="1111">
        <f>IF(F27=0,0,-F13*PMT('Rahoitus K3'!$H22/12,'Rahoitus K3'!$I22*12,'Rahoitus K3'!$K22)+F13*10)</f>
        <v>0</v>
      </c>
      <c r="G26" s="1111">
        <f>IF(G27=0,0,-G13*PMT('Rahoitus K3'!$H22/12,'Rahoitus K3'!$I22*12,'Rahoitus K3'!$K22)+G13*10)</f>
        <v>0</v>
      </c>
      <c r="H26" s="1111">
        <f>IF(H27=0,0,-H13*PMT('Rahoitus K3'!$H22/12,'Rahoitus K3'!$I22*12,'Rahoitus K3'!$K22)+H13*10)</f>
        <v>0</v>
      </c>
      <c r="I26" s="50"/>
      <c r="J26" s="678"/>
      <c r="K26" s="783"/>
      <c r="L26" s="783"/>
      <c r="M26" s="783"/>
      <c r="N26" s="783"/>
      <c r="O26" s="783"/>
      <c r="P26" s="783"/>
      <c r="Q26" s="783"/>
      <c r="R26" s="783"/>
      <c r="S26" s="783"/>
      <c r="T26" s="1387"/>
    </row>
    <row r="27" spans="1:20" ht="12.75" customHeight="1" thickBot="1">
      <c r="A27" s="154"/>
      <c r="B27" s="581"/>
      <c r="C27" s="310"/>
      <c r="D27" s="1660" t="s">
        <v>81</v>
      </c>
      <c r="E27" s="1660"/>
      <c r="F27" s="1112">
        <f>'Rahoitus K3'!K22</f>
        <v>0</v>
      </c>
      <c r="G27" s="1112">
        <f>IF('Rahoitus K3'!$I$22&lt;2,0,'Kustannukset K1'!F27)</f>
        <v>0</v>
      </c>
      <c r="H27" s="1112">
        <f>IF('Rahoitus K3'!$I$22&lt;3,0,'Kustannukset K1'!G27)</f>
        <v>0</v>
      </c>
      <c r="I27" s="46"/>
      <c r="J27" s="678"/>
      <c r="K27" s="783"/>
      <c r="L27" s="783"/>
      <c r="M27" s="783"/>
      <c r="N27" s="783"/>
      <c r="O27" s="783"/>
      <c r="P27" s="783"/>
      <c r="Q27" s="783"/>
      <c r="R27" s="783"/>
      <c r="S27" s="783"/>
      <c r="T27" s="1387"/>
    </row>
    <row r="28" spans="1:20" s="2" customFormat="1" ht="12.75" customHeight="1" thickBot="1">
      <c r="A28"/>
      <c r="B28" s="580" t="s">
        <v>392</v>
      </c>
      <c r="C28" s="575" t="s">
        <v>16</v>
      </c>
      <c r="D28" s="929" t="s">
        <v>761</v>
      </c>
      <c r="E28" s="417"/>
      <c r="F28" s="1113">
        <f>'Palkat '!C84</f>
        <v>0</v>
      </c>
      <c r="G28" s="1113">
        <f>'Palkat '!D84</f>
        <v>0</v>
      </c>
      <c r="H28" s="1113">
        <f>'Palkat '!E84</f>
        <v>0</v>
      </c>
      <c r="I28" s="6"/>
      <c r="J28" s="678"/>
      <c r="K28" s="783"/>
      <c r="L28" s="783"/>
      <c r="M28" s="783"/>
      <c r="N28" s="783"/>
      <c r="O28" s="783"/>
      <c r="P28" s="783"/>
      <c r="Q28" s="783"/>
      <c r="R28" s="783"/>
      <c r="S28" s="783"/>
      <c r="T28" s="1387"/>
    </row>
    <row r="29" spans="1:20" s="2" customFormat="1" ht="12.75" customHeight="1" thickBot="1">
      <c r="A29" s="154"/>
      <c r="B29" s="580" t="s">
        <v>180</v>
      </c>
      <c r="C29" s="149" t="s">
        <v>17</v>
      </c>
      <c r="D29" s="588" t="s">
        <v>398</v>
      </c>
      <c r="E29" s="302"/>
      <c r="F29" s="1113">
        <f>F30+F33</f>
        <v>0</v>
      </c>
      <c r="G29" s="1113">
        <f>G30+G33</f>
        <v>0</v>
      </c>
      <c r="H29" s="1113">
        <f>H30+H33</f>
        <v>0</v>
      </c>
      <c r="I29" s="6"/>
      <c r="J29" s="678"/>
      <c r="K29" s="783"/>
      <c r="L29" s="783"/>
      <c r="M29" s="783"/>
      <c r="N29" s="783"/>
      <c r="O29" s="783"/>
      <c r="P29" s="783"/>
      <c r="Q29" s="783"/>
      <c r="R29" s="783"/>
      <c r="S29" s="783"/>
      <c r="T29" s="1387"/>
    </row>
    <row r="30" spans="1:20" s="2" customFormat="1" ht="12.75" customHeight="1">
      <c r="A30"/>
      <c r="B30" s="581" t="s">
        <v>0</v>
      </c>
      <c r="C30" s="149" t="s">
        <v>0</v>
      </c>
      <c r="D30" s="586" t="s">
        <v>256</v>
      </c>
      <c r="E30" s="586"/>
      <c r="F30" s="1114">
        <f>F31*F13*F32/12</f>
        <v>0</v>
      </c>
      <c r="G30" s="1114">
        <f>G31*G32</f>
        <v>0</v>
      </c>
      <c r="H30" s="1114">
        <f>H31*H32</f>
        <v>0</v>
      </c>
      <c r="I30" s="6"/>
      <c r="J30" s="1675" t="s">
        <v>552</v>
      </c>
      <c r="K30" s="1676"/>
      <c r="L30" s="783"/>
      <c r="M30" s="783"/>
      <c r="N30" s="783"/>
      <c r="O30" s="783"/>
      <c r="P30" s="783"/>
      <c r="Q30" s="783"/>
      <c r="R30" s="783"/>
      <c r="S30" s="783"/>
      <c r="T30" s="1387"/>
    </row>
    <row r="31" spans="1:20" s="2" customFormat="1" ht="12.75" customHeight="1">
      <c r="A31" s="154"/>
      <c r="B31" s="581"/>
      <c r="C31" s="149"/>
      <c r="D31" s="303" t="s">
        <v>500</v>
      </c>
      <c r="E31" s="1108"/>
      <c r="F31" s="1115">
        <v>0.188</v>
      </c>
      <c r="G31" s="1117">
        <f>F31</f>
        <v>0.188</v>
      </c>
      <c r="H31" s="1117">
        <f>G31</f>
        <v>0.188</v>
      </c>
      <c r="I31" s="6"/>
      <c r="J31" s="786">
        <f>G$12</f>
        <v>2026</v>
      </c>
      <c r="K31" s="786">
        <f>H$12</f>
        <v>2027</v>
      </c>
      <c r="L31" s="783"/>
      <c r="M31" s="783"/>
      <c r="N31" s="783"/>
      <c r="O31" s="783"/>
      <c r="P31" s="783"/>
      <c r="Q31" s="783"/>
      <c r="R31" s="783"/>
      <c r="S31" s="783"/>
      <c r="T31" s="1387"/>
    </row>
    <row r="32" spans="1:20" s="2" customFormat="1" ht="12.75" customHeight="1">
      <c r="A32"/>
      <c r="B32" s="581"/>
      <c r="C32" s="149"/>
      <c r="D32" s="1662" t="s">
        <v>381</v>
      </c>
      <c r="E32" s="1663"/>
      <c r="F32" s="1116">
        <f>12.5*F16+12.5*F17</f>
        <v>0</v>
      </c>
      <c r="G32" s="1129">
        <f>F32 +F32*J32</f>
        <v>0</v>
      </c>
      <c r="H32" s="1129">
        <f>G32 +G32*K32</f>
        <v>0</v>
      </c>
      <c r="I32" s="6"/>
      <c r="J32" s="785">
        <v>0.03</v>
      </c>
      <c r="K32" s="785">
        <f>J32</f>
        <v>0.03</v>
      </c>
      <c r="L32" s="783"/>
      <c r="M32" s="783"/>
      <c r="N32" s="783"/>
      <c r="O32" s="783"/>
      <c r="P32" s="783"/>
      <c r="Q32" s="783"/>
      <c r="R32" s="783"/>
      <c r="S32" s="783"/>
      <c r="T32" s="1387"/>
    </row>
    <row r="33" spans="1:20" s="2" customFormat="1" ht="12.75" customHeight="1">
      <c r="A33" s="154"/>
      <c r="B33" s="581"/>
      <c r="C33" s="149"/>
      <c r="D33" s="303" t="s">
        <v>447</v>
      </c>
      <c r="E33" s="1108"/>
      <c r="F33" s="1099">
        <f>('Kustannukset K1'!F34)*'Palkat '!C$86+F35</f>
        <v>0</v>
      </c>
      <c r="G33" s="1099">
        <f>('Kustannukset K1'!G34)*'Palkat '!D$86+G35</f>
        <v>0</v>
      </c>
      <c r="H33" s="1099">
        <f>('Kustannukset K1'!H34)*'Palkat '!E$86+H35</f>
        <v>0</v>
      </c>
      <c r="I33" s="6"/>
      <c r="J33" s="678"/>
      <c r="K33" s="783"/>
      <c r="L33" s="783"/>
      <c r="M33" s="783"/>
      <c r="N33" s="783"/>
      <c r="O33" s="783"/>
      <c r="P33" s="783"/>
      <c r="Q33" s="783"/>
      <c r="R33" s="783"/>
      <c r="S33" s="783"/>
      <c r="T33" s="1387"/>
    </row>
    <row r="34" spans="1:20" s="2" customFormat="1" ht="12.75" customHeight="1">
      <c r="B34" s="581"/>
      <c r="C34" s="149"/>
      <c r="D34" s="303" t="s">
        <v>361</v>
      </c>
      <c r="E34" s="1108"/>
      <c r="F34" s="1117">
        <v>0.1734</v>
      </c>
      <c r="G34" s="1117">
        <f>F34</f>
        <v>0.1734</v>
      </c>
      <c r="H34" s="1117">
        <f>G34</f>
        <v>0.1734</v>
      </c>
      <c r="I34" s="6"/>
      <c r="J34" s="678"/>
      <c r="K34" s="783"/>
      <c r="L34" s="783"/>
      <c r="M34" s="783"/>
      <c r="N34" s="783"/>
      <c r="O34" s="783"/>
      <c r="P34" s="783"/>
      <c r="Q34" s="783"/>
      <c r="R34" s="783"/>
      <c r="S34" s="783"/>
      <c r="T34" s="1387"/>
    </row>
    <row r="35" spans="1:20" s="2" customFormat="1" ht="12.75" customHeight="1" thickBot="1">
      <c r="A35"/>
      <c r="B35" s="581"/>
      <c r="C35" s="310"/>
      <c r="D35" s="301" t="s">
        <v>448</v>
      </c>
      <c r="E35" s="301"/>
      <c r="F35" s="1118">
        <v>0</v>
      </c>
      <c r="G35" s="1118">
        <f>F35*12/F$13</f>
        <v>0</v>
      </c>
      <c r="H35" s="1118">
        <f>G35</f>
        <v>0</v>
      </c>
      <c r="I35" s="6"/>
      <c r="J35" s="678"/>
      <c r="K35" s="783"/>
      <c r="L35" s="783"/>
      <c r="M35" s="783"/>
      <c r="N35" s="783"/>
      <c r="O35" s="783"/>
      <c r="P35" s="783"/>
      <c r="Q35" s="783"/>
      <c r="R35" s="783"/>
      <c r="S35" s="783"/>
      <c r="T35" s="1387"/>
    </row>
    <row r="36" spans="1:20" s="2" customFormat="1" ht="12.75" customHeight="1" thickBot="1">
      <c r="A36"/>
      <c r="B36" s="580" t="s">
        <v>181</v>
      </c>
      <c r="C36" s="149" t="s">
        <v>18</v>
      </c>
      <c r="D36" s="306" t="s">
        <v>822</v>
      </c>
      <c r="E36" s="302"/>
      <c r="F36" s="1113">
        <f>('Kustannukset K1'!F37)*'Palkat '!C$86+F40+F38+F39</f>
        <v>0</v>
      </c>
      <c r="G36" s="1113">
        <f>('Kustannukset K1'!G37)*'Palkat '!D$86+G40+G38+G39</f>
        <v>0</v>
      </c>
      <c r="H36" s="1113">
        <f>('Kustannukset K1'!H37)*'Palkat '!E$86+H40+H38+H39</f>
        <v>0</v>
      </c>
      <c r="I36" s="6"/>
      <c r="J36" s="678"/>
      <c r="K36" s="783"/>
      <c r="L36" s="783"/>
      <c r="M36" s="783"/>
      <c r="N36" s="783"/>
      <c r="O36" s="783"/>
      <c r="P36" s="783"/>
      <c r="Q36" s="783"/>
      <c r="R36" s="783"/>
      <c r="S36" s="783"/>
      <c r="T36" s="1387"/>
    </row>
    <row r="37" spans="1:20" s="2" customFormat="1" ht="12.75" customHeight="1">
      <c r="A37"/>
      <c r="B37" s="581"/>
      <c r="C37" s="149"/>
      <c r="D37" s="586" t="s">
        <v>285</v>
      </c>
      <c r="E37" s="586"/>
      <c r="F37" s="1119">
        <v>2.06E-2</v>
      </c>
      <c r="G37" s="1119">
        <f>F37</f>
        <v>2.06E-2</v>
      </c>
      <c r="H37" s="1119">
        <f>G37</f>
        <v>2.06E-2</v>
      </c>
      <c r="I37" s="6"/>
      <c r="J37" s="1685" t="s">
        <v>552</v>
      </c>
      <c r="K37" s="1686"/>
      <c r="L37" s="783"/>
      <c r="M37" s="783"/>
      <c r="N37" s="783"/>
      <c r="O37" s="783"/>
      <c r="P37" s="783"/>
      <c r="Q37" s="783"/>
      <c r="R37" s="783"/>
      <c r="S37" s="783"/>
      <c r="T37" s="1387"/>
    </row>
    <row r="38" spans="1:20" s="2" customFormat="1" ht="12.75" customHeight="1">
      <c r="A38"/>
      <c r="B38" s="581"/>
      <c r="C38" s="149"/>
      <c r="D38" s="303" t="s">
        <v>562</v>
      </c>
      <c r="E38" s="1108"/>
      <c r="F38" s="1099">
        <f>F13*(1.7%*F32+1.16%*F15+0.008*'Rahoitus K3'!$K16)/12</f>
        <v>0</v>
      </c>
      <c r="G38" s="1099">
        <f>G13*(1.7%*G32+1.16%*G15+0.008*'Rahoitus K3'!$K16)/12</f>
        <v>0</v>
      </c>
      <c r="H38" s="1099">
        <f>H13*(1.7%*H32+1.16%*H15+0.008*'Rahoitus K3'!$K16)/12</f>
        <v>0</v>
      </c>
      <c r="I38" s="6"/>
      <c r="J38" s="786">
        <f>G$12</f>
        <v>2026</v>
      </c>
      <c r="K38" s="786">
        <f>H$12</f>
        <v>2027</v>
      </c>
      <c r="L38" s="783"/>
      <c r="M38" s="783"/>
      <c r="N38" s="783"/>
      <c r="O38" s="783"/>
      <c r="P38" s="783"/>
      <c r="Q38" s="783"/>
      <c r="R38" s="783"/>
      <c r="S38" s="783"/>
      <c r="T38" s="1387"/>
    </row>
    <row r="39" spans="1:20" s="2" customFormat="1" ht="12.75" customHeight="1">
      <c r="A39"/>
      <c r="B39" s="581"/>
      <c r="C39" s="149"/>
      <c r="D39" s="303" t="s">
        <v>267</v>
      </c>
      <c r="E39" s="1108"/>
      <c r="F39" s="1101">
        <v>0</v>
      </c>
      <c r="G39" s="1101">
        <f>F39*12/F$13+J39*F39*12/F$13</f>
        <v>0</v>
      </c>
      <c r="H39" s="1101">
        <f t="shared" ref="H39" si="0">G39 +G39*K39</f>
        <v>0</v>
      </c>
      <c r="I39" s="6"/>
      <c r="J39" s="785">
        <v>0.03</v>
      </c>
      <c r="K39" s="785">
        <f t="shared" ref="K39:K46" si="1">J39</f>
        <v>0.03</v>
      </c>
      <c r="L39" s="783"/>
      <c r="M39" s="783"/>
      <c r="N39" s="783"/>
      <c r="O39" s="783"/>
      <c r="P39" s="783"/>
      <c r="Q39" s="783"/>
      <c r="R39" s="783"/>
      <c r="S39" s="783"/>
      <c r="T39" s="1387"/>
    </row>
    <row r="40" spans="1:20" s="2" customFormat="1" ht="12.75" customHeight="1" thickBot="1">
      <c r="A40"/>
      <c r="B40" s="581"/>
      <c r="C40" s="310"/>
      <c r="D40" s="1660" t="s">
        <v>250</v>
      </c>
      <c r="E40" s="1660"/>
      <c r="F40" s="1118">
        <v>0</v>
      </c>
      <c r="G40" s="1118">
        <f>F40*12/F$13+J40*F40*12/F$13</f>
        <v>0</v>
      </c>
      <c r="H40" s="1118">
        <f t="shared" ref="H40" si="2">G40 +G40*K40</f>
        <v>0</v>
      </c>
      <c r="I40" s="6"/>
      <c r="J40" s="785">
        <v>0.03</v>
      </c>
      <c r="K40" s="785">
        <f t="shared" si="1"/>
        <v>0.03</v>
      </c>
      <c r="L40" s="783"/>
      <c r="M40" s="783"/>
      <c r="N40" s="783"/>
      <c r="O40" s="783"/>
      <c r="P40" s="783"/>
      <c r="Q40" s="783"/>
      <c r="R40" s="783"/>
      <c r="S40" s="783"/>
      <c r="T40" s="1387"/>
    </row>
    <row r="41" spans="1:20" s="2" customFormat="1" ht="12.75" customHeight="1" thickBot="1">
      <c r="A41"/>
      <c r="B41" s="580" t="s">
        <v>182</v>
      </c>
      <c r="C41" s="149" t="s">
        <v>19</v>
      </c>
      <c r="D41" s="306" t="s">
        <v>823</v>
      </c>
      <c r="E41" s="304"/>
      <c r="F41" s="1113">
        <f>SUM(F42:F46)</f>
        <v>0</v>
      </c>
      <c r="G41" s="1113">
        <f>SUM(G42:G46)</f>
        <v>0</v>
      </c>
      <c r="H41" s="1113">
        <f>SUM(H42:H46)</f>
        <v>0</v>
      </c>
      <c r="I41" s="6"/>
      <c r="J41" s="786">
        <f>G$12</f>
        <v>2026</v>
      </c>
      <c r="K41" s="786">
        <f>H$12</f>
        <v>2027</v>
      </c>
      <c r="L41" s="783"/>
      <c r="M41" s="783"/>
      <c r="N41" s="783"/>
      <c r="O41" s="783"/>
      <c r="P41" s="783"/>
      <c r="Q41" s="783"/>
      <c r="R41" s="783"/>
      <c r="S41" s="783"/>
      <c r="T41" s="1387"/>
    </row>
    <row r="42" spans="1:20" s="2" customFormat="1" ht="12.75" customHeight="1">
      <c r="A42"/>
      <c r="B42" s="581"/>
      <c r="C42" s="149"/>
      <c r="D42" s="586" t="s">
        <v>297</v>
      </c>
      <c r="E42" s="587"/>
      <c r="F42" s="1120">
        <v>0</v>
      </c>
      <c r="G42" s="1121">
        <f>F42*12/F$13+J42*F42*12/F$13</f>
        <v>0</v>
      </c>
      <c r="H42" s="1121">
        <f t="shared" ref="H42" si="3">G42 +G42*K42</f>
        <v>0</v>
      </c>
      <c r="I42" s="6"/>
      <c r="J42" s="785">
        <v>0.03</v>
      </c>
      <c r="K42" s="785">
        <f t="shared" si="1"/>
        <v>0.03</v>
      </c>
      <c r="L42" s="783"/>
      <c r="M42" s="783"/>
      <c r="N42" s="783"/>
      <c r="O42" s="783"/>
      <c r="P42" s="783"/>
      <c r="Q42" s="783"/>
      <c r="R42" s="783"/>
      <c r="S42" s="783"/>
      <c r="T42" s="1387"/>
    </row>
    <row r="43" spans="1:20" s="2" customFormat="1" ht="12.75" customHeight="1">
      <c r="A43"/>
      <c r="B43" s="581"/>
      <c r="C43" s="149"/>
      <c r="D43" s="303" t="s">
        <v>298</v>
      </c>
      <c r="E43" s="1109"/>
      <c r="F43" s="1101">
        <v>0</v>
      </c>
      <c r="G43" s="1101">
        <f t="shared" ref="G43:G46" si="4">F43*12/F$13+J43*F43*12/F$13</f>
        <v>0</v>
      </c>
      <c r="H43" s="1101">
        <f t="shared" ref="H43:H46" si="5">G43 +G43*K43</f>
        <v>0</v>
      </c>
      <c r="I43" s="6"/>
      <c r="J43" s="785">
        <v>0.03</v>
      </c>
      <c r="K43" s="785">
        <f t="shared" si="1"/>
        <v>0.03</v>
      </c>
      <c r="L43" s="783"/>
      <c r="M43" s="783"/>
      <c r="N43" s="783"/>
      <c r="O43" s="783"/>
      <c r="P43" s="783"/>
      <c r="Q43" s="783"/>
      <c r="R43" s="783"/>
      <c r="S43" s="783"/>
      <c r="T43" s="1387"/>
    </row>
    <row r="44" spans="1:20" s="2" customFormat="1" ht="12.75" customHeight="1">
      <c r="A44"/>
      <c r="B44" s="581"/>
      <c r="C44" s="149"/>
      <c r="D44" s="303" t="s">
        <v>243</v>
      </c>
      <c r="E44" s="1109"/>
      <c r="F44" s="1101">
        <v>0</v>
      </c>
      <c r="G44" s="1101">
        <f t="shared" si="4"/>
        <v>0</v>
      </c>
      <c r="H44" s="1101">
        <f t="shared" si="5"/>
        <v>0</v>
      </c>
      <c r="I44" s="6"/>
      <c r="J44" s="785">
        <v>0.03</v>
      </c>
      <c r="K44" s="785">
        <f t="shared" si="1"/>
        <v>0.03</v>
      </c>
      <c r="L44" s="783"/>
      <c r="M44" s="783"/>
      <c r="N44" s="783"/>
      <c r="O44" s="783"/>
      <c r="P44" s="783"/>
      <c r="Q44" s="783"/>
      <c r="R44" s="783"/>
      <c r="S44" s="783"/>
      <c r="T44" s="1387"/>
    </row>
    <row r="45" spans="1:20" s="2" customFormat="1" ht="12.75" customHeight="1">
      <c r="A45"/>
      <c r="B45" s="581"/>
      <c r="C45" s="149"/>
      <c r="D45" s="303" t="s">
        <v>244</v>
      </c>
      <c r="E45" s="1109"/>
      <c r="F45" s="1101">
        <v>0</v>
      </c>
      <c r="G45" s="1101">
        <f t="shared" si="4"/>
        <v>0</v>
      </c>
      <c r="H45" s="1101">
        <f t="shared" si="5"/>
        <v>0</v>
      </c>
      <c r="I45" s="6"/>
      <c r="J45" s="785">
        <v>0.03</v>
      </c>
      <c r="K45" s="785">
        <f t="shared" si="1"/>
        <v>0.03</v>
      </c>
      <c r="L45" s="783"/>
      <c r="M45" s="783"/>
      <c r="N45" s="783"/>
      <c r="O45" s="783"/>
      <c r="P45" s="783"/>
      <c r="Q45" s="783"/>
      <c r="R45" s="783"/>
      <c r="S45" s="783"/>
      <c r="T45" s="1387"/>
    </row>
    <row r="46" spans="1:20" s="2" customFormat="1" ht="12.75" customHeight="1" thickBot="1">
      <c r="A46"/>
      <c r="B46" s="581"/>
      <c r="C46" s="310"/>
      <c r="D46" s="1660" t="s">
        <v>245</v>
      </c>
      <c r="E46" s="1660"/>
      <c r="F46" s="1118">
        <v>0</v>
      </c>
      <c r="G46" s="1118">
        <f t="shared" si="4"/>
        <v>0</v>
      </c>
      <c r="H46" s="1118">
        <f t="shared" si="5"/>
        <v>0</v>
      </c>
      <c r="I46" s="6"/>
      <c r="J46" s="785">
        <v>0.03</v>
      </c>
      <c r="K46" s="785">
        <f t="shared" si="1"/>
        <v>0.03</v>
      </c>
      <c r="L46" s="783"/>
      <c r="M46" s="783"/>
      <c r="N46" s="783"/>
      <c r="O46" s="783"/>
      <c r="P46" s="783"/>
      <c r="Q46" s="783"/>
      <c r="R46" s="783"/>
      <c r="S46" s="783"/>
      <c r="T46" s="1387"/>
    </row>
    <row r="47" spans="1:20" s="2" customFormat="1" ht="12.75" customHeight="1" thickBot="1">
      <c r="A47"/>
      <c r="B47" s="580" t="s">
        <v>183</v>
      </c>
      <c r="C47" s="149" t="s">
        <v>20</v>
      </c>
      <c r="D47" s="306" t="s">
        <v>824</v>
      </c>
      <c r="E47" s="304"/>
      <c r="F47" s="1113">
        <f>F48+F51+F52+F53+F54+F55+F56+F57*0.003+F58</f>
        <v>0</v>
      </c>
      <c r="G47" s="1113">
        <f>G48+G51+G52+G53+G54+G55+G56+G57*0.003+G58</f>
        <v>0</v>
      </c>
      <c r="H47" s="1113">
        <f>H48+H51+H52+H53+H54+H55+H56+H57*0.003+H58</f>
        <v>0</v>
      </c>
      <c r="I47" s="6"/>
      <c r="J47" s="787">
        <v>0</v>
      </c>
      <c r="K47" s="788"/>
      <c r="L47" s="783"/>
      <c r="M47" s="783"/>
      <c r="N47" s="783"/>
      <c r="O47" s="783"/>
      <c r="P47" s="783"/>
      <c r="Q47" s="783"/>
      <c r="R47" s="783"/>
      <c r="S47" s="783"/>
      <c r="T47" s="1387"/>
    </row>
    <row r="48" spans="1:20" ht="12.75" customHeight="1">
      <c r="B48" s="581" t="s">
        <v>0</v>
      </c>
      <c r="C48" s="149">
        <v>0</v>
      </c>
      <c r="D48" s="586" t="s">
        <v>251</v>
      </c>
      <c r="E48" s="586"/>
      <c r="F48" s="1114">
        <f>F50*F49</f>
        <v>0</v>
      </c>
      <c r="G48" s="1114">
        <f>G50*G49</f>
        <v>0</v>
      </c>
      <c r="H48" s="1114">
        <f>H50*H49</f>
        <v>0</v>
      </c>
      <c r="I48" s="6"/>
      <c r="J48" s="786">
        <f>G$12</f>
        <v>2026</v>
      </c>
      <c r="K48" s="786">
        <f>H$12</f>
        <v>2027</v>
      </c>
      <c r="L48" s="783"/>
      <c r="M48" s="783"/>
      <c r="N48" s="783"/>
      <c r="O48" s="783"/>
      <c r="P48" s="783"/>
      <c r="Q48" s="783"/>
      <c r="R48" s="783"/>
      <c r="S48" s="783"/>
      <c r="T48" s="1387"/>
    </row>
    <row r="49" spans="1:20" ht="12.75" customHeight="1">
      <c r="B49" s="581" t="s">
        <v>0</v>
      </c>
      <c r="C49" s="149"/>
      <c r="D49" s="303" t="s">
        <v>252</v>
      </c>
      <c r="E49" s="1108"/>
      <c r="F49" s="1121">
        <v>0</v>
      </c>
      <c r="G49" s="1101">
        <f>F49 +F49*J49</f>
        <v>0</v>
      </c>
      <c r="H49" s="1101">
        <f>G49 +G49*K49</f>
        <v>0</v>
      </c>
      <c r="I49" s="18"/>
      <c r="J49" s="785">
        <v>0.03</v>
      </c>
      <c r="K49" s="785">
        <f>J49</f>
        <v>0.03</v>
      </c>
      <c r="L49" s="783"/>
      <c r="M49" s="783"/>
      <c r="N49" s="783"/>
      <c r="O49" s="783"/>
      <c r="P49" s="783"/>
      <c r="Q49" s="783"/>
      <c r="R49" s="783"/>
      <c r="S49" s="783"/>
      <c r="T49" s="1387"/>
    </row>
    <row r="50" spans="1:20" ht="12.75" customHeight="1">
      <c r="B50" s="581" t="s">
        <v>0</v>
      </c>
      <c r="C50" s="149"/>
      <c r="D50" s="303" t="s">
        <v>706</v>
      </c>
      <c r="E50" s="1108"/>
      <c r="F50" s="1122">
        <f>F13</f>
        <v>12</v>
      </c>
      <c r="G50" s="1122">
        <v>12</v>
      </c>
      <c r="H50" s="1122">
        <f>G50</f>
        <v>12</v>
      </c>
      <c r="I50" s="49"/>
      <c r="J50" s="786">
        <f>G$12</f>
        <v>2026</v>
      </c>
      <c r="K50" s="786">
        <f>H$12</f>
        <v>2027</v>
      </c>
      <c r="L50" s="783"/>
      <c r="M50" s="664"/>
      <c r="N50" s="783"/>
      <c r="O50" s="783"/>
      <c r="P50" s="783"/>
      <c r="Q50" s="783"/>
      <c r="R50" s="783" t="s">
        <v>0</v>
      </c>
      <c r="S50" s="783"/>
      <c r="T50" s="1387"/>
    </row>
    <row r="51" spans="1:20" s="243" customFormat="1" ht="12.75" customHeight="1">
      <c r="A51"/>
      <c r="B51" s="581"/>
      <c r="C51" s="149"/>
      <c r="D51" s="303" t="s">
        <v>246</v>
      </c>
      <c r="E51" s="1109"/>
      <c r="F51" s="1101">
        <v>0</v>
      </c>
      <c r="G51" s="1101">
        <f t="shared" ref="G51" si="6">F51*12/F$13+J51*F51*12/F$13</f>
        <v>0</v>
      </c>
      <c r="H51" s="1101">
        <f t="shared" ref="H51" si="7">G51 +G51*K51</f>
        <v>0</v>
      </c>
      <c r="I51" s="279"/>
      <c r="J51" s="785">
        <v>0.03</v>
      </c>
      <c r="K51" s="785">
        <f t="shared" ref="K51:K58" si="8">J51</f>
        <v>0.03</v>
      </c>
      <c r="L51" s="783"/>
      <c r="M51" s="783"/>
      <c r="N51" s="783"/>
      <c r="O51" s="783"/>
      <c r="P51" s="783"/>
      <c r="Q51" s="783"/>
      <c r="R51" s="783"/>
      <c r="S51" s="783"/>
      <c r="T51" s="1387"/>
    </row>
    <row r="52" spans="1:20" s="243" customFormat="1" ht="12.75" customHeight="1">
      <c r="A52"/>
      <c r="B52" s="581"/>
      <c r="C52" s="149"/>
      <c r="D52" s="303" t="s">
        <v>247</v>
      </c>
      <c r="E52" s="1109"/>
      <c r="F52" s="1101">
        <v>0</v>
      </c>
      <c r="G52" s="1101">
        <f t="shared" ref="G52:G56" si="9">F52*12/F$13+J52*F52*12/F$13</f>
        <v>0</v>
      </c>
      <c r="H52" s="1101">
        <f t="shared" ref="H52:H57" si="10">G52 +G52*K52</f>
        <v>0</v>
      </c>
      <c r="I52" s="279"/>
      <c r="J52" s="785">
        <v>0.03</v>
      </c>
      <c r="K52" s="785">
        <f t="shared" si="8"/>
        <v>0.03</v>
      </c>
      <c r="L52" s="783"/>
      <c r="M52" s="783"/>
      <c r="N52" s="783"/>
      <c r="O52" s="783"/>
      <c r="P52" s="783"/>
      <c r="Q52" s="783"/>
      <c r="R52" s="783"/>
      <c r="S52" s="783"/>
      <c r="T52" s="1387"/>
    </row>
    <row r="53" spans="1:20" s="243" customFormat="1" ht="12.75" customHeight="1">
      <c r="A53"/>
      <c r="B53" s="581"/>
      <c r="C53" s="149"/>
      <c r="D53" s="303" t="s">
        <v>248</v>
      </c>
      <c r="E53" s="1109"/>
      <c r="F53" s="1101">
        <v>0</v>
      </c>
      <c r="G53" s="1101">
        <f t="shared" si="9"/>
        <v>0</v>
      </c>
      <c r="H53" s="1101">
        <f t="shared" si="10"/>
        <v>0</v>
      </c>
      <c r="I53" s="279"/>
      <c r="J53" s="785">
        <v>0.03</v>
      </c>
      <c r="K53" s="785">
        <f t="shared" si="8"/>
        <v>0.03</v>
      </c>
      <c r="L53" s="783"/>
      <c r="M53" s="783"/>
      <c r="N53" s="783"/>
      <c r="O53" s="783"/>
      <c r="P53" s="783"/>
      <c r="Q53" s="783"/>
      <c r="R53" s="783"/>
      <c r="S53" s="783"/>
      <c r="T53" s="1387"/>
    </row>
    <row r="54" spans="1:20" s="243" customFormat="1" ht="12.75" customHeight="1">
      <c r="B54" s="581"/>
      <c r="C54" s="149"/>
      <c r="D54" s="303" t="s">
        <v>334</v>
      </c>
      <c r="E54" s="1109"/>
      <c r="F54" s="1101">
        <v>0</v>
      </c>
      <c r="G54" s="1101">
        <f t="shared" si="9"/>
        <v>0</v>
      </c>
      <c r="H54" s="1101">
        <f t="shared" si="10"/>
        <v>0</v>
      </c>
      <c r="I54" s="279"/>
      <c r="J54" s="785">
        <v>0.03</v>
      </c>
      <c r="K54" s="785">
        <f t="shared" si="8"/>
        <v>0.03</v>
      </c>
      <c r="L54" s="783"/>
      <c r="M54" s="783"/>
      <c r="N54" s="783"/>
      <c r="O54" s="783"/>
      <c r="P54" s="783"/>
      <c r="Q54" s="783"/>
      <c r="R54" s="783"/>
      <c r="S54" s="783"/>
      <c r="T54" s="1387"/>
    </row>
    <row r="55" spans="1:20" s="243" customFormat="1" ht="12.75" customHeight="1">
      <c r="B55" s="581"/>
      <c r="C55" s="149"/>
      <c r="D55" s="303" t="s">
        <v>249</v>
      </c>
      <c r="E55" s="1109"/>
      <c r="F55" s="1101">
        <v>0</v>
      </c>
      <c r="G55" s="1101">
        <f t="shared" si="9"/>
        <v>0</v>
      </c>
      <c r="H55" s="1101">
        <f t="shared" si="10"/>
        <v>0</v>
      </c>
      <c r="I55" s="279"/>
      <c r="J55" s="785">
        <v>0.03</v>
      </c>
      <c r="K55" s="785">
        <f t="shared" si="8"/>
        <v>0.03</v>
      </c>
      <c r="L55" s="783"/>
      <c r="M55" s="783"/>
      <c r="N55" s="783"/>
      <c r="O55" s="783"/>
      <c r="P55" s="783"/>
      <c r="Q55" s="783"/>
      <c r="R55" s="783"/>
      <c r="S55" s="783"/>
      <c r="T55" s="1387"/>
    </row>
    <row r="56" spans="1:20" s="243" customFormat="1" ht="12.75" customHeight="1">
      <c r="B56" s="581"/>
      <c r="C56" s="149"/>
      <c r="D56" s="1662" t="s">
        <v>335</v>
      </c>
      <c r="E56" s="1663"/>
      <c r="F56" s="1101">
        <v>0</v>
      </c>
      <c r="G56" s="1101">
        <f t="shared" si="9"/>
        <v>0</v>
      </c>
      <c r="H56" s="1101">
        <f>G56 +G56*K56</f>
        <v>0</v>
      </c>
      <c r="I56" s="279"/>
      <c r="J56" s="785">
        <v>0.03</v>
      </c>
      <c r="K56" s="785">
        <f t="shared" si="8"/>
        <v>0.03</v>
      </c>
      <c r="L56" s="783"/>
      <c r="M56" s="783"/>
      <c r="N56" s="783"/>
      <c r="O56" s="783"/>
      <c r="P56" s="783"/>
      <c r="Q56" s="783"/>
      <c r="R56" s="783"/>
      <c r="S56" s="783"/>
      <c r="T56" s="1387"/>
    </row>
    <row r="57" spans="1:20" s="243" customFormat="1" ht="12.75" customHeight="1">
      <c r="B57" s="581"/>
      <c r="C57" s="149"/>
      <c r="D57" s="303" t="s">
        <v>268</v>
      </c>
      <c r="E57" s="1109"/>
      <c r="F57" s="1101">
        <v>0</v>
      </c>
      <c r="G57" s="1101">
        <f t="shared" ref="G57" si="11">F57 +F57*J57</f>
        <v>0</v>
      </c>
      <c r="H57" s="1101">
        <f t="shared" si="10"/>
        <v>0</v>
      </c>
      <c r="I57" s="279"/>
      <c r="J57" s="785">
        <v>0.03</v>
      </c>
      <c r="K57" s="785">
        <f t="shared" si="8"/>
        <v>0.03</v>
      </c>
      <c r="L57" s="783"/>
      <c r="M57" s="783"/>
      <c r="N57" s="783"/>
      <c r="O57" s="783"/>
      <c r="P57" s="783"/>
      <c r="Q57" s="783"/>
      <c r="R57" s="783"/>
      <c r="S57" s="783"/>
      <c r="T57" s="1387"/>
    </row>
    <row r="58" spans="1:20" s="243" customFormat="1" ht="12.75" customHeight="1" thickBot="1">
      <c r="B58" s="581"/>
      <c r="C58" s="310"/>
      <c r="D58" s="1661" t="s">
        <v>336</v>
      </c>
      <c r="E58" s="1661"/>
      <c r="F58" s="1118">
        <v>0</v>
      </c>
      <c r="G58" s="1101">
        <f t="shared" ref="G58" si="12">F58*12/F$13+J58*F58*12/F$13</f>
        <v>0</v>
      </c>
      <c r="H58" s="1101">
        <f t="shared" ref="H58" si="13">G58 +G58*K58</f>
        <v>0</v>
      </c>
      <c r="I58" s="279"/>
      <c r="J58" s="785">
        <v>0.03</v>
      </c>
      <c r="K58" s="785">
        <f t="shared" si="8"/>
        <v>0.03</v>
      </c>
      <c r="L58" s="783"/>
      <c r="M58" s="783"/>
      <c r="N58" s="783"/>
      <c r="O58" s="783"/>
      <c r="P58" s="783"/>
      <c r="Q58" s="783"/>
      <c r="R58" s="783"/>
      <c r="S58" s="783"/>
      <c r="T58" s="1387"/>
    </row>
    <row r="59" spans="1:20" ht="12.75" customHeight="1" thickBot="1">
      <c r="B59" s="580" t="s">
        <v>184</v>
      </c>
      <c r="C59" s="149" t="s">
        <v>21</v>
      </c>
      <c r="D59" s="307" t="s">
        <v>797</v>
      </c>
      <c r="E59" s="743">
        <v>0.3</v>
      </c>
      <c r="F59" s="1113">
        <f>IF(F60=0,0,F13*'1Kauppa AT lainat ja avustukset'!$G66/12)</f>
        <v>0</v>
      </c>
      <c r="G59" s="1113">
        <f>IF(G60=0,0,G13*'1Kauppa AT lainat ja avustukset'!$G66/12)</f>
        <v>0</v>
      </c>
      <c r="H59" s="1113">
        <f>IF(H60=0,0,H13*'1Kauppa AT lainat ja avustukset'!$G66/12)</f>
        <v>0</v>
      </c>
      <c r="I59" s="46"/>
      <c r="J59" s="678"/>
      <c r="K59" s="783"/>
      <c r="L59" s="783"/>
      <c r="M59" s="783"/>
      <c r="N59" s="783"/>
      <c r="O59" s="783"/>
      <c r="P59" s="783"/>
      <c r="Q59" s="783"/>
      <c r="R59" s="783"/>
      <c r="S59" s="783"/>
      <c r="T59" s="1387"/>
    </row>
    <row r="60" spans="1:20" ht="12.75" customHeight="1" thickBot="1">
      <c r="B60" s="581"/>
      <c r="C60" s="310"/>
      <c r="D60" s="296" t="s">
        <v>453</v>
      </c>
      <c r="E60" s="296"/>
      <c r="F60" s="1112">
        <f>'Rahoitus K3'!K21</f>
        <v>0</v>
      </c>
      <c r="G60" s="1112">
        <f>IF('Rahoitus K3'!I21&gt;1,F60,0)</f>
        <v>0</v>
      </c>
      <c r="H60" s="1112">
        <f>IF('Rahoitus K3'!I21&gt;2,G60,0)</f>
        <v>0</v>
      </c>
      <c r="I60" s="46"/>
      <c r="J60" s="678"/>
      <c r="K60" s="783"/>
      <c r="L60" s="783"/>
      <c r="M60" s="783"/>
      <c r="N60" s="783"/>
      <c r="O60" s="783"/>
      <c r="P60" s="783"/>
      <c r="Q60" s="783"/>
      <c r="R60" s="783"/>
      <c r="S60" s="783"/>
      <c r="T60" s="1387"/>
    </row>
    <row r="61" spans="1:20" ht="12.75" customHeight="1" thickBot="1">
      <c r="B61" s="580" t="s">
        <v>185</v>
      </c>
      <c r="C61" s="149" t="s">
        <v>606</v>
      </c>
      <c r="D61" s="1659" t="s">
        <v>825</v>
      </c>
      <c r="E61" s="1659"/>
      <c r="F61" s="1113">
        <f t="shared" ref="F61:H61" si="14">F62*F63*F64+F65+F66+F67+F68</f>
        <v>0</v>
      </c>
      <c r="G61" s="1113">
        <f t="shared" si="14"/>
        <v>0</v>
      </c>
      <c r="H61" s="1113">
        <f t="shared" si="14"/>
        <v>0</v>
      </c>
      <c r="I61" s="46"/>
      <c r="J61" s="786">
        <f>G$12</f>
        <v>2026</v>
      </c>
      <c r="K61" s="786">
        <f>H$12</f>
        <v>2027</v>
      </c>
      <c r="L61" s="783"/>
      <c r="M61" s="783"/>
      <c r="N61" s="783"/>
      <c r="O61" s="783"/>
      <c r="P61" s="783"/>
      <c r="Q61" s="783"/>
      <c r="R61" s="783"/>
      <c r="S61" s="783"/>
      <c r="T61" s="1387"/>
    </row>
    <row r="62" spans="1:20" ht="12.75" customHeight="1">
      <c r="B62" s="581"/>
      <c r="C62" s="149"/>
      <c r="D62" s="303" t="s">
        <v>396</v>
      </c>
      <c r="E62" s="1110"/>
      <c r="F62" s="1120">
        <v>0</v>
      </c>
      <c r="G62" s="1120">
        <f>F62*12/F$13+J62*F62*12/F$13</f>
        <v>0</v>
      </c>
      <c r="H62" s="1120">
        <f t="shared" ref="G62:H68" si="15">G62 +G62*K62</f>
        <v>0</v>
      </c>
      <c r="I62" s="46"/>
      <c r="J62" s="785">
        <v>0.03</v>
      </c>
      <c r="K62" s="785">
        <f>J62</f>
        <v>0.03</v>
      </c>
      <c r="L62" s="783"/>
      <c r="M62" s="783"/>
      <c r="N62" s="783"/>
      <c r="O62" s="783"/>
      <c r="P62" s="783"/>
      <c r="Q62" s="783" t="s">
        <v>462</v>
      </c>
      <c r="R62" s="783"/>
      <c r="S62" s="783"/>
      <c r="T62" s="1387"/>
    </row>
    <row r="63" spans="1:20" ht="12.75" customHeight="1">
      <c r="B63" s="581"/>
      <c r="C63" s="149"/>
      <c r="D63" s="303" t="s">
        <v>759</v>
      </c>
      <c r="E63" s="1110"/>
      <c r="F63" s="1123">
        <v>0</v>
      </c>
      <c r="G63" s="1123">
        <f>F63</f>
        <v>0</v>
      </c>
      <c r="H63" s="1123">
        <f>G63</f>
        <v>0</v>
      </c>
      <c r="I63" s="46"/>
      <c r="J63" s="786">
        <f>G$12</f>
        <v>2026</v>
      </c>
      <c r="K63" s="786">
        <f>H$12</f>
        <v>2027</v>
      </c>
      <c r="L63" s="783"/>
      <c r="M63" s="783"/>
      <c r="N63" s="783"/>
      <c r="O63" s="783"/>
      <c r="P63" s="783"/>
      <c r="Q63" s="783"/>
      <c r="R63" s="783"/>
      <c r="S63" s="783"/>
      <c r="T63" s="1387"/>
    </row>
    <row r="64" spans="1:20" ht="12.75" customHeight="1">
      <c r="B64" s="581"/>
      <c r="C64" s="149"/>
      <c r="D64" s="303" t="s">
        <v>760</v>
      </c>
      <c r="E64" s="1110"/>
      <c r="F64" s="1123">
        <v>0</v>
      </c>
      <c r="G64" s="1130">
        <f t="shared" si="15"/>
        <v>0</v>
      </c>
      <c r="H64" s="1130">
        <f t="shared" si="15"/>
        <v>0</v>
      </c>
      <c r="I64" s="46"/>
      <c r="J64" s="785">
        <v>0.03</v>
      </c>
      <c r="K64" s="785">
        <f t="shared" ref="K64:K82" si="16">J64</f>
        <v>0.03</v>
      </c>
      <c r="L64" s="783"/>
      <c r="M64" s="783"/>
      <c r="N64" s="783"/>
      <c r="O64" s="783"/>
      <c r="P64" s="783"/>
      <c r="Q64" s="783"/>
      <c r="R64" s="783"/>
      <c r="S64" s="783"/>
      <c r="T64" s="1387"/>
    </row>
    <row r="65" spans="2:23" ht="12.75" customHeight="1">
      <c r="B65" s="581"/>
      <c r="C65" s="149"/>
      <c r="D65" s="303" t="s">
        <v>273</v>
      </c>
      <c r="E65" s="1110"/>
      <c r="F65" s="1121">
        <v>0</v>
      </c>
      <c r="G65" s="1101">
        <f t="shared" ref="G65:G73" si="17">F65*12/F$13+J65*F65*12/F$13</f>
        <v>0</v>
      </c>
      <c r="H65" s="1101">
        <f t="shared" si="15"/>
        <v>0</v>
      </c>
      <c r="I65" s="46"/>
      <c r="J65" s="785">
        <v>0.03</v>
      </c>
      <c r="K65" s="785">
        <f t="shared" si="16"/>
        <v>0.03</v>
      </c>
      <c r="L65" s="783"/>
      <c r="M65" s="783"/>
      <c r="N65" s="783"/>
      <c r="O65" s="783"/>
      <c r="P65" s="783"/>
      <c r="Q65" s="783"/>
      <c r="R65" s="783"/>
      <c r="S65" s="783"/>
      <c r="T65" s="1387"/>
    </row>
    <row r="66" spans="2:23" ht="12.75" customHeight="1">
      <c r="B66" s="581"/>
      <c r="C66" s="149"/>
      <c r="D66" s="303" t="s">
        <v>274</v>
      </c>
      <c r="E66" s="1110"/>
      <c r="F66" s="1121">
        <v>0</v>
      </c>
      <c r="G66" s="1101">
        <f t="shared" si="17"/>
        <v>0</v>
      </c>
      <c r="H66" s="1128">
        <f t="shared" si="15"/>
        <v>0</v>
      </c>
      <c r="I66" s="46"/>
      <c r="J66" s="785">
        <v>0.03</v>
      </c>
      <c r="K66" s="785">
        <f t="shared" si="16"/>
        <v>0.03</v>
      </c>
      <c r="L66" s="783"/>
      <c r="M66" s="783"/>
      <c r="N66" s="783"/>
      <c r="O66" s="783"/>
      <c r="P66" s="783"/>
      <c r="Q66" s="783"/>
      <c r="R66" s="783"/>
      <c r="S66" s="783"/>
      <c r="T66" s="1387"/>
    </row>
    <row r="67" spans="2:23" ht="12.75" customHeight="1">
      <c r="B67" s="581"/>
      <c r="C67" s="149"/>
      <c r="D67" s="303" t="s">
        <v>794</v>
      </c>
      <c r="E67" s="1110"/>
      <c r="F67" s="1124">
        <v>0</v>
      </c>
      <c r="G67" s="1101">
        <f t="shared" si="17"/>
        <v>0</v>
      </c>
      <c r="H67" s="1101">
        <f>G67 +G67*K67</f>
        <v>0</v>
      </c>
      <c r="I67" s="46"/>
      <c r="J67" s="785">
        <v>0.03</v>
      </c>
      <c r="K67" s="785">
        <f t="shared" ref="K67" si="18">J67</f>
        <v>0.03</v>
      </c>
      <c r="L67" s="783"/>
      <c r="M67" s="783"/>
      <c r="N67" s="783"/>
      <c r="O67" s="783"/>
      <c r="P67" s="783"/>
      <c r="Q67" s="783"/>
      <c r="R67" s="783"/>
      <c r="S67" s="783"/>
      <c r="T67" s="1387"/>
    </row>
    <row r="68" spans="2:23" ht="12.75" customHeight="1" thickBot="1">
      <c r="B68" s="581"/>
      <c r="C68" s="310"/>
      <c r="D68" s="296" t="s">
        <v>275</v>
      </c>
      <c r="E68" s="589"/>
      <c r="F68" s="1118">
        <v>0</v>
      </c>
      <c r="G68" s="1118">
        <f t="shared" si="17"/>
        <v>0</v>
      </c>
      <c r="H68" s="1118">
        <f t="shared" si="15"/>
        <v>0</v>
      </c>
      <c r="I68" s="46"/>
      <c r="J68" s="785">
        <v>0.03</v>
      </c>
      <c r="K68" s="785">
        <f t="shared" si="16"/>
        <v>0.03</v>
      </c>
      <c r="L68" s="783"/>
      <c r="M68" s="783"/>
      <c r="N68" s="783"/>
      <c r="O68" s="783"/>
      <c r="P68" s="783"/>
      <c r="Q68" s="783"/>
      <c r="R68" s="783"/>
      <c r="S68" s="783"/>
      <c r="T68" s="1387"/>
    </row>
    <row r="69" spans="2:23" ht="12.75" customHeight="1" thickBot="1">
      <c r="B69" s="580" t="s">
        <v>186</v>
      </c>
      <c r="C69" s="149" t="s">
        <v>607</v>
      </c>
      <c r="D69" s="1659" t="s">
        <v>826</v>
      </c>
      <c r="E69" s="1659"/>
      <c r="F69" s="1113">
        <f>SUM(F70:F73)</f>
        <v>0</v>
      </c>
      <c r="G69" s="1113">
        <f t="shared" ref="G69:H69" si="19">SUM(G70:G73)</f>
        <v>0</v>
      </c>
      <c r="H69" s="1113">
        <f t="shared" si="19"/>
        <v>0</v>
      </c>
      <c r="I69" s="46"/>
      <c r="J69" s="786">
        <f>G$12</f>
        <v>2026</v>
      </c>
      <c r="K69" s="786">
        <f>H$12</f>
        <v>2027</v>
      </c>
      <c r="L69" s="678"/>
      <c r="M69" s="783"/>
      <c r="N69" s="783"/>
      <c r="O69" s="783"/>
      <c r="P69" s="783"/>
      <c r="Q69" s="783"/>
      <c r="R69" s="783"/>
      <c r="S69" s="783"/>
      <c r="T69" s="1387"/>
    </row>
    <row r="70" spans="2:23" ht="12.75" customHeight="1">
      <c r="B70" s="581"/>
      <c r="C70" s="149"/>
      <c r="D70" s="303" t="s">
        <v>795</v>
      </c>
      <c r="E70" s="1108"/>
      <c r="F70" s="1121">
        <v>0</v>
      </c>
      <c r="G70" s="1121">
        <f t="shared" si="17"/>
        <v>0</v>
      </c>
      <c r="H70" s="1121">
        <f t="shared" ref="H70:H73" si="20">G70 +G70*K70</f>
        <v>0</v>
      </c>
      <c r="I70" s="46"/>
      <c r="J70" s="785">
        <v>0.03</v>
      </c>
      <c r="K70" s="785">
        <f t="shared" si="16"/>
        <v>0.03</v>
      </c>
      <c r="L70" s="678"/>
      <c r="M70" s="783"/>
      <c r="N70" s="783"/>
      <c r="O70" s="783"/>
      <c r="P70" s="783"/>
      <c r="Q70" s="783"/>
      <c r="R70" s="783"/>
      <c r="S70" s="783"/>
      <c r="T70" s="1387"/>
    </row>
    <row r="71" spans="2:23" ht="12.75" customHeight="1">
      <c r="B71" s="581"/>
      <c r="C71" s="149"/>
      <c r="D71" s="303" t="s">
        <v>255</v>
      </c>
      <c r="E71" s="1108"/>
      <c r="F71" s="1101">
        <v>0</v>
      </c>
      <c r="G71" s="1101">
        <f t="shared" si="17"/>
        <v>0</v>
      </c>
      <c r="H71" s="1101">
        <f t="shared" si="20"/>
        <v>0</v>
      </c>
      <c r="I71" s="46"/>
      <c r="J71" s="785">
        <v>0.03</v>
      </c>
      <c r="K71" s="785">
        <f t="shared" si="16"/>
        <v>0.03</v>
      </c>
      <c r="L71" s="783"/>
      <c r="M71" s="783"/>
      <c r="N71" s="783"/>
      <c r="O71" s="783"/>
      <c r="P71" s="783"/>
      <c r="Q71" s="783"/>
      <c r="R71" s="783"/>
      <c r="S71" s="783"/>
      <c r="T71" s="1387"/>
    </row>
    <row r="72" spans="2:23" ht="12.75" customHeight="1">
      <c r="B72" s="581"/>
      <c r="C72" s="149"/>
      <c r="D72" s="303" t="s">
        <v>505</v>
      </c>
      <c r="E72" s="1108"/>
      <c r="F72" s="1101">
        <v>0</v>
      </c>
      <c r="G72" s="1101">
        <f t="shared" si="17"/>
        <v>0</v>
      </c>
      <c r="H72" s="1101">
        <f t="shared" si="20"/>
        <v>0</v>
      </c>
      <c r="I72" s="46"/>
      <c r="J72" s="785">
        <v>0.03</v>
      </c>
      <c r="K72" s="785">
        <f t="shared" si="16"/>
        <v>0.03</v>
      </c>
      <c r="L72" s="783"/>
      <c r="M72" s="783"/>
      <c r="N72" s="783"/>
      <c r="O72" s="783"/>
      <c r="P72" s="783"/>
      <c r="Q72" s="783"/>
      <c r="R72" s="783"/>
      <c r="S72" s="783"/>
      <c r="T72" s="1387"/>
    </row>
    <row r="73" spans="2:23" ht="12.75" customHeight="1" thickBot="1">
      <c r="B73" s="581"/>
      <c r="C73" s="310"/>
      <c r="D73" s="296" t="s">
        <v>506</v>
      </c>
      <c r="E73" s="296"/>
      <c r="F73" s="1118">
        <v>0</v>
      </c>
      <c r="G73" s="1101">
        <f t="shared" si="17"/>
        <v>0</v>
      </c>
      <c r="H73" s="1101">
        <f t="shared" si="20"/>
        <v>0</v>
      </c>
      <c r="I73" s="46"/>
      <c r="J73" s="785">
        <v>0.03</v>
      </c>
      <c r="K73" s="785">
        <f t="shared" si="16"/>
        <v>0.03</v>
      </c>
      <c r="L73" s="783"/>
      <c r="M73" s="783"/>
      <c r="N73" s="783"/>
      <c r="O73" s="783"/>
      <c r="P73" s="783"/>
      <c r="Q73" s="783"/>
      <c r="R73" s="783"/>
      <c r="S73" s="783"/>
      <c r="T73" s="1387"/>
    </row>
    <row r="74" spans="2:23" ht="12.75" customHeight="1" thickBot="1">
      <c r="B74" s="1068" t="s">
        <v>187</v>
      </c>
      <c r="C74" s="149" t="s">
        <v>608</v>
      </c>
      <c r="D74" s="306" t="s">
        <v>827</v>
      </c>
      <c r="E74" s="306"/>
      <c r="F74" s="1113">
        <f>SUM(F75:F78)</f>
        <v>0</v>
      </c>
      <c r="G74" s="1113">
        <f t="shared" ref="G74:H74" si="21">SUM(G75:G78)</f>
        <v>0</v>
      </c>
      <c r="H74" s="1113">
        <f t="shared" si="21"/>
        <v>0</v>
      </c>
      <c r="I74" s="46"/>
      <c r="J74" s="786">
        <f>G$12</f>
        <v>2026</v>
      </c>
      <c r="K74" s="786">
        <f>H$12</f>
        <v>2027</v>
      </c>
      <c r="L74" s="783"/>
      <c r="M74" s="783"/>
      <c r="N74" s="783"/>
      <c r="O74" s="783"/>
      <c r="P74" s="783"/>
      <c r="Q74" s="783"/>
      <c r="R74" s="783"/>
      <c r="S74" s="783"/>
      <c r="T74" s="1387"/>
    </row>
    <row r="75" spans="2:23" ht="12.75" customHeight="1">
      <c r="B75" s="309"/>
      <c r="C75" s="149"/>
      <c r="D75" s="303" t="s">
        <v>705</v>
      </c>
      <c r="E75" s="1108"/>
      <c r="F75" s="1121">
        <v>0</v>
      </c>
      <c r="G75" s="1120">
        <f t="shared" ref="G75:G78" si="22">F75*12/F$13+J75*F75*12/F$13</f>
        <v>0</v>
      </c>
      <c r="H75" s="1120">
        <f t="shared" ref="H75:H78" si="23">G75 +G75*K75</f>
        <v>0</v>
      </c>
      <c r="I75" s="46"/>
      <c r="J75" s="785">
        <v>0.03</v>
      </c>
      <c r="K75" s="785">
        <f t="shared" si="16"/>
        <v>0.03</v>
      </c>
      <c r="L75" s="783"/>
      <c r="M75" s="783"/>
      <c r="N75" s="783"/>
      <c r="O75" s="783"/>
      <c r="P75" s="783"/>
      <c r="Q75" s="783"/>
      <c r="R75" s="783"/>
      <c r="S75" s="783"/>
      <c r="T75" s="1387"/>
    </row>
    <row r="76" spans="2:23" ht="12.75" customHeight="1">
      <c r="B76" s="309"/>
      <c r="C76" s="149"/>
      <c r="D76" s="303" t="s">
        <v>796</v>
      </c>
      <c r="E76" s="1108"/>
      <c r="F76" s="1101">
        <v>0</v>
      </c>
      <c r="G76" s="1101">
        <f t="shared" si="22"/>
        <v>0</v>
      </c>
      <c r="H76" s="1101">
        <f>G76 +G76*K76</f>
        <v>0</v>
      </c>
      <c r="I76" s="46"/>
      <c r="J76" s="785">
        <v>0.03</v>
      </c>
      <c r="K76" s="785">
        <f t="shared" si="16"/>
        <v>0.03</v>
      </c>
      <c r="L76" s="783"/>
      <c r="M76" s="783"/>
      <c r="N76" s="783"/>
      <c r="O76" s="783"/>
      <c r="P76" s="783"/>
      <c r="Q76" s="783"/>
      <c r="R76" s="783"/>
      <c r="S76" s="783"/>
      <c r="T76" s="1387"/>
    </row>
    <row r="77" spans="2:23" ht="12.75" customHeight="1">
      <c r="B77" s="309"/>
      <c r="C77" s="149"/>
      <c r="D77" s="303" t="s">
        <v>605</v>
      </c>
      <c r="E77" s="1108"/>
      <c r="F77" s="1101">
        <v>0</v>
      </c>
      <c r="G77" s="1101">
        <f t="shared" si="22"/>
        <v>0</v>
      </c>
      <c r="H77" s="1101">
        <f t="shared" si="23"/>
        <v>0</v>
      </c>
      <c r="I77" s="46"/>
      <c r="J77" s="785">
        <v>0.03</v>
      </c>
      <c r="K77" s="785">
        <f t="shared" si="16"/>
        <v>0.03</v>
      </c>
      <c r="L77" s="783"/>
      <c r="M77" s="783"/>
      <c r="N77" s="783"/>
      <c r="O77" s="783"/>
      <c r="P77" s="783"/>
      <c r="Q77" s="783"/>
      <c r="R77" s="783"/>
      <c r="S77" s="783"/>
      <c r="T77" s="1387"/>
    </row>
    <row r="78" spans="2:23" ht="12.75" customHeight="1" thickBot="1">
      <c r="B78" s="309"/>
      <c r="C78" s="310"/>
      <c r="D78" s="296" t="s">
        <v>258</v>
      </c>
      <c r="E78" s="296"/>
      <c r="F78" s="1118">
        <v>0</v>
      </c>
      <c r="G78" s="1118">
        <f t="shared" si="22"/>
        <v>0</v>
      </c>
      <c r="H78" s="1118">
        <f t="shared" si="23"/>
        <v>0</v>
      </c>
      <c r="I78" s="46"/>
      <c r="J78" s="785">
        <v>0.03</v>
      </c>
      <c r="K78" s="785">
        <f t="shared" si="16"/>
        <v>0.03</v>
      </c>
      <c r="L78" s="783"/>
      <c r="M78" s="783"/>
      <c r="N78" s="783"/>
      <c r="O78" s="783"/>
      <c r="P78" s="783"/>
      <c r="Q78" s="783"/>
      <c r="R78" s="783"/>
      <c r="S78" s="783"/>
      <c r="T78" s="1387"/>
    </row>
    <row r="79" spans="2:23" ht="12.75" customHeight="1" thickBot="1">
      <c r="B79" s="309"/>
      <c r="C79" s="149" t="s">
        <v>609</v>
      </c>
      <c r="D79" s="1659" t="s">
        <v>828</v>
      </c>
      <c r="E79" s="1659"/>
      <c r="F79" s="1113">
        <f>F82+F80+F81</f>
        <v>0</v>
      </c>
      <c r="G79" s="1113">
        <f>G82+G80+G81</f>
        <v>0</v>
      </c>
      <c r="H79" s="1113">
        <f>H82+H80+H81</f>
        <v>0</v>
      </c>
      <c r="I79" s="6"/>
      <c r="J79" s="786">
        <f>G$12</f>
        <v>2026</v>
      </c>
      <c r="K79" s="786">
        <f>H$12</f>
        <v>2027</v>
      </c>
      <c r="L79" s="783"/>
      <c r="M79" s="783"/>
      <c r="N79" s="783"/>
      <c r="O79" s="783"/>
      <c r="P79" s="783"/>
      <c r="Q79" s="783"/>
      <c r="R79" s="783"/>
      <c r="S79" s="783"/>
      <c r="T79" s="1387"/>
      <c r="W79">
        <v>0</v>
      </c>
    </row>
    <row r="80" spans="2:23" ht="12.75" customHeight="1">
      <c r="B80" s="309"/>
      <c r="C80" s="149"/>
      <c r="D80" s="303" t="s">
        <v>259</v>
      </c>
      <c r="E80" s="1108"/>
      <c r="F80" s="1121">
        <v>0</v>
      </c>
      <c r="G80" s="1121">
        <f t="shared" ref="G80:G82" si="24">F80*12/F$13+J80*F80*12/F$13</f>
        <v>0</v>
      </c>
      <c r="H80" s="1121">
        <f t="shared" ref="H80:H82" si="25">G80 +G80*K80</f>
        <v>0</v>
      </c>
      <c r="I80" s="18"/>
      <c r="J80" s="785">
        <v>0.03</v>
      </c>
      <c r="K80" s="785">
        <f t="shared" si="16"/>
        <v>0.03</v>
      </c>
      <c r="L80" s="783"/>
      <c r="M80" s="783"/>
      <c r="N80" s="783"/>
      <c r="O80" s="783"/>
      <c r="P80" s="783"/>
      <c r="Q80" s="783"/>
      <c r="R80" s="783"/>
      <c r="S80" s="783"/>
      <c r="T80" s="1387"/>
    </row>
    <row r="81" spans="1:20" ht="12.75" customHeight="1">
      <c r="B81" s="309"/>
      <c r="C81" s="149"/>
      <c r="D81" s="303" t="s">
        <v>260</v>
      </c>
      <c r="E81" s="1108"/>
      <c r="F81" s="1101">
        <v>0</v>
      </c>
      <c r="G81" s="1101">
        <f t="shared" si="24"/>
        <v>0</v>
      </c>
      <c r="H81" s="1101">
        <f t="shared" si="25"/>
        <v>0</v>
      </c>
      <c r="I81" s="18"/>
      <c r="J81" s="785">
        <v>0.03</v>
      </c>
      <c r="K81" s="785">
        <f t="shared" si="16"/>
        <v>0.03</v>
      </c>
      <c r="L81" s="783"/>
      <c r="M81" s="783"/>
      <c r="N81" s="783"/>
      <c r="O81" s="783"/>
      <c r="P81" s="783"/>
      <c r="Q81" s="783"/>
      <c r="R81" s="783"/>
      <c r="S81" s="783"/>
      <c r="T81" s="1387"/>
    </row>
    <row r="82" spans="1:20" ht="12.75" customHeight="1" thickBot="1">
      <c r="B82" s="309" t="s">
        <v>0</v>
      </c>
      <c r="C82" s="310"/>
      <c r="D82" s="296" t="s">
        <v>3</v>
      </c>
      <c r="E82" s="296"/>
      <c r="F82" s="1118">
        <v>0</v>
      </c>
      <c r="G82" s="1118">
        <f t="shared" si="24"/>
        <v>0</v>
      </c>
      <c r="H82" s="1118">
        <f t="shared" si="25"/>
        <v>0</v>
      </c>
      <c r="I82" s="46"/>
      <c r="J82" s="785">
        <v>0.03</v>
      </c>
      <c r="K82" s="785">
        <f t="shared" si="16"/>
        <v>0.03</v>
      </c>
      <c r="L82" s="783"/>
      <c r="M82" s="783"/>
      <c r="N82" s="783"/>
      <c r="O82" s="783"/>
      <c r="P82" s="783"/>
      <c r="Q82" s="783"/>
      <c r="R82" s="783"/>
      <c r="S82" s="783"/>
      <c r="T82" s="1387"/>
    </row>
    <row r="83" spans="1:20" ht="12.75" customHeight="1" thickBot="1">
      <c r="B83" s="1068" t="s">
        <v>189</v>
      </c>
      <c r="C83" s="149" t="s">
        <v>610</v>
      </c>
      <c r="D83" s="306" t="s">
        <v>829</v>
      </c>
      <c r="E83" s="302"/>
      <c r="F83" s="1113">
        <f>F84*F85+F87*F86</f>
        <v>0</v>
      </c>
      <c r="G83" s="1113">
        <f>G84*G85+G87*G86</f>
        <v>0</v>
      </c>
      <c r="H83" s="1113">
        <f>H84*H85+H87*H86</f>
        <v>0</v>
      </c>
      <c r="I83" s="46"/>
      <c r="J83" s="678"/>
      <c r="K83" s="783"/>
      <c r="L83" s="783"/>
      <c r="M83" s="783"/>
      <c r="N83" s="783"/>
      <c r="O83" s="783"/>
      <c r="P83" s="783"/>
      <c r="Q83" s="783"/>
      <c r="R83" s="783"/>
      <c r="S83" s="783"/>
      <c r="T83" s="1387"/>
    </row>
    <row r="84" spans="1:20" ht="12.75" customHeight="1">
      <c r="B84" s="309" t="s">
        <v>0</v>
      </c>
      <c r="C84" s="149"/>
      <c r="D84" s="303" t="s">
        <v>395</v>
      </c>
      <c r="E84" s="1108"/>
      <c r="F84" s="1121">
        <v>0</v>
      </c>
      <c r="G84" s="1121">
        <f>F84*12/F$13</f>
        <v>0</v>
      </c>
      <c r="H84" s="1121">
        <f t="shared" ref="G84:H87" si="26">G84</f>
        <v>0</v>
      </c>
      <c r="I84" s="46"/>
      <c r="J84" s="678"/>
      <c r="K84" s="783">
        <v>0</v>
      </c>
      <c r="L84" s="783"/>
      <c r="M84" s="783"/>
      <c r="N84" s="783"/>
      <c r="O84" s="783"/>
      <c r="P84" s="783"/>
      <c r="Q84" s="783"/>
      <c r="R84" s="783"/>
      <c r="S84" s="783"/>
      <c r="T84" s="1387"/>
    </row>
    <row r="85" spans="1:20" ht="12.75" customHeight="1">
      <c r="B85" s="309" t="s">
        <v>0</v>
      </c>
      <c r="C85" s="149"/>
      <c r="D85" s="303" t="s">
        <v>1</v>
      </c>
      <c r="E85" s="1108"/>
      <c r="F85" s="1125">
        <v>0.56999999999999995</v>
      </c>
      <c r="G85" s="1125">
        <f t="shared" si="26"/>
        <v>0.56999999999999995</v>
      </c>
      <c r="H85" s="1125">
        <f t="shared" si="26"/>
        <v>0.56999999999999995</v>
      </c>
      <c r="I85" s="51"/>
      <c r="J85" s="678" t="s">
        <v>0</v>
      </c>
      <c r="K85" s="783"/>
      <c r="L85" s="783"/>
      <c r="M85" s="783"/>
      <c r="N85" s="783"/>
      <c r="O85" s="783"/>
      <c r="P85" s="783"/>
      <c r="Q85" s="783"/>
      <c r="R85" s="783"/>
      <c r="S85" s="783"/>
      <c r="T85" s="1387"/>
    </row>
    <row r="86" spans="1:20" ht="12.75" customHeight="1">
      <c r="B86" s="309" t="s">
        <v>0</v>
      </c>
      <c r="C86" s="149"/>
      <c r="D86" s="303" t="s">
        <v>394</v>
      </c>
      <c r="E86" s="1108"/>
      <c r="F86" s="1101">
        <v>0</v>
      </c>
      <c r="G86" s="1101">
        <f t="shared" si="26"/>
        <v>0</v>
      </c>
      <c r="H86" s="1101">
        <f t="shared" si="26"/>
        <v>0</v>
      </c>
      <c r="I86" s="46"/>
      <c r="J86" s="678"/>
      <c r="K86" s="783"/>
      <c r="L86" s="783"/>
      <c r="M86" s="783"/>
      <c r="N86" s="783"/>
      <c r="O86" s="783"/>
      <c r="P86" s="783"/>
      <c r="Q86" s="783"/>
      <c r="R86" s="783"/>
      <c r="S86" s="783"/>
      <c r="T86" s="1387"/>
    </row>
    <row r="87" spans="1:20" ht="12.75" customHeight="1" thickBot="1">
      <c r="A87" s="154"/>
      <c r="B87" s="309" t="s">
        <v>0</v>
      </c>
      <c r="C87" s="310"/>
      <c r="D87" s="296" t="s">
        <v>2</v>
      </c>
      <c r="E87" s="296"/>
      <c r="F87" s="1126">
        <v>51</v>
      </c>
      <c r="G87" s="1126">
        <f t="shared" si="26"/>
        <v>51</v>
      </c>
      <c r="H87" s="1126">
        <f t="shared" si="26"/>
        <v>51</v>
      </c>
      <c r="I87" s="46"/>
      <c r="J87" s="786">
        <f>G$12</f>
        <v>2026</v>
      </c>
      <c r="K87" s="786">
        <f>H$12</f>
        <v>2027</v>
      </c>
      <c r="L87" s="783">
        <v>0</v>
      </c>
      <c r="M87" s="783"/>
      <c r="N87" s="783"/>
      <c r="O87" s="783"/>
      <c r="P87" s="783"/>
      <c r="Q87" s="783"/>
      <c r="R87" s="783"/>
      <c r="S87" s="783"/>
      <c r="T87" s="1387"/>
    </row>
    <row r="88" spans="1:20" ht="12.75" customHeight="1" thickBot="1">
      <c r="B88" s="1068" t="s">
        <v>190</v>
      </c>
      <c r="C88" s="575" t="s">
        <v>611</v>
      </c>
      <c r="D88" s="305" t="s">
        <v>830</v>
      </c>
      <c r="E88" s="305"/>
      <c r="F88" s="1127">
        <v>0</v>
      </c>
      <c r="G88" s="1127">
        <f t="shared" ref="G88" si="27">F88*12/F$13+J88*F88*12/F$13</f>
        <v>0</v>
      </c>
      <c r="H88" s="1127">
        <f>G88 +G88*K88</f>
        <v>0</v>
      </c>
      <c r="I88" s="18"/>
      <c r="J88" s="785">
        <v>0.03</v>
      </c>
      <c r="K88" s="785">
        <f>J88</f>
        <v>0.03</v>
      </c>
      <c r="L88" s="783"/>
      <c r="M88" s="783"/>
      <c r="N88" s="783"/>
      <c r="O88" s="783"/>
      <c r="P88" s="783"/>
      <c r="Q88" s="783"/>
      <c r="R88" s="783"/>
      <c r="S88" s="783"/>
      <c r="T88" s="1387"/>
    </row>
    <row r="89" spans="1:20" ht="12.75" customHeight="1" thickBot="1">
      <c r="A89" s="154"/>
      <c r="B89" s="1068" t="s">
        <v>191</v>
      </c>
      <c r="C89" s="149" t="s">
        <v>612</v>
      </c>
      <c r="D89" s="306" t="s">
        <v>831</v>
      </c>
      <c r="E89" s="306"/>
      <c r="F89" s="1113">
        <f>SUM(F90:F94)</f>
        <v>0</v>
      </c>
      <c r="G89" s="1113">
        <f>SUM(G90:G94)</f>
        <v>0</v>
      </c>
      <c r="H89" s="1113">
        <f>SUM(H90:H94)</f>
        <v>0</v>
      </c>
      <c r="I89" s="18"/>
      <c r="J89" s="786">
        <f>G$12</f>
        <v>2026</v>
      </c>
      <c r="K89" s="786">
        <f>H$12</f>
        <v>2027</v>
      </c>
      <c r="L89" s="783"/>
      <c r="M89" s="783"/>
      <c r="N89" s="783"/>
      <c r="O89" s="783"/>
      <c r="P89" s="783"/>
      <c r="Q89" s="783"/>
      <c r="R89" s="783"/>
      <c r="S89" s="783"/>
      <c r="T89" s="1387"/>
    </row>
    <row r="90" spans="1:20" ht="12.75" customHeight="1">
      <c r="B90" s="309"/>
      <c r="C90" s="149"/>
      <c r="D90" s="303" t="s">
        <v>299</v>
      </c>
      <c r="E90" s="1103"/>
      <c r="F90" s="1121">
        <v>0</v>
      </c>
      <c r="G90" s="1121">
        <f t="shared" ref="G90:G116" si="28">F90*12/F$13+J90*F90*12/F$13</f>
        <v>0</v>
      </c>
      <c r="H90" s="1121">
        <f t="shared" ref="H90:H94" si="29">G90 +G90*K90</f>
        <v>0</v>
      </c>
      <c r="I90" s="18"/>
      <c r="J90" s="785">
        <v>0.03</v>
      </c>
      <c r="K90" s="785">
        <f t="shared" ref="K90:K116" si="30">J90</f>
        <v>0.03</v>
      </c>
      <c r="L90" s="783"/>
      <c r="M90" s="783"/>
      <c r="N90" s="783"/>
      <c r="O90" s="783"/>
      <c r="P90" s="783"/>
      <c r="Q90" s="783"/>
      <c r="R90" s="783"/>
      <c r="S90" s="783"/>
      <c r="T90" s="1387"/>
    </row>
    <row r="91" spans="1:20" ht="12.75" customHeight="1">
      <c r="A91" s="154"/>
      <c r="B91" s="309"/>
      <c r="C91" s="149"/>
      <c r="D91" s="303" t="s">
        <v>261</v>
      </c>
      <c r="E91" s="1103"/>
      <c r="F91" s="1101">
        <v>0</v>
      </c>
      <c r="G91" s="1101">
        <f t="shared" si="28"/>
        <v>0</v>
      </c>
      <c r="H91" s="1101">
        <f t="shared" si="29"/>
        <v>0</v>
      </c>
      <c r="I91" s="18"/>
      <c r="J91" s="785">
        <v>0.03</v>
      </c>
      <c r="K91" s="785">
        <f t="shared" si="30"/>
        <v>0.03</v>
      </c>
      <c r="L91" s="783"/>
      <c r="M91" s="783"/>
      <c r="N91" s="783"/>
      <c r="O91" s="783"/>
      <c r="P91" s="783"/>
      <c r="Q91" s="783"/>
      <c r="R91" s="783"/>
      <c r="S91" s="783"/>
      <c r="T91" s="1387"/>
    </row>
    <row r="92" spans="1:20" ht="12.75" customHeight="1">
      <c r="B92" s="309"/>
      <c r="C92" s="149"/>
      <c r="D92" s="303" t="s">
        <v>262</v>
      </c>
      <c r="E92" s="1103"/>
      <c r="F92" s="1101">
        <v>0</v>
      </c>
      <c r="G92" s="1101">
        <f t="shared" si="28"/>
        <v>0</v>
      </c>
      <c r="H92" s="1101">
        <f t="shared" si="29"/>
        <v>0</v>
      </c>
      <c r="I92" s="18"/>
      <c r="J92" s="785">
        <v>0.03</v>
      </c>
      <c r="K92" s="785">
        <f t="shared" si="30"/>
        <v>0.03</v>
      </c>
      <c r="L92" s="783"/>
      <c r="M92" s="783"/>
      <c r="N92" s="783"/>
      <c r="O92" s="783"/>
      <c r="P92" s="783"/>
      <c r="Q92" s="783"/>
      <c r="R92" s="783"/>
      <c r="S92" s="783"/>
      <c r="T92" s="1387"/>
    </row>
    <row r="93" spans="1:20" ht="12.75" customHeight="1">
      <c r="A93" s="154"/>
      <c r="B93" s="309"/>
      <c r="C93" s="149"/>
      <c r="D93" s="303" t="s">
        <v>872</v>
      </c>
      <c r="E93" s="1103"/>
      <c r="F93" s="1101">
        <v>0</v>
      </c>
      <c r="G93" s="1101">
        <f t="shared" si="28"/>
        <v>0</v>
      </c>
      <c r="H93" s="1101">
        <f t="shared" si="29"/>
        <v>0</v>
      </c>
      <c r="I93" s="18"/>
      <c r="J93" s="785">
        <v>0.03</v>
      </c>
      <c r="K93" s="785">
        <f t="shared" si="30"/>
        <v>0.03</v>
      </c>
      <c r="L93" s="783"/>
      <c r="M93" s="783"/>
      <c r="N93" s="783"/>
      <c r="O93" s="783"/>
      <c r="P93" s="783"/>
      <c r="Q93" s="783"/>
      <c r="R93" s="783"/>
      <c r="S93" s="783"/>
      <c r="T93" s="1387"/>
    </row>
    <row r="94" spans="1:20" ht="12.75" customHeight="1" thickBot="1">
      <c r="A94" s="2"/>
      <c r="B94" s="309"/>
      <c r="C94" s="310">
        <v>0</v>
      </c>
      <c r="D94" s="296" t="s">
        <v>871</v>
      </c>
      <c r="E94" s="296"/>
      <c r="F94" s="1118">
        <v>0</v>
      </c>
      <c r="G94" s="1101">
        <f t="shared" si="28"/>
        <v>0</v>
      </c>
      <c r="H94" s="1101">
        <f t="shared" si="29"/>
        <v>0</v>
      </c>
      <c r="I94" s="6"/>
      <c r="J94" s="785">
        <v>0.03</v>
      </c>
      <c r="K94" s="785">
        <f t="shared" si="30"/>
        <v>0.03</v>
      </c>
      <c r="L94" s="783"/>
      <c r="M94" s="783"/>
      <c r="N94" s="783"/>
      <c r="O94" s="783"/>
      <c r="P94" s="783"/>
      <c r="Q94" s="783"/>
      <c r="R94" s="783"/>
      <c r="S94" s="783"/>
      <c r="T94" s="1387"/>
    </row>
    <row r="95" spans="1:20" ht="12.75" customHeight="1" thickBot="1">
      <c r="A95" s="154"/>
      <c r="B95" s="1068" t="s">
        <v>192</v>
      </c>
      <c r="C95" s="149" t="s">
        <v>613</v>
      </c>
      <c r="D95" s="306" t="s">
        <v>832</v>
      </c>
      <c r="E95" s="302"/>
      <c r="F95" s="1113">
        <f>SUM(F96:F97)</f>
        <v>0</v>
      </c>
      <c r="G95" s="1113">
        <f>SUM(G96:G97)</f>
        <v>0</v>
      </c>
      <c r="H95" s="1113">
        <f>SUM(H96:H97)</f>
        <v>0</v>
      </c>
      <c r="I95" s="6"/>
      <c r="J95" s="786">
        <f>G$12</f>
        <v>2026</v>
      </c>
      <c r="K95" s="786">
        <f>H$12</f>
        <v>2027</v>
      </c>
      <c r="L95" s="783"/>
      <c r="M95" s="783"/>
      <c r="N95" s="783"/>
      <c r="O95" s="783"/>
      <c r="P95" s="783"/>
      <c r="Q95" s="783"/>
      <c r="R95" s="783"/>
      <c r="S95" s="783"/>
      <c r="T95" s="1387"/>
    </row>
    <row r="96" spans="1:20" ht="12.75" customHeight="1">
      <c r="B96" s="309"/>
      <c r="C96" s="149"/>
      <c r="D96" s="586" t="s">
        <v>279</v>
      </c>
      <c r="E96" s="586"/>
      <c r="F96" s="1121">
        <v>0</v>
      </c>
      <c r="G96" s="1121">
        <f t="shared" si="28"/>
        <v>0</v>
      </c>
      <c r="H96" s="1121">
        <f>G96 +G96*K96</f>
        <v>0</v>
      </c>
      <c r="I96" s="6"/>
      <c r="J96" s="785">
        <v>0.03</v>
      </c>
      <c r="K96" s="785">
        <f t="shared" si="30"/>
        <v>0.03</v>
      </c>
      <c r="L96" s="783"/>
      <c r="M96" s="783"/>
      <c r="N96" s="783"/>
      <c r="O96" s="783"/>
      <c r="P96" s="783"/>
      <c r="Q96" s="783"/>
      <c r="R96" s="783"/>
      <c r="S96" s="783"/>
      <c r="T96" s="1387"/>
    </row>
    <row r="97" spans="1:20" ht="12.75" customHeight="1" thickBot="1">
      <c r="A97" s="154"/>
      <c r="B97" s="309"/>
      <c r="C97" s="310"/>
      <c r="D97" s="296" t="s">
        <v>263</v>
      </c>
      <c r="E97" s="296"/>
      <c r="F97" s="1118">
        <v>0</v>
      </c>
      <c r="G97" s="1101">
        <f t="shared" si="28"/>
        <v>0</v>
      </c>
      <c r="H97" s="1101">
        <f>G97 +G97*K97</f>
        <v>0</v>
      </c>
      <c r="I97" s="6"/>
      <c r="J97" s="785">
        <v>0.03</v>
      </c>
      <c r="K97" s="785">
        <f t="shared" si="30"/>
        <v>0.03</v>
      </c>
      <c r="L97" s="783"/>
      <c r="M97" s="783"/>
      <c r="N97" s="783"/>
      <c r="O97" s="783"/>
      <c r="P97" s="783"/>
      <c r="Q97" s="783"/>
      <c r="R97" s="783"/>
      <c r="S97" s="783"/>
      <c r="T97" s="1387"/>
    </row>
    <row r="98" spans="1:20" ht="12.75" customHeight="1" thickBot="1">
      <c r="B98" s="1068" t="s">
        <v>193</v>
      </c>
      <c r="C98" s="149" t="s">
        <v>614</v>
      </c>
      <c r="D98" s="306" t="s">
        <v>833</v>
      </c>
      <c r="E98" s="302"/>
      <c r="F98" s="1113">
        <f>SUM(F99:F101)</f>
        <v>0</v>
      </c>
      <c r="G98" s="1113">
        <f>SUM(G99:G101)</f>
        <v>0</v>
      </c>
      <c r="H98" s="1113">
        <f>SUM(H99:H101)</f>
        <v>0</v>
      </c>
      <c r="I98" s="6"/>
      <c r="J98" s="786">
        <f>G$12</f>
        <v>2026</v>
      </c>
      <c r="K98" s="786">
        <f>H$12</f>
        <v>2027</v>
      </c>
      <c r="L98" s="783"/>
      <c r="M98" s="783"/>
      <c r="N98" s="783"/>
      <c r="O98" s="783"/>
      <c r="P98" s="783"/>
      <c r="Q98" s="783"/>
      <c r="R98" s="783"/>
      <c r="S98" s="783"/>
      <c r="T98" s="1387"/>
    </row>
    <row r="99" spans="1:20" ht="12.75" customHeight="1">
      <c r="A99" s="154"/>
      <c r="B99" s="309"/>
      <c r="C99" s="149"/>
      <c r="D99" s="586" t="s">
        <v>264</v>
      </c>
      <c r="E99" s="586"/>
      <c r="F99" s="1121">
        <v>0</v>
      </c>
      <c r="G99" s="1121">
        <f t="shared" si="28"/>
        <v>0</v>
      </c>
      <c r="H99" s="1121">
        <f t="shared" ref="H99:H101" si="31">G99 +G99*K99</f>
        <v>0</v>
      </c>
      <c r="I99" s="6"/>
      <c r="J99" s="785">
        <v>0.03</v>
      </c>
      <c r="K99" s="785">
        <f t="shared" si="30"/>
        <v>0.03</v>
      </c>
      <c r="L99" s="783"/>
      <c r="M99" s="783"/>
      <c r="N99" s="783"/>
      <c r="O99" s="783"/>
      <c r="P99" s="783"/>
      <c r="Q99" s="783"/>
      <c r="R99" s="783"/>
      <c r="S99" s="783"/>
      <c r="T99" s="1387"/>
    </row>
    <row r="100" spans="1:20" ht="12.75" customHeight="1">
      <c r="A100" s="2"/>
      <c r="B100" s="309"/>
      <c r="C100" s="149"/>
      <c r="D100" s="303" t="s">
        <v>265</v>
      </c>
      <c r="E100" s="1108"/>
      <c r="F100" s="1101">
        <v>0</v>
      </c>
      <c r="G100" s="1101">
        <f t="shared" si="28"/>
        <v>0</v>
      </c>
      <c r="H100" s="1101">
        <f>G100 +G100*K100</f>
        <v>0</v>
      </c>
      <c r="I100" s="6"/>
      <c r="J100" s="785">
        <v>0.03</v>
      </c>
      <c r="K100" s="785">
        <f t="shared" si="30"/>
        <v>0.03</v>
      </c>
      <c r="L100" s="783"/>
      <c r="M100" s="783"/>
      <c r="N100" s="783"/>
      <c r="O100" s="783"/>
      <c r="P100" s="783"/>
      <c r="Q100" s="783"/>
      <c r="R100" s="783"/>
      <c r="S100" s="783"/>
      <c r="T100" s="1387"/>
    </row>
    <row r="101" spans="1:20" ht="12.75" customHeight="1" thickBot="1">
      <c r="B101" s="309"/>
      <c r="C101" s="310"/>
      <c r="D101" s="296" t="s">
        <v>864</v>
      </c>
      <c r="E101" s="296"/>
      <c r="F101" s="1118">
        <v>0</v>
      </c>
      <c r="G101" s="1101">
        <f t="shared" si="28"/>
        <v>0</v>
      </c>
      <c r="H101" s="1101">
        <f t="shared" si="31"/>
        <v>0</v>
      </c>
      <c r="I101" s="6"/>
      <c r="J101" s="785">
        <v>0.03</v>
      </c>
      <c r="K101" s="785">
        <f t="shared" si="30"/>
        <v>0.03</v>
      </c>
      <c r="L101" s="783"/>
      <c r="M101" s="783"/>
      <c r="N101" s="783"/>
      <c r="O101" s="783"/>
      <c r="P101" s="783"/>
      <c r="Q101" s="783"/>
      <c r="R101" s="783"/>
      <c r="S101" s="783"/>
      <c r="T101" s="1387"/>
    </row>
    <row r="102" spans="1:20" ht="12.75" customHeight="1" thickBot="1">
      <c r="B102" s="1068" t="s">
        <v>194</v>
      </c>
      <c r="C102" s="149" t="s">
        <v>615</v>
      </c>
      <c r="D102" s="306" t="s">
        <v>834</v>
      </c>
      <c r="E102" s="306"/>
      <c r="F102" s="1113">
        <f>SUM(F103:F105)</f>
        <v>0</v>
      </c>
      <c r="G102" s="1113">
        <f>SUM(G103:G105)</f>
        <v>0</v>
      </c>
      <c r="H102" s="1113">
        <f>SUM(H103:H105)</f>
        <v>0</v>
      </c>
      <c r="I102" s="6"/>
      <c r="J102" s="786">
        <f>G$12</f>
        <v>2026</v>
      </c>
      <c r="K102" s="786">
        <f>H$12</f>
        <v>2027</v>
      </c>
      <c r="L102" s="783"/>
      <c r="M102" s="783"/>
      <c r="N102" s="783"/>
      <c r="O102" s="783"/>
      <c r="P102" s="783"/>
      <c r="Q102" s="783"/>
      <c r="R102" s="783"/>
      <c r="S102" s="783"/>
      <c r="T102" s="1387"/>
    </row>
    <row r="103" spans="1:20" ht="12.75" customHeight="1">
      <c r="B103" s="309"/>
      <c r="C103" s="149"/>
      <c r="D103" s="303" t="s">
        <v>266</v>
      </c>
      <c r="E103" s="1108"/>
      <c r="F103" s="1121">
        <v>0</v>
      </c>
      <c r="G103" s="1121">
        <f t="shared" si="28"/>
        <v>0</v>
      </c>
      <c r="H103" s="1121">
        <f t="shared" ref="H103:H105" si="32">G103 +G103*K103</f>
        <v>0</v>
      </c>
      <c r="I103" s="6"/>
      <c r="J103" s="785">
        <v>0.03</v>
      </c>
      <c r="K103" s="785">
        <f t="shared" si="30"/>
        <v>0.03</v>
      </c>
      <c r="L103" s="783"/>
      <c r="M103" s="783"/>
      <c r="N103" s="783"/>
      <c r="O103" s="783"/>
      <c r="P103" s="783"/>
      <c r="Q103" s="783"/>
      <c r="R103" s="783"/>
      <c r="S103" s="783"/>
      <c r="T103" s="1387"/>
    </row>
    <row r="104" spans="1:20" ht="12.75" customHeight="1">
      <c r="B104" s="309"/>
      <c r="C104" s="149"/>
      <c r="D104" s="303" t="s">
        <v>501</v>
      </c>
      <c r="E104" s="1108"/>
      <c r="F104" s="1128">
        <v>0</v>
      </c>
      <c r="G104" s="1101">
        <f t="shared" si="28"/>
        <v>0</v>
      </c>
      <c r="H104" s="1101">
        <f t="shared" si="32"/>
        <v>0</v>
      </c>
      <c r="I104" s="6"/>
      <c r="J104" s="785">
        <v>0.03</v>
      </c>
      <c r="K104" s="785">
        <f t="shared" si="30"/>
        <v>0.03</v>
      </c>
      <c r="L104" s="783"/>
      <c r="M104" s="783"/>
      <c r="N104" s="783"/>
      <c r="O104" s="783"/>
      <c r="P104" s="783"/>
      <c r="Q104" s="783"/>
      <c r="R104" s="783"/>
      <c r="S104" s="783"/>
      <c r="T104" s="1387"/>
    </row>
    <row r="105" spans="1:20" ht="12.75" customHeight="1" thickBot="1">
      <c r="B105" s="309"/>
      <c r="C105" s="310"/>
      <c r="D105" s="296" t="s">
        <v>6</v>
      </c>
      <c r="E105" s="296"/>
      <c r="F105" s="1118">
        <v>0</v>
      </c>
      <c r="G105" s="1101">
        <f t="shared" si="28"/>
        <v>0</v>
      </c>
      <c r="H105" s="1101">
        <f t="shared" si="32"/>
        <v>0</v>
      </c>
      <c r="I105" s="6"/>
      <c r="J105" s="785">
        <v>0.03</v>
      </c>
      <c r="K105" s="785">
        <f t="shared" si="30"/>
        <v>0.03</v>
      </c>
      <c r="L105" s="783"/>
      <c r="M105" s="783"/>
      <c r="N105" s="783"/>
      <c r="O105" s="783"/>
      <c r="P105" s="783"/>
      <c r="Q105" s="783"/>
      <c r="R105" s="783"/>
      <c r="S105" s="783"/>
      <c r="T105" s="1387"/>
    </row>
    <row r="106" spans="1:20" ht="12.75" customHeight="1" thickBot="1">
      <c r="B106" s="1068" t="s">
        <v>195</v>
      </c>
      <c r="C106" s="149" t="s">
        <v>616</v>
      </c>
      <c r="D106" s="306" t="s">
        <v>835</v>
      </c>
      <c r="E106" s="306"/>
      <c r="F106" s="1113">
        <f>SUM(F107:F110)</f>
        <v>0</v>
      </c>
      <c r="G106" s="1113">
        <f>SUM(G107:G110)</f>
        <v>0</v>
      </c>
      <c r="H106" s="1113">
        <f>SUM(H107:H110)</f>
        <v>0</v>
      </c>
      <c r="I106" s="6"/>
      <c r="J106" s="786">
        <f>G$12</f>
        <v>2026</v>
      </c>
      <c r="K106" s="786">
        <f>H$12</f>
        <v>2027</v>
      </c>
      <c r="L106" s="783"/>
      <c r="M106" s="783"/>
      <c r="N106" s="783"/>
      <c r="O106" s="783"/>
      <c r="P106" s="783"/>
      <c r="Q106" s="783"/>
      <c r="R106" s="783"/>
      <c r="S106" s="783"/>
      <c r="T106" s="1387"/>
    </row>
    <row r="107" spans="1:20" ht="12.75" customHeight="1">
      <c r="B107" s="309"/>
      <c r="C107" s="149"/>
      <c r="D107" s="303" t="s">
        <v>269</v>
      </c>
      <c r="E107" s="1108"/>
      <c r="F107" s="1121">
        <v>0</v>
      </c>
      <c r="G107" s="1121">
        <f t="shared" si="28"/>
        <v>0</v>
      </c>
      <c r="H107" s="1121">
        <f t="shared" ref="H107:H110" si="33">G107 +G107*K107</f>
        <v>0</v>
      </c>
      <c r="I107" s="6"/>
      <c r="J107" s="785">
        <v>0.03</v>
      </c>
      <c r="K107" s="785">
        <f t="shared" si="30"/>
        <v>0.03</v>
      </c>
      <c r="L107" s="783"/>
      <c r="M107" s="783"/>
      <c r="N107" s="783"/>
      <c r="O107" s="783"/>
      <c r="P107" s="783"/>
      <c r="Q107" s="783"/>
      <c r="R107" s="783"/>
      <c r="S107" s="783"/>
      <c r="T107" s="1387"/>
    </row>
    <row r="108" spans="1:20" ht="12.75" customHeight="1">
      <c r="B108" s="309"/>
      <c r="C108" s="149"/>
      <c r="D108" s="303" t="s">
        <v>270</v>
      </c>
      <c r="E108" s="1108"/>
      <c r="F108" s="1101">
        <v>0</v>
      </c>
      <c r="G108" s="1101">
        <f t="shared" si="28"/>
        <v>0</v>
      </c>
      <c r="H108" s="1101">
        <f t="shared" si="33"/>
        <v>0</v>
      </c>
      <c r="I108" s="6"/>
      <c r="J108" s="785">
        <v>0.03</v>
      </c>
      <c r="K108" s="785">
        <f t="shared" si="30"/>
        <v>0.03</v>
      </c>
      <c r="L108" s="783"/>
      <c r="M108" s="783"/>
      <c r="N108" s="783"/>
      <c r="O108" s="783"/>
      <c r="P108" s="783"/>
      <c r="Q108" s="783"/>
      <c r="R108" s="783"/>
      <c r="S108" s="783"/>
      <c r="T108" s="1387"/>
    </row>
    <row r="109" spans="1:20" ht="12.75" customHeight="1">
      <c r="B109" s="309"/>
      <c r="C109" s="149"/>
      <c r="D109" s="303" t="s">
        <v>271</v>
      </c>
      <c r="E109" s="1108"/>
      <c r="F109" s="1101">
        <v>0</v>
      </c>
      <c r="G109" s="1101">
        <f t="shared" si="28"/>
        <v>0</v>
      </c>
      <c r="H109" s="1101">
        <f t="shared" si="33"/>
        <v>0</v>
      </c>
      <c r="I109" s="6"/>
      <c r="J109" s="785">
        <v>0.03</v>
      </c>
      <c r="K109" s="785">
        <f t="shared" si="30"/>
        <v>0.03</v>
      </c>
      <c r="L109" s="783"/>
      <c r="M109" s="783"/>
      <c r="N109" s="783"/>
      <c r="O109" s="783"/>
      <c r="P109" s="783"/>
      <c r="Q109" s="783"/>
      <c r="R109" s="783"/>
      <c r="S109" s="783"/>
      <c r="T109" s="1387"/>
    </row>
    <row r="110" spans="1:20" ht="12.75" customHeight="1" thickBot="1">
      <c r="B110" s="309"/>
      <c r="C110" s="310"/>
      <c r="D110" s="296" t="s">
        <v>272</v>
      </c>
      <c r="E110" s="590"/>
      <c r="F110" s="1118">
        <v>0</v>
      </c>
      <c r="G110" s="1101">
        <f t="shared" si="28"/>
        <v>0</v>
      </c>
      <c r="H110" s="1101">
        <f t="shared" si="33"/>
        <v>0</v>
      </c>
      <c r="I110" s="4"/>
      <c r="J110" s="785">
        <v>0.03</v>
      </c>
      <c r="K110" s="785">
        <f t="shared" si="30"/>
        <v>0.03</v>
      </c>
      <c r="L110" s="783"/>
      <c r="M110" s="783"/>
      <c r="N110" s="783"/>
      <c r="O110" s="783"/>
      <c r="P110" s="783"/>
      <c r="Q110" s="783"/>
      <c r="R110" s="783"/>
      <c r="S110" s="783"/>
      <c r="T110" s="1387"/>
    </row>
    <row r="111" spans="1:20" ht="12.75" customHeight="1" thickBot="1">
      <c r="B111" s="580" t="s">
        <v>277</v>
      </c>
      <c r="C111" s="149" t="s">
        <v>617</v>
      </c>
      <c r="D111" s="306" t="s">
        <v>836</v>
      </c>
      <c r="E111" s="1085"/>
      <c r="F111" s="1113">
        <f>SUM(F112:F113)</f>
        <v>0</v>
      </c>
      <c r="G111" s="1113">
        <f>SUM(G112:G113)</f>
        <v>0</v>
      </c>
      <c r="H111" s="1113">
        <f>SUM(H112:H113)</f>
        <v>0</v>
      </c>
      <c r="I111" s="4"/>
      <c r="J111" s="786">
        <f>G$12</f>
        <v>2026</v>
      </c>
      <c r="K111" s="786">
        <f>H$12</f>
        <v>2027</v>
      </c>
      <c r="L111" s="783"/>
      <c r="M111" s="783"/>
      <c r="N111" s="783"/>
      <c r="O111" s="783"/>
      <c r="P111" s="783"/>
      <c r="Q111" s="783"/>
      <c r="R111" s="783"/>
      <c r="S111" s="783"/>
      <c r="T111" s="1387"/>
    </row>
    <row r="112" spans="1:20" ht="12.75" customHeight="1">
      <c r="B112" s="309"/>
      <c r="C112" s="149"/>
      <c r="D112" s="586" t="s">
        <v>286</v>
      </c>
      <c r="E112" s="591"/>
      <c r="F112" s="1121">
        <v>0</v>
      </c>
      <c r="G112" s="1121">
        <f t="shared" si="28"/>
        <v>0</v>
      </c>
      <c r="H112" s="1124">
        <f t="shared" ref="H112:H116" si="34">G112 +G112*K112</f>
        <v>0</v>
      </c>
      <c r="I112" s="4"/>
      <c r="J112" s="785">
        <v>0.03</v>
      </c>
      <c r="K112" s="785">
        <f t="shared" si="30"/>
        <v>0.03</v>
      </c>
      <c r="L112" s="783"/>
      <c r="M112" s="783"/>
      <c r="N112" s="783"/>
      <c r="O112" s="783"/>
      <c r="P112" s="783"/>
      <c r="Q112" s="783"/>
      <c r="R112" s="783"/>
      <c r="S112" s="783"/>
      <c r="T112" s="1387"/>
    </row>
    <row r="113" spans="2:20" ht="12.75" customHeight="1" thickBot="1">
      <c r="B113" s="309"/>
      <c r="C113" s="149"/>
      <c r="D113" s="354" t="s">
        <v>287</v>
      </c>
      <c r="E113" s="570"/>
      <c r="F113" s="1128">
        <v>0</v>
      </c>
      <c r="G113" s="1128">
        <f t="shared" si="28"/>
        <v>0</v>
      </c>
      <c r="H113" s="1118">
        <f t="shared" si="34"/>
        <v>0</v>
      </c>
      <c r="I113" s="4"/>
      <c r="J113" s="785">
        <v>0.03</v>
      </c>
      <c r="K113" s="785">
        <f t="shared" si="30"/>
        <v>0.03</v>
      </c>
      <c r="L113" s="783"/>
      <c r="M113" s="783"/>
      <c r="N113" s="783"/>
      <c r="O113" s="783"/>
      <c r="P113" s="783"/>
      <c r="Q113" s="783"/>
      <c r="R113" s="783"/>
      <c r="S113" s="783"/>
      <c r="T113" s="1387"/>
    </row>
    <row r="114" spans="2:20" ht="12.75" customHeight="1">
      <c r="B114" s="1068" t="s">
        <v>390</v>
      </c>
      <c r="C114" s="1142" t="s">
        <v>618</v>
      </c>
      <c r="D114" s="306" t="s">
        <v>837</v>
      </c>
      <c r="E114" s="1085"/>
      <c r="F114" s="1143">
        <v>0</v>
      </c>
      <c r="G114" s="1143">
        <f t="shared" si="28"/>
        <v>0</v>
      </c>
      <c r="H114" s="1144">
        <f t="shared" si="34"/>
        <v>0</v>
      </c>
      <c r="I114" s="4"/>
      <c r="J114" s="785">
        <v>0.03</v>
      </c>
      <c r="K114" s="785">
        <f t="shared" si="30"/>
        <v>0.03</v>
      </c>
      <c r="L114" s="783"/>
      <c r="M114" s="783"/>
      <c r="N114" s="783"/>
      <c r="O114" s="783"/>
      <c r="P114" s="783"/>
      <c r="Q114" s="783"/>
      <c r="R114" s="783"/>
      <c r="S114" s="783"/>
      <c r="T114" s="1387"/>
    </row>
    <row r="115" spans="2:20" ht="12.75" customHeight="1">
      <c r="B115" s="1068" t="s">
        <v>388</v>
      </c>
      <c r="C115" s="149" t="s">
        <v>619</v>
      </c>
      <c r="D115" s="308" t="s">
        <v>838</v>
      </c>
      <c r="E115" s="570"/>
      <c r="F115" s="1141">
        <v>0</v>
      </c>
      <c r="G115" s="1141">
        <f t="shared" si="28"/>
        <v>0</v>
      </c>
      <c r="H115" s="1145">
        <f t="shared" si="34"/>
        <v>0</v>
      </c>
      <c r="I115" s="4"/>
      <c r="J115" s="785">
        <v>0.03</v>
      </c>
      <c r="K115" s="785">
        <f t="shared" si="30"/>
        <v>0.03</v>
      </c>
      <c r="L115" s="783"/>
      <c r="M115" s="783"/>
      <c r="N115" s="783"/>
      <c r="O115" s="783"/>
      <c r="P115" s="783"/>
      <c r="Q115" s="783"/>
      <c r="R115" s="783"/>
      <c r="S115" s="783"/>
      <c r="T115" s="1387"/>
    </row>
    <row r="116" spans="2:20" ht="12.75" customHeight="1">
      <c r="B116" s="1068" t="s">
        <v>389</v>
      </c>
      <c r="C116" s="1146" t="s">
        <v>620</v>
      </c>
      <c r="D116" s="1147" t="s">
        <v>839</v>
      </c>
      <c r="E116" s="1148"/>
      <c r="F116" s="1149">
        <v>0</v>
      </c>
      <c r="G116" s="1149">
        <f t="shared" si="28"/>
        <v>0</v>
      </c>
      <c r="H116" s="1150">
        <f t="shared" si="34"/>
        <v>0</v>
      </c>
      <c r="I116" s="4"/>
      <c r="J116" s="785">
        <v>0.03</v>
      </c>
      <c r="K116" s="785">
        <f t="shared" si="30"/>
        <v>0.03</v>
      </c>
      <c r="L116" s="783"/>
      <c r="M116" s="783"/>
      <c r="N116" s="783"/>
      <c r="O116" s="783"/>
      <c r="P116" s="783"/>
      <c r="Q116" s="783"/>
      <c r="R116" s="783"/>
      <c r="S116" s="783"/>
      <c r="T116" s="1387"/>
    </row>
    <row r="117" spans="2:20" ht="12.75" customHeight="1">
      <c r="B117" s="309"/>
      <c r="C117" s="1146" t="s">
        <v>621</v>
      </c>
      <c r="D117" s="1151" t="s">
        <v>527</v>
      </c>
      <c r="E117" s="1151"/>
      <c r="F117" s="1149">
        <v>0</v>
      </c>
      <c r="G117" s="1149">
        <f t="shared" ref="G117" si="35">F117*12/F$13+J117*F117*12/F$13</f>
        <v>0</v>
      </c>
      <c r="H117" s="1150">
        <f t="shared" ref="H117" si="36">G117 +G117*K117</f>
        <v>0</v>
      </c>
      <c r="I117" s="6"/>
      <c r="J117" s="785">
        <v>0.03</v>
      </c>
      <c r="K117" s="785">
        <f t="shared" ref="K117" si="37">J117</f>
        <v>0.03</v>
      </c>
      <c r="L117" s="783"/>
      <c r="M117" s="783"/>
      <c r="N117" s="783"/>
      <c r="O117" s="783"/>
      <c r="P117" s="783"/>
      <c r="Q117" s="783"/>
      <c r="R117" s="783"/>
      <c r="S117" s="783"/>
      <c r="T117" s="1387"/>
    </row>
    <row r="118" spans="2:20" ht="12.75" customHeight="1" thickBot="1">
      <c r="B118" s="1068" t="s">
        <v>391</v>
      </c>
      <c r="C118" s="310" t="s">
        <v>622</v>
      </c>
      <c r="D118" s="1667" t="s">
        <v>798</v>
      </c>
      <c r="E118" s="1667"/>
      <c r="F118" s="1141">
        <v>0</v>
      </c>
      <c r="G118" s="570"/>
      <c r="H118" s="570"/>
      <c r="I118" s="6"/>
      <c r="J118" s="1392"/>
      <c r="K118" s="1393"/>
      <c r="L118" s="783"/>
      <c r="M118" s="783"/>
      <c r="N118" s="783"/>
      <c r="O118" s="783"/>
      <c r="P118" s="783"/>
      <c r="Q118" s="783"/>
      <c r="R118" s="783"/>
      <c r="S118" s="783"/>
      <c r="T118" s="1387"/>
    </row>
    <row r="119" spans="2:20" ht="12.75" customHeight="1">
      <c r="C119" s="1142" t="s">
        <v>623</v>
      </c>
      <c r="D119" s="306" t="s">
        <v>399</v>
      </c>
      <c r="E119" s="306"/>
      <c r="F119" s="1152">
        <f>-'Rahoitus K3'!F51</f>
        <v>0</v>
      </c>
      <c r="G119" s="1152">
        <f>-'Rahoitus K3'!H51</f>
        <v>0</v>
      </c>
      <c r="H119" s="1152">
        <f>-'Rahoitus K3'!K51</f>
        <v>0</v>
      </c>
      <c r="I119" s="6"/>
      <c r="J119" s="678"/>
      <c r="K119" s="783"/>
      <c r="L119" s="783"/>
      <c r="M119" s="783"/>
      <c r="N119" s="783"/>
      <c r="O119" s="783"/>
      <c r="P119" s="783"/>
      <c r="Q119" s="783"/>
      <c r="R119" s="783"/>
      <c r="S119" s="783"/>
      <c r="T119" s="1387"/>
    </row>
    <row r="120" spans="2:20" ht="12.75" customHeight="1">
      <c r="B120" s="309"/>
      <c r="C120" s="1153" t="s">
        <v>624</v>
      </c>
      <c r="D120" s="1103" t="s">
        <v>528</v>
      </c>
      <c r="E120" s="1108"/>
      <c r="F120" s="1099">
        <f>F26+F28+F29+F36+F41+F47+F61+F69+F74+F79+F88+F89+F95+F98+F102+F106+F111+F114+F115+F116+F83+F59+F119+F117+F118</f>
        <v>0</v>
      </c>
      <c r="G120" s="1099">
        <f>G26+G28+G29+G36+G41+G47+G61+G69+G74+G79+G88+G89+G95+G98+G102+G106+G111+G114+G115+G116+G83+G59+G119+G117+G118</f>
        <v>0</v>
      </c>
      <c r="H120" s="1099">
        <f>H26+H28+H29+H36+H41+H47+H61+H69+H74+H79+H88+H89+H95+H98+H102+H106+H111+H114+H115+H116+H83+H59+H119+H117+H118</f>
        <v>0</v>
      </c>
      <c r="I120" s="18"/>
      <c r="J120" s="678"/>
      <c r="K120" s="783"/>
      <c r="L120" s="783"/>
      <c r="M120" s="783"/>
      <c r="N120" s="783"/>
      <c r="O120" s="783"/>
      <c r="P120" s="783"/>
      <c r="Q120" s="783"/>
      <c r="R120" s="783"/>
      <c r="S120" s="783"/>
      <c r="T120" s="1387"/>
    </row>
    <row r="121" spans="2:20" ht="12.75" customHeight="1">
      <c r="B121" s="309"/>
      <c r="C121" s="1153" t="s">
        <v>625</v>
      </c>
      <c r="D121" s="1108" t="s">
        <v>550</v>
      </c>
      <c r="E121" s="1108"/>
      <c r="F121" s="1099">
        <f>F122/F13</f>
        <v>0</v>
      </c>
      <c r="G121" s="1099">
        <f>G122/G13</f>
        <v>0</v>
      </c>
      <c r="H121" s="1099">
        <f>H122/H13</f>
        <v>0</v>
      </c>
      <c r="I121" s="18"/>
      <c r="J121" s="678"/>
      <c r="K121" s="783"/>
      <c r="L121" s="783"/>
      <c r="M121" s="783"/>
      <c r="N121" s="783"/>
      <c r="O121" s="783"/>
      <c r="P121" s="783"/>
      <c r="Q121" s="783"/>
      <c r="R121" s="783"/>
      <c r="S121" s="783"/>
      <c r="T121" s="1387"/>
    </row>
    <row r="122" spans="2:20" ht="12.75" customHeight="1">
      <c r="B122" s="149" t="s">
        <v>0</v>
      </c>
      <c r="C122" s="1154" t="s">
        <v>626</v>
      </c>
      <c r="D122" s="668" t="s">
        <v>529</v>
      </c>
      <c r="E122" s="668"/>
      <c r="F122" s="1100">
        <f>F120+F23</f>
        <v>0</v>
      </c>
      <c r="G122" s="1100">
        <f>G120+G23</f>
        <v>0</v>
      </c>
      <c r="H122" s="1100">
        <f>H120+H23</f>
        <v>0</v>
      </c>
      <c r="I122" s="6"/>
      <c r="J122" s="678"/>
      <c r="K122" s="783"/>
      <c r="L122" s="783"/>
      <c r="M122" s="783"/>
      <c r="N122" s="783"/>
      <c r="O122" s="783"/>
      <c r="P122" s="783"/>
      <c r="Q122" s="783"/>
      <c r="R122" s="783"/>
      <c r="S122" s="783"/>
      <c r="T122" s="1387"/>
    </row>
    <row r="123" spans="2:20" ht="5.4" customHeight="1">
      <c r="B123" s="582"/>
      <c r="C123" s="149"/>
      <c r="D123" s="308"/>
      <c r="E123" s="308"/>
      <c r="F123" s="667"/>
      <c r="G123" s="667"/>
      <c r="H123" s="667"/>
      <c r="I123" s="6"/>
      <c r="J123" s="1388"/>
      <c r="K123" s="1389"/>
      <c r="L123" s="1389"/>
      <c r="M123" s="1389"/>
      <c r="N123" s="1389"/>
      <c r="O123" s="1389"/>
      <c r="P123" s="1389"/>
      <c r="Q123" s="1389"/>
      <c r="R123" s="1389"/>
      <c r="S123" s="1389"/>
      <c r="T123" s="1390"/>
    </row>
    <row r="124" spans="2:20" ht="12.75" customHeight="1">
      <c r="B124" s="581" t="s">
        <v>0</v>
      </c>
      <c r="C124" s="823" t="s">
        <v>627</v>
      </c>
      <c r="D124" s="307" t="s">
        <v>319</v>
      </c>
      <c r="E124" s="1103"/>
      <c r="F124" s="1105">
        <f>'Myynti K2'!C206-'Myynti K2'!C208</f>
        <v>0</v>
      </c>
      <c r="G124" s="1105">
        <f>'Myynti K2'!D206-'Myynti K2'!D208</f>
        <v>0</v>
      </c>
      <c r="H124" s="1105">
        <f>'Myynti K2'!E206-'Myynti K2'!E208</f>
        <v>0</v>
      </c>
      <c r="I124" s="6"/>
      <c r="J124" s="678" t="s">
        <v>0</v>
      </c>
      <c r="K124" s="783"/>
      <c r="L124" s="783"/>
      <c r="M124" s="783"/>
      <c r="N124" s="783"/>
      <c r="O124" s="783"/>
      <c r="P124" s="783"/>
      <c r="Q124" s="783"/>
      <c r="R124" s="783"/>
      <c r="S124" s="783"/>
      <c r="T124" s="1387"/>
    </row>
    <row r="125" spans="2:20" ht="12.75" customHeight="1">
      <c r="B125" s="581"/>
      <c r="C125" s="824" t="s">
        <v>630</v>
      </c>
      <c r="D125" s="1656" t="s">
        <v>320</v>
      </c>
      <c r="E125" s="1657"/>
      <c r="F125" s="1106">
        <f>F124-F122</f>
        <v>0</v>
      </c>
      <c r="G125" s="1106">
        <f>G124-G122</f>
        <v>0</v>
      </c>
      <c r="H125" s="1106">
        <f>H124-H122</f>
        <v>0</v>
      </c>
      <c r="I125" s="45"/>
      <c r="J125" s="678" t="s">
        <v>0</v>
      </c>
      <c r="K125" s="783"/>
      <c r="L125" s="783"/>
      <c r="M125" s="783"/>
      <c r="N125" s="783"/>
      <c r="O125" s="783"/>
      <c r="P125" s="783"/>
      <c r="Q125" s="783"/>
      <c r="R125" s="783"/>
      <c r="S125" s="783"/>
      <c r="T125" s="1387"/>
    </row>
    <row r="126" spans="2:20" ht="12.75" customHeight="1">
      <c r="B126" s="583"/>
      <c r="C126" s="825" t="s">
        <v>631</v>
      </c>
      <c r="D126" s="826" t="s">
        <v>321</v>
      </c>
      <c r="E126" s="1104"/>
      <c r="F126" s="1107">
        <f>IF(F124=0,0,F125/F124)</f>
        <v>0</v>
      </c>
      <c r="G126" s="1107">
        <f>IF(G124=0,0,G125/G124)</f>
        <v>0</v>
      </c>
      <c r="H126" s="1107">
        <f>IF(H124=0,0,H125/H124)</f>
        <v>0</v>
      </c>
      <c r="I126" s="351"/>
      <c r="J126" s="678"/>
      <c r="K126" s="783"/>
      <c r="L126" s="783"/>
      <c r="M126" s="783"/>
      <c r="N126" s="783"/>
      <c r="O126" s="783"/>
      <c r="P126" s="783"/>
      <c r="Q126" s="783"/>
      <c r="R126" s="783"/>
      <c r="S126" s="783"/>
      <c r="T126" s="1387"/>
    </row>
    <row r="127" spans="2:20" ht="4.2" customHeight="1">
      <c r="B127" s="583"/>
      <c r="C127" s="827"/>
      <c r="D127" s="343"/>
      <c r="E127" s="343"/>
      <c r="F127" s="828"/>
      <c r="G127" s="828"/>
      <c r="H127" s="828"/>
      <c r="I127" s="351"/>
      <c r="J127" s="1388"/>
      <c r="K127" s="1389"/>
      <c r="L127" s="1389"/>
      <c r="M127" s="1389"/>
      <c r="N127" s="1389"/>
      <c r="O127" s="1389"/>
      <c r="P127" s="1389"/>
      <c r="Q127" s="1389"/>
      <c r="R127" s="1389"/>
      <c r="S127" s="1389"/>
      <c r="T127" s="1390"/>
    </row>
    <row r="128" spans="2:20" ht="12.75" customHeight="1">
      <c r="B128" s="582"/>
      <c r="C128" s="823" t="s">
        <v>632</v>
      </c>
      <c r="D128" s="670" t="s">
        <v>322</v>
      </c>
      <c r="E128" s="897"/>
      <c r="F128" s="1088">
        <f>'Myynti K2'!C206</f>
        <v>0</v>
      </c>
      <c r="G128" s="1098">
        <f>'Myynti K2'!D206</f>
        <v>0</v>
      </c>
      <c r="H128" s="1093">
        <f>'Myynti K2'!E206</f>
        <v>0</v>
      </c>
      <c r="I128" s="6"/>
      <c r="J128" s="678"/>
      <c r="K128" s="783"/>
      <c r="L128" s="783"/>
      <c r="M128" s="783"/>
      <c r="N128" s="783"/>
      <c r="O128" s="783"/>
      <c r="P128" s="783"/>
      <c r="Q128" s="783"/>
      <c r="R128" s="783"/>
      <c r="S128" s="783"/>
      <c r="T128" s="1387"/>
    </row>
    <row r="129" spans="2:23" ht="12.75" customHeight="1">
      <c r="B129" s="584"/>
      <c r="C129" s="829" t="s">
        <v>628</v>
      </c>
      <c r="D129" s="303" t="s">
        <v>323</v>
      </c>
      <c r="E129" s="650"/>
      <c r="F129" s="1089">
        <f>-'Rahoitus K3'!F42</f>
        <v>0</v>
      </c>
      <c r="G129" s="1099">
        <f>-'Rahoitus K3'!H42</f>
        <v>0</v>
      </c>
      <c r="H129" s="1094">
        <f>-'Rahoitus K3'!K42</f>
        <v>0</v>
      </c>
      <c r="I129" s="18"/>
      <c r="J129" s="678"/>
      <c r="K129" s="783"/>
      <c r="L129" s="783"/>
      <c r="M129" s="783"/>
      <c r="N129" s="783"/>
      <c r="O129" s="783"/>
      <c r="P129" s="783"/>
      <c r="Q129" s="783"/>
      <c r="R129" s="783"/>
      <c r="S129" s="783"/>
      <c r="T129" s="1387"/>
    </row>
    <row r="130" spans="2:23" ht="12.75" customHeight="1">
      <c r="B130" s="585"/>
      <c r="C130" s="829" t="s">
        <v>629</v>
      </c>
      <c r="D130" s="307" t="s">
        <v>324</v>
      </c>
      <c r="E130" s="898"/>
      <c r="F130" s="1090">
        <f>F128+F129</f>
        <v>0</v>
      </c>
      <c r="G130" s="1100">
        <f>G128+G129</f>
        <v>0</v>
      </c>
      <c r="H130" s="1095">
        <f>H128+H129</f>
        <v>0</v>
      </c>
      <c r="I130" s="6"/>
      <c r="J130" s="790"/>
      <c r="K130" s="789"/>
      <c r="L130" s="789"/>
      <c r="M130" s="789"/>
      <c r="N130" s="789"/>
      <c r="O130" s="789"/>
      <c r="P130" s="789"/>
      <c r="Q130" s="789"/>
      <c r="R130" s="789"/>
      <c r="S130" s="789"/>
      <c r="T130" s="1420"/>
    </row>
    <row r="131" spans="2:23" ht="12.75" customHeight="1">
      <c r="B131" s="309"/>
      <c r="C131" s="829"/>
      <c r="D131" s="307" t="s">
        <v>325</v>
      </c>
      <c r="E131" s="899"/>
      <c r="F131" s="1091">
        <v>50</v>
      </c>
      <c r="G131" s="1101">
        <v>50</v>
      </c>
      <c r="H131" s="1096">
        <v>50</v>
      </c>
      <c r="I131" s="46"/>
      <c r="J131" s="68"/>
      <c r="K131" s="68"/>
      <c r="L131" s="68"/>
      <c r="M131" s="68"/>
      <c r="N131" s="68"/>
      <c r="O131" s="68"/>
      <c r="P131" s="68"/>
      <c r="Q131" s="68"/>
      <c r="R131" s="315"/>
      <c r="S131" s="315"/>
      <c r="T131" s="53"/>
      <c r="U131" s="53"/>
      <c r="V131" s="53"/>
      <c r="W131" s="53"/>
    </row>
    <row r="132" spans="2:23" ht="12.75" customHeight="1">
      <c r="B132" s="309"/>
      <c r="C132" s="829" t="s">
        <v>0</v>
      </c>
      <c r="D132" s="307" t="s">
        <v>326</v>
      </c>
      <c r="E132" s="899"/>
      <c r="F132" s="1091">
        <v>5</v>
      </c>
      <c r="G132" s="1101">
        <v>5</v>
      </c>
      <c r="H132" s="1096">
        <v>5</v>
      </c>
      <c r="I132" s="46"/>
      <c r="J132" s="68" t="s">
        <v>0</v>
      </c>
      <c r="K132" s="68"/>
      <c r="L132" s="68"/>
      <c r="M132" s="68"/>
      <c r="N132" s="68"/>
      <c r="O132" s="68"/>
      <c r="P132" s="68"/>
      <c r="Q132" s="68"/>
      <c r="R132" s="315"/>
      <c r="S132" s="315"/>
      <c r="T132" s="53"/>
      <c r="U132" s="53"/>
      <c r="V132" s="53"/>
      <c r="W132" s="53"/>
    </row>
    <row r="133" spans="2:23" ht="12.75" customHeight="1">
      <c r="B133" s="309"/>
      <c r="C133" s="830"/>
      <c r="D133" s="591" t="s">
        <v>327</v>
      </c>
      <c r="E133" s="896"/>
      <c r="F133" s="1092">
        <f>IF(F132=0,0,F130/F132/F131)</f>
        <v>0</v>
      </c>
      <c r="G133" s="1102">
        <f>IF(G132=0,0,G130/G132/G131)</f>
        <v>0</v>
      </c>
      <c r="H133" s="1097">
        <f>IF(H132=0,0,H130/H132/H131)</f>
        <v>0</v>
      </c>
      <c r="I133" s="52"/>
      <c r="J133" s="68"/>
      <c r="K133" s="68"/>
      <c r="L133" s="68"/>
      <c r="M133" s="68"/>
      <c r="N133" s="68"/>
      <c r="O133" s="68"/>
      <c r="P133" s="68"/>
      <c r="Q133" s="68"/>
      <c r="R133" s="315"/>
      <c r="S133" s="315"/>
      <c r="T133" s="53"/>
      <c r="U133" s="53"/>
      <c r="V133" s="53"/>
      <c r="W133" s="53"/>
    </row>
    <row r="134" spans="2:23">
      <c r="B134" s="94"/>
      <c r="C134" s="278"/>
      <c r="I134" s="6"/>
      <c r="J134" s="316"/>
      <c r="K134" s="68"/>
      <c r="L134" s="68"/>
      <c r="M134" s="68"/>
      <c r="N134" s="68"/>
      <c r="O134" s="68"/>
      <c r="P134" s="68"/>
      <c r="Q134" s="68"/>
      <c r="R134" s="315"/>
      <c r="S134" s="315"/>
      <c r="T134" s="53"/>
      <c r="U134" s="53"/>
      <c r="V134" s="53"/>
      <c r="W134" s="53"/>
    </row>
    <row r="135" spans="2:23" ht="12.75" customHeight="1">
      <c r="B135" s="94"/>
      <c r="C135" s="153"/>
      <c r="D135" s="312" t="s">
        <v>331</v>
      </c>
      <c r="E135" s="9"/>
      <c r="J135" s="68"/>
      <c r="K135" s="68"/>
      <c r="L135" s="68"/>
      <c r="M135" s="68"/>
      <c r="N135" s="68"/>
      <c r="O135" s="68"/>
      <c r="P135" s="68"/>
      <c r="Q135" s="68"/>
      <c r="R135" s="315"/>
      <c r="S135" s="315"/>
      <c r="T135" s="53"/>
      <c r="U135" s="53"/>
      <c r="V135" s="53"/>
      <c r="W135" s="53"/>
    </row>
    <row r="136" spans="2:23" ht="12.75" customHeight="1">
      <c r="B136" s="95"/>
      <c r="C136" s="153"/>
      <c r="D136" s="100" t="s">
        <v>332</v>
      </c>
      <c r="E136" s="79"/>
      <c r="I136" s="21"/>
      <c r="J136" s="21"/>
      <c r="K136" s="35"/>
      <c r="L136" s="315"/>
      <c r="M136" s="315"/>
      <c r="N136" s="315"/>
      <c r="O136" s="315"/>
      <c r="P136" s="315"/>
      <c r="Q136" s="315"/>
      <c r="R136" s="315"/>
      <c r="S136" s="315"/>
      <c r="T136" s="53"/>
      <c r="U136" s="53"/>
      <c r="V136" s="53"/>
      <c r="W136" s="53"/>
    </row>
    <row r="137" spans="2:23" s="2" customFormat="1" ht="12.75" customHeight="1">
      <c r="B137" s="96"/>
      <c r="C137" s="153"/>
      <c r="D137" s="100" t="s">
        <v>333</v>
      </c>
      <c r="E137" s="82"/>
      <c r="I137" s="21"/>
      <c r="J137" s="21"/>
      <c r="K137" s="35"/>
      <c r="L137" s="315"/>
      <c r="M137" s="315"/>
      <c r="N137" s="315"/>
      <c r="O137" s="315"/>
      <c r="P137" s="315"/>
      <c r="Q137" s="315"/>
      <c r="R137" s="315"/>
      <c r="S137" s="315"/>
      <c r="T137" s="7"/>
      <c r="U137" s="7"/>
      <c r="V137" s="7"/>
      <c r="W137" s="7"/>
    </row>
    <row r="138" spans="2:23" s="2" customFormat="1" ht="12.75" customHeight="1">
      <c r="B138" s="96"/>
      <c r="C138" s="153"/>
      <c r="D138" s="293"/>
      <c r="E138" s="82"/>
      <c r="F138" s="80"/>
      <c r="G138" s="21"/>
      <c r="H138" s="21"/>
      <c r="I138" s="21"/>
      <c r="J138" s="21"/>
      <c r="K138" s="35"/>
      <c r="L138" s="315"/>
      <c r="M138" s="315"/>
      <c r="N138" s="315"/>
      <c r="O138" s="315"/>
      <c r="P138" s="315"/>
      <c r="Q138" s="315"/>
      <c r="R138" s="315"/>
      <c r="S138" s="315"/>
      <c r="T138" s="7"/>
      <c r="U138" s="7"/>
      <c r="V138" s="7"/>
      <c r="W138" s="7"/>
    </row>
    <row r="139" spans="2:23" ht="12.75" customHeight="1">
      <c r="B139" s="95"/>
      <c r="C139" s="61"/>
      <c r="D139" s="153"/>
      <c r="E139" s="79"/>
      <c r="G139" s="282"/>
      <c r="H139" s="282"/>
      <c r="I139" s="23"/>
      <c r="J139" s="23"/>
      <c r="K139" s="35"/>
      <c r="L139" s="317"/>
      <c r="M139" s="315"/>
      <c r="N139" s="315"/>
      <c r="O139" s="315"/>
      <c r="P139" s="315"/>
      <c r="Q139" s="315"/>
      <c r="R139" s="315"/>
      <c r="S139" s="315"/>
      <c r="T139" s="53"/>
      <c r="U139" s="53"/>
      <c r="V139" s="53"/>
      <c r="W139" s="53"/>
    </row>
    <row r="140" spans="2:23" s="2" customFormat="1" ht="12.75" customHeight="1">
      <c r="B140" s="96"/>
      <c r="C140" s="61"/>
      <c r="D140" s="153"/>
      <c r="E140" s="79"/>
      <c r="G140" s="85"/>
      <c r="H140" s="85"/>
      <c r="I140" s="25"/>
      <c r="J140" s="25"/>
      <c r="K140" s="35"/>
      <c r="L140" s="317"/>
      <c r="M140" s="315"/>
      <c r="N140" s="315"/>
      <c r="O140" s="315"/>
      <c r="P140" s="315"/>
      <c r="Q140" s="315"/>
      <c r="R140" s="315"/>
      <c r="S140" s="315"/>
      <c r="T140" s="7"/>
      <c r="U140" s="7"/>
      <c r="V140" s="7"/>
      <c r="W140" s="7"/>
    </row>
    <row r="141" spans="2:23" ht="12.75" customHeight="1">
      <c r="B141" s="95"/>
      <c r="C141" s="61"/>
      <c r="D141" s="153"/>
      <c r="E141" s="82"/>
      <c r="G141" s="282"/>
      <c r="H141" s="282"/>
      <c r="I141" s="21"/>
      <c r="J141" s="21"/>
      <c r="K141" s="35"/>
      <c r="L141" s="315"/>
      <c r="M141" s="315"/>
      <c r="N141" s="315"/>
      <c r="O141" s="315"/>
      <c r="P141" s="315"/>
      <c r="Q141" s="315"/>
      <c r="R141" s="315"/>
      <c r="S141" s="315"/>
      <c r="T141" s="53"/>
      <c r="U141" s="53"/>
      <c r="V141" s="53"/>
      <c r="W141" s="53"/>
    </row>
    <row r="142" spans="2:23" ht="12.75" customHeight="1">
      <c r="B142" s="95"/>
      <c r="C142" s="61"/>
      <c r="D142" s="153"/>
      <c r="E142" s="79"/>
      <c r="G142" s="85"/>
      <c r="H142" s="85"/>
      <c r="I142" s="23"/>
      <c r="J142" s="23"/>
      <c r="K142" s="35"/>
      <c r="L142" s="315"/>
      <c r="M142" s="315"/>
      <c r="N142" s="315"/>
      <c r="O142" s="315"/>
      <c r="P142" s="315"/>
      <c r="Q142" s="315"/>
      <c r="R142" s="315"/>
      <c r="S142" s="315"/>
      <c r="T142" s="53"/>
      <c r="U142" s="53"/>
      <c r="V142" s="53"/>
      <c r="W142" s="53"/>
    </row>
    <row r="143" spans="2:23" ht="12.75" customHeight="1">
      <c r="B143" s="95"/>
      <c r="C143" s="61"/>
      <c r="D143" s="9"/>
      <c r="E143" s="82"/>
      <c r="G143" s="282"/>
      <c r="H143" s="282"/>
      <c r="I143" s="21"/>
      <c r="J143" s="21"/>
      <c r="K143" s="653" t="s">
        <v>0</v>
      </c>
      <c r="L143" s="315"/>
      <c r="M143" s="315"/>
      <c r="N143" s="315"/>
      <c r="O143" s="315"/>
      <c r="P143" s="315"/>
      <c r="Q143" s="315"/>
      <c r="R143" s="315"/>
      <c r="S143" s="315"/>
      <c r="T143" s="53"/>
      <c r="U143" s="53"/>
      <c r="V143" s="53"/>
      <c r="W143" s="53"/>
    </row>
    <row r="144" spans="2:23" ht="12.75" customHeight="1">
      <c r="B144" s="95"/>
      <c r="C144" s="153"/>
      <c r="D144" s="293"/>
      <c r="E144" s="79"/>
      <c r="G144" s="21"/>
      <c r="H144" s="21"/>
      <c r="I144" s="27"/>
      <c r="J144" s="27"/>
      <c r="K144" s="35"/>
      <c r="L144" s="35"/>
      <c r="M144" s="35"/>
      <c r="N144" s="35"/>
      <c r="O144" s="35"/>
      <c r="P144" s="35"/>
      <c r="Q144" s="35"/>
      <c r="R144" s="35"/>
      <c r="S144" s="35"/>
      <c r="T144" s="53"/>
      <c r="U144" s="53"/>
      <c r="V144" s="53"/>
      <c r="W144" s="53"/>
    </row>
    <row r="145" spans="2:23" ht="12.75" customHeight="1">
      <c r="B145" s="95"/>
      <c r="C145" s="153"/>
      <c r="D145" s="9"/>
      <c r="E145" s="79"/>
      <c r="G145" s="85"/>
      <c r="H145" s="85"/>
      <c r="I145" s="22"/>
      <c r="J145" s="22"/>
      <c r="K145" s="35"/>
      <c r="L145" s="35"/>
      <c r="M145" s="35"/>
      <c r="N145" s="35"/>
      <c r="O145" s="35"/>
      <c r="P145" s="35"/>
      <c r="Q145" s="35"/>
      <c r="R145" s="35"/>
      <c r="S145" s="35"/>
      <c r="T145" s="53"/>
      <c r="U145" s="53"/>
      <c r="V145" s="53"/>
      <c r="W145" s="53"/>
    </row>
    <row r="146" spans="2:23" ht="12.75" customHeight="1">
      <c r="B146" s="95"/>
      <c r="C146" s="153"/>
      <c r="D146" s="9"/>
      <c r="E146" s="79"/>
      <c r="G146" s="282"/>
      <c r="H146" s="282"/>
      <c r="I146" s="83"/>
      <c r="J146" s="318"/>
      <c r="K146" s="35"/>
      <c r="L146" s="35"/>
      <c r="M146" s="35"/>
      <c r="N146" s="35"/>
      <c r="O146" s="35"/>
      <c r="P146" s="35"/>
      <c r="Q146" s="35"/>
      <c r="R146" s="35"/>
      <c r="S146" s="35"/>
      <c r="T146" s="53"/>
      <c r="U146" s="53"/>
      <c r="V146" s="53"/>
      <c r="W146" s="53"/>
    </row>
    <row r="147" spans="2:23" ht="12.75" customHeight="1">
      <c r="B147" s="95"/>
      <c r="C147" s="153"/>
      <c r="D147" s="9"/>
      <c r="E147" s="79"/>
      <c r="G147" s="282"/>
      <c r="H147" s="282"/>
      <c r="I147" s="83"/>
      <c r="J147" s="318"/>
      <c r="K147" s="35"/>
      <c r="L147" s="35"/>
      <c r="M147" s="35"/>
      <c r="N147" s="35"/>
      <c r="O147" s="35"/>
      <c r="P147" s="35"/>
      <c r="Q147" s="35"/>
      <c r="R147" s="35"/>
      <c r="S147" s="35"/>
      <c r="T147" s="53"/>
      <c r="U147" s="53"/>
      <c r="V147" s="53"/>
      <c r="W147" s="53"/>
    </row>
    <row r="148" spans="2:23" ht="12.75" customHeight="1">
      <c r="B148" s="95"/>
      <c r="C148" s="153"/>
      <c r="D148" s="293"/>
      <c r="E148" s="79"/>
      <c r="G148" s="284"/>
      <c r="H148" s="284"/>
      <c r="I148" s="83"/>
      <c r="J148" s="318"/>
      <c r="K148" s="35"/>
      <c r="L148" s="35"/>
      <c r="M148" s="35"/>
      <c r="N148" s="35"/>
      <c r="O148" s="35"/>
      <c r="P148" s="35"/>
      <c r="Q148" s="35"/>
      <c r="R148" s="35"/>
      <c r="S148" s="35"/>
      <c r="T148" s="53"/>
      <c r="U148" s="53"/>
      <c r="V148" s="53"/>
      <c r="W148" s="53"/>
    </row>
    <row r="149" spans="2:23" ht="12.75" customHeight="1">
      <c r="B149" s="95"/>
      <c r="C149" s="96"/>
      <c r="D149" s="294"/>
      <c r="E149" s="20"/>
      <c r="F149" s="282"/>
      <c r="G149" s="282"/>
      <c r="H149" s="282"/>
      <c r="I149" s="282"/>
      <c r="J149" s="21"/>
      <c r="K149" s="35"/>
      <c r="L149" s="35"/>
      <c r="M149" s="35"/>
      <c r="N149" s="35"/>
      <c r="O149" s="35"/>
      <c r="P149" s="35"/>
      <c r="Q149" s="35"/>
      <c r="R149" s="35"/>
      <c r="S149" s="35"/>
      <c r="T149" s="53"/>
      <c r="U149" s="53"/>
      <c r="V149" s="53"/>
      <c r="W149" s="53"/>
    </row>
    <row r="150" spans="2:23" ht="12.75" customHeight="1">
      <c r="B150" s="95"/>
      <c r="C150" s="96"/>
      <c r="D150" s="294"/>
      <c r="E150" s="20"/>
      <c r="F150" s="20"/>
      <c r="G150" s="81"/>
      <c r="H150" s="26"/>
      <c r="I150" s="26"/>
      <c r="J150" s="26"/>
      <c r="K150" s="35"/>
      <c r="L150" s="35"/>
      <c r="M150" s="35"/>
      <c r="N150" s="35"/>
      <c r="O150" s="35"/>
      <c r="P150" s="35"/>
      <c r="Q150" s="35"/>
      <c r="R150" s="35"/>
      <c r="S150" s="35"/>
      <c r="T150" s="53"/>
      <c r="U150" s="53"/>
      <c r="V150" s="53"/>
      <c r="W150" s="53"/>
    </row>
    <row r="151" spans="2:23" ht="12.75" customHeight="1">
      <c r="B151" s="95"/>
      <c r="C151" s="96"/>
      <c r="D151" s="294"/>
      <c r="E151" s="20"/>
      <c r="I151" s="21"/>
      <c r="J151" s="21"/>
      <c r="K151" s="35"/>
      <c r="L151" s="35"/>
      <c r="M151" s="35"/>
      <c r="N151" s="35"/>
      <c r="O151" s="35"/>
      <c r="P151" s="35"/>
      <c r="Q151" s="35"/>
      <c r="R151" s="35"/>
      <c r="S151" s="35"/>
      <c r="T151" s="53"/>
      <c r="U151" s="53"/>
      <c r="V151" s="53"/>
      <c r="W151" s="53"/>
    </row>
    <row r="152" spans="2:23" ht="12.75" customHeight="1">
      <c r="B152" s="95"/>
      <c r="C152" s="96"/>
      <c r="D152" s="294"/>
      <c r="E152" s="20"/>
      <c r="F152" s="20"/>
      <c r="G152" s="20"/>
      <c r="H152" s="20"/>
      <c r="I152" s="20"/>
      <c r="J152" s="35"/>
      <c r="K152" s="35"/>
      <c r="L152" s="35"/>
      <c r="M152" s="35"/>
      <c r="N152" s="35"/>
      <c r="O152" s="35"/>
      <c r="P152" s="35"/>
      <c r="Q152" s="35"/>
      <c r="R152" s="35"/>
      <c r="S152" s="35"/>
      <c r="T152" s="53"/>
      <c r="U152" s="53"/>
      <c r="V152" s="53"/>
      <c r="W152" s="53"/>
    </row>
    <row r="153" spans="2:23" ht="12.75" customHeight="1">
      <c r="B153" s="95"/>
      <c r="C153" s="96"/>
      <c r="D153" s="20"/>
      <c r="E153" s="20"/>
      <c r="F153" s="80"/>
      <c r="G153" s="81"/>
      <c r="H153" s="28"/>
      <c r="I153" s="28"/>
      <c r="J153" s="28"/>
      <c r="K153" s="35"/>
      <c r="L153" s="35"/>
      <c r="M153" s="35"/>
      <c r="N153" s="35"/>
      <c r="O153" s="35"/>
      <c r="P153" s="35"/>
      <c r="Q153" s="35"/>
      <c r="R153" s="35"/>
      <c r="S153" s="35"/>
      <c r="T153" s="53"/>
      <c r="U153" s="53"/>
      <c r="V153" s="53"/>
      <c r="W153" s="53"/>
    </row>
    <row r="154" spans="2:23" ht="12.75" customHeight="1">
      <c r="J154" s="53"/>
      <c r="K154" s="53"/>
      <c r="L154" s="53"/>
      <c r="M154" s="53"/>
      <c r="N154" s="53"/>
      <c r="O154" s="53"/>
      <c r="P154" s="53"/>
      <c r="Q154" s="53"/>
      <c r="R154" s="53"/>
      <c r="S154" s="53"/>
      <c r="T154" s="53"/>
      <c r="U154" s="53"/>
      <c r="V154" s="53"/>
      <c r="W154" s="53"/>
    </row>
    <row r="155" spans="2:23">
      <c r="J155" s="53"/>
      <c r="K155" s="53"/>
      <c r="L155" s="53"/>
      <c r="M155" s="53"/>
      <c r="N155" s="53"/>
      <c r="O155" s="53"/>
      <c r="P155" s="53"/>
      <c r="Q155" s="53"/>
      <c r="R155" s="53"/>
      <c r="S155" s="53"/>
      <c r="T155" s="53"/>
      <c r="U155" s="53"/>
      <c r="V155" s="53"/>
      <c r="W155" s="53"/>
    </row>
    <row r="156" spans="2:23">
      <c r="J156" s="53"/>
      <c r="K156" s="53"/>
      <c r="L156" s="53"/>
      <c r="M156" s="53"/>
      <c r="N156" s="53"/>
      <c r="O156" s="53"/>
      <c r="P156" s="53"/>
      <c r="Q156" s="53"/>
      <c r="R156" s="53"/>
      <c r="S156" s="53"/>
      <c r="T156" s="53"/>
      <c r="U156" s="53"/>
      <c r="V156" s="53"/>
      <c r="W156" s="53"/>
    </row>
    <row r="157" spans="2:23">
      <c r="J157" s="53"/>
      <c r="K157" s="53"/>
      <c r="L157" s="53"/>
      <c r="M157" s="53"/>
      <c r="N157" s="53"/>
      <c r="O157" s="53"/>
      <c r="P157" s="53"/>
      <c r="Q157" s="53"/>
      <c r="R157" s="53"/>
      <c r="S157" s="53"/>
      <c r="T157" s="53"/>
      <c r="U157" s="53"/>
      <c r="V157" s="53"/>
      <c r="W157" s="53"/>
    </row>
    <row r="158" spans="2:23">
      <c r="J158" s="53"/>
      <c r="K158" s="53"/>
      <c r="L158" s="53"/>
      <c r="M158" s="53"/>
      <c r="N158" s="53"/>
      <c r="O158" s="53"/>
      <c r="P158" s="53"/>
      <c r="Q158" s="53"/>
      <c r="R158" s="53"/>
      <c r="S158" s="53"/>
      <c r="T158" s="53"/>
      <c r="U158" s="53"/>
      <c r="V158" s="53"/>
      <c r="W158" s="53"/>
    </row>
    <row r="159" spans="2:23">
      <c r="J159" s="53"/>
      <c r="K159" s="53"/>
      <c r="L159" s="53"/>
      <c r="M159" s="53"/>
      <c r="N159" s="53"/>
      <c r="O159" s="53"/>
      <c r="P159" s="53"/>
      <c r="Q159" s="53"/>
      <c r="R159" s="53"/>
      <c r="S159" s="53"/>
      <c r="T159" s="53"/>
      <c r="U159" s="53"/>
      <c r="V159" s="53"/>
      <c r="W159" s="53"/>
    </row>
    <row r="160" spans="2:23">
      <c r="J160" s="53"/>
      <c r="K160" s="53"/>
      <c r="L160" s="53"/>
      <c r="M160" s="53"/>
      <c r="N160" s="53"/>
      <c r="O160" s="53"/>
      <c r="P160" s="53"/>
      <c r="Q160" s="53"/>
      <c r="R160" s="53"/>
      <c r="S160" s="53"/>
      <c r="T160" s="53"/>
      <c r="U160" s="53"/>
      <c r="V160" s="53"/>
      <c r="W160" s="53"/>
    </row>
    <row r="161" spans="10:23">
      <c r="J161" s="53"/>
      <c r="K161" s="53"/>
      <c r="L161" s="53"/>
      <c r="M161" s="53"/>
      <c r="N161" s="53"/>
      <c r="O161" s="53"/>
      <c r="P161" s="53"/>
      <c r="Q161" s="53"/>
      <c r="R161" s="53"/>
      <c r="S161" s="53"/>
      <c r="T161" s="53"/>
      <c r="U161" s="53"/>
      <c r="V161" s="53"/>
      <c r="W161" s="53"/>
    </row>
    <row r="162" spans="10:23">
      <c r="J162" s="53"/>
      <c r="K162" s="53"/>
      <c r="L162" s="53"/>
      <c r="M162" s="53"/>
      <c r="N162" s="53"/>
      <c r="O162" s="53"/>
      <c r="P162" s="53"/>
      <c r="Q162" s="53"/>
      <c r="R162" s="53"/>
      <c r="S162" s="53"/>
      <c r="T162" s="53"/>
      <c r="U162" s="53"/>
      <c r="V162" s="53"/>
      <c r="W162" s="53"/>
    </row>
    <row r="163" spans="10:23">
      <c r="J163" s="53"/>
      <c r="K163" s="53"/>
      <c r="L163" s="53"/>
      <c r="M163" s="53"/>
      <c r="N163" s="53"/>
      <c r="O163" s="53"/>
      <c r="P163" s="53"/>
      <c r="Q163" s="53"/>
      <c r="R163" s="53"/>
      <c r="S163" s="53"/>
      <c r="T163" s="53"/>
      <c r="U163" s="53"/>
      <c r="V163" s="53"/>
      <c r="W163" s="53"/>
    </row>
    <row r="164" spans="10:23">
      <c r="J164" s="53"/>
      <c r="K164" s="53"/>
      <c r="L164" s="53"/>
      <c r="M164" s="53"/>
      <c r="N164" s="53"/>
      <c r="O164" s="53"/>
      <c r="P164" s="53"/>
      <c r="Q164" s="53"/>
      <c r="R164" s="53"/>
      <c r="S164" s="53"/>
      <c r="T164" s="53"/>
      <c r="U164" s="53"/>
      <c r="V164" s="53"/>
      <c r="W164" s="53"/>
    </row>
    <row r="165" spans="10:23">
      <c r="J165" s="53"/>
      <c r="K165" s="53"/>
      <c r="L165" s="53"/>
      <c r="M165" s="53"/>
      <c r="N165" s="53"/>
      <c r="O165" s="53"/>
      <c r="P165" s="53"/>
      <c r="Q165" s="53"/>
      <c r="R165" s="53"/>
      <c r="S165" s="53"/>
      <c r="T165" s="53"/>
      <c r="U165" s="53"/>
      <c r="V165" s="53"/>
      <c r="W165" s="53"/>
    </row>
    <row r="166" spans="10:23">
      <c r="J166" s="53"/>
      <c r="K166" s="53"/>
      <c r="L166" s="53"/>
      <c r="M166" s="53"/>
      <c r="N166" s="53"/>
      <c r="O166" s="53"/>
      <c r="P166" s="53"/>
      <c r="Q166" s="53"/>
      <c r="R166" s="53"/>
      <c r="S166" s="53"/>
      <c r="T166" s="53"/>
      <c r="U166" s="53"/>
      <c r="V166" s="53"/>
      <c r="W166" s="53"/>
    </row>
    <row r="167" spans="10:23">
      <c r="J167" s="53"/>
      <c r="K167" s="53"/>
      <c r="L167" s="53"/>
      <c r="M167" s="53"/>
      <c r="N167" s="53"/>
      <c r="O167" s="53"/>
      <c r="P167" s="53"/>
      <c r="Q167" s="53"/>
      <c r="R167" s="53"/>
      <c r="S167" s="53"/>
      <c r="T167" s="53"/>
      <c r="U167" s="53"/>
      <c r="V167" s="53"/>
      <c r="W167" s="53"/>
    </row>
    <row r="168" spans="10:23">
      <c r="J168" s="53"/>
      <c r="K168" s="53"/>
      <c r="L168" s="53"/>
      <c r="M168" s="53"/>
      <c r="N168" s="53"/>
      <c r="O168" s="53"/>
      <c r="P168" s="53"/>
      <c r="Q168" s="53"/>
      <c r="R168" s="53"/>
      <c r="S168" s="53"/>
      <c r="T168" s="53"/>
      <c r="U168" s="53"/>
      <c r="V168" s="53"/>
      <c r="W168" s="53"/>
    </row>
    <row r="169" spans="10:23">
      <c r="J169" s="53"/>
      <c r="K169" s="53"/>
      <c r="L169" s="53"/>
      <c r="M169" s="53"/>
      <c r="N169" s="53"/>
      <c r="O169" s="53"/>
      <c r="P169" s="53"/>
      <c r="Q169" s="53"/>
      <c r="R169" s="53"/>
      <c r="S169" s="53"/>
      <c r="T169" s="53"/>
      <c r="U169" s="53"/>
      <c r="V169" s="53"/>
      <c r="W169" s="53"/>
    </row>
    <row r="170" spans="10:23">
      <c r="J170" s="53"/>
      <c r="K170" s="53"/>
      <c r="L170" s="53"/>
      <c r="M170" s="53"/>
      <c r="N170" s="53"/>
      <c r="O170" s="53"/>
      <c r="P170" s="53"/>
      <c r="Q170" s="53"/>
      <c r="R170" s="53"/>
      <c r="S170" s="53"/>
      <c r="T170" s="53"/>
      <c r="U170" s="53"/>
      <c r="V170" s="53"/>
      <c r="W170" s="53"/>
    </row>
    <row r="171" spans="10:23">
      <c r="J171" s="53"/>
      <c r="K171" s="53"/>
      <c r="L171" s="53"/>
      <c r="M171" s="53"/>
      <c r="N171" s="53"/>
      <c r="O171" s="53"/>
      <c r="P171" s="53"/>
      <c r="Q171" s="53"/>
      <c r="R171" s="53"/>
      <c r="S171" s="53"/>
      <c r="T171" s="53"/>
      <c r="U171" s="53"/>
      <c r="V171" s="53"/>
      <c r="W171" s="53"/>
    </row>
    <row r="172" spans="10:23">
      <c r="J172" s="53"/>
      <c r="K172" s="53"/>
      <c r="L172" s="53"/>
      <c r="M172" s="53"/>
      <c r="N172" s="53"/>
      <c r="O172" s="53"/>
      <c r="P172" s="53"/>
      <c r="Q172" s="53"/>
      <c r="R172" s="53"/>
      <c r="S172" s="53"/>
      <c r="T172" s="53"/>
      <c r="U172" s="53"/>
      <c r="V172" s="53"/>
      <c r="W172" s="53"/>
    </row>
    <row r="173" spans="10:23">
      <c r="J173" s="53"/>
      <c r="K173" s="53"/>
      <c r="L173" s="53"/>
      <c r="M173" s="53"/>
      <c r="N173" s="53"/>
      <c r="O173" s="53"/>
      <c r="P173" s="53"/>
      <c r="Q173" s="53"/>
      <c r="R173" s="53"/>
      <c r="S173" s="53"/>
      <c r="T173" s="53"/>
      <c r="U173" s="53"/>
      <c r="V173" s="53"/>
      <c r="W173" s="53"/>
    </row>
    <row r="174" spans="10:23">
      <c r="J174" s="53"/>
      <c r="K174" s="53"/>
      <c r="L174" s="53"/>
      <c r="M174" s="53"/>
      <c r="N174" s="53"/>
      <c r="O174" s="53"/>
      <c r="P174" s="53"/>
      <c r="Q174" s="53"/>
      <c r="R174" s="53"/>
      <c r="S174" s="53"/>
      <c r="T174" s="53"/>
      <c r="U174" s="53"/>
      <c r="V174" s="53"/>
      <c r="W174" s="53"/>
    </row>
    <row r="175" spans="10:23">
      <c r="J175" s="53"/>
      <c r="K175" s="53"/>
      <c r="L175" s="53"/>
      <c r="M175" s="53"/>
      <c r="N175" s="53"/>
      <c r="O175" s="53"/>
      <c r="P175" s="53"/>
      <c r="Q175" s="53"/>
      <c r="R175" s="53"/>
      <c r="S175" s="53"/>
      <c r="T175" s="53"/>
      <c r="U175" s="53"/>
      <c r="V175" s="53"/>
      <c r="W175" s="53"/>
    </row>
    <row r="176" spans="10:23">
      <c r="J176" s="53"/>
      <c r="K176" s="53"/>
      <c r="L176" s="53"/>
      <c r="M176" s="53"/>
      <c r="N176" s="53"/>
      <c r="O176" s="53"/>
      <c r="P176" s="53"/>
      <c r="Q176" s="53"/>
      <c r="R176" s="53"/>
      <c r="S176" s="53"/>
      <c r="T176" s="53"/>
      <c r="U176" s="53"/>
      <c r="V176" s="53"/>
      <c r="W176" s="53"/>
    </row>
    <row r="177" spans="10:23">
      <c r="J177" s="53"/>
      <c r="K177" s="53"/>
      <c r="L177" s="53"/>
      <c r="M177" s="53"/>
      <c r="N177" s="53"/>
      <c r="O177" s="53"/>
      <c r="P177" s="53"/>
      <c r="Q177" s="53"/>
      <c r="R177" s="53"/>
      <c r="S177" s="53"/>
      <c r="T177" s="53"/>
      <c r="U177" s="53"/>
      <c r="V177" s="53"/>
      <c r="W177" s="53"/>
    </row>
    <row r="178" spans="10:23">
      <c r="J178" s="53"/>
      <c r="K178" s="53"/>
      <c r="L178" s="53"/>
      <c r="M178" s="53"/>
      <c r="N178" s="53"/>
      <c r="O178" s="53"/>
      <c r="P178" s="53"/>
      <c r="Q178" s="53"/>
      <c r="R178" s="53"/>
      <c r="S178" s="53"/>
      <c r="T178" s="53"/>
      <c r="U178" s="53"/>
      <c r="V178" s="53"/>
      <c r="W178" s="53"/>
    </row>
    <row r="179" spans="10:23">
      <c r="J179" s="53"/>
      <c r="K179" s="53"/>
      <c r="L179" s="53"/>
      <c r="M179" s="53"/>
      <c r="N179" s="53"/>
      <c r="O179" s="53"/>
      <c r="P179" s="53"/>
      <c r="Q179" s="53"/>
      <c r="R179" s="53"/>
      <c r="S179" s="53"/>
      <c r="T179" s="53"/>
      <c r="U179" s="53"/>
      <c r="V179" s="53"/>
      <c r="W179" s="53"/>
    </row>
    <row r="180" spans="10:23">
      <c r="J180" s="53"/>
      <c r="K180" s="53"/>
      <c r="L180" s="53"/>
      <c r="M180" s="53"/>
      <c r="N180" s="53"/>
      <c r="O180" s="53"/>
      <c r="P180" s="53"/>
      <c r="Q180" s="53"/>
      <c r="R180" s="53"/>
      <c r="S180" s="53"/>
      <c r="T180" s="53"/>
      <c r="U180" s="53"/>
      <c r="V180" s="53"/>
      <c r="W180" s="53"/>
    </row>
    <row r="181" spans="10:23">
      <c r="J181" s="53"/>
      <c r="K181" s="53"/>
      <c r="L181" s="53"/>
      <c r="M181" s="53"/>
      <c r="N181" s="53"/>
      <c r="O181" s="53"/>
      <c r="P181" s="53"/>
      <c r="Q181" s="53"/>
      <c r="R181" s="53"/>
      <c r="S181" s="53"/>
      <c r="T181" s="53"/>
      <c r="U181" s="53"/>
      <c r="V181" s="53"/>
      <c r="W181" s="53"/>
    </row>
    <row r="182" spans="10:23">
      <c r="J182" s="53"/>
      <c r="K182" s="53"/>
      <c r="L182" s="53"/>
      <c r="M182" s="53"/>
      <c r="N182" s="53"/>
      <c r="O182" s="53"/>
      <c r="P182" s="53"/>
      <c r="Q182" s="53"/>
      <c r="R182" s="53"/>
      <c r="S182" s="53"/>
      <c r="T182" s="53"/>
      <c r="U182" s="53"/>
      <c r="V182" s="53"/>
      <c r="W182" s="53"/>
    </row>
    <row r="183" spans="10:23">
      <c r="J183" s="53"/>
      <c r="K183" s="53"/>
      <c r="L183" s="53"/>
      <c r="M183" s="53"/>
      <c r="N183" s="53"/>
      <c r="O183" s="53"/>
      <c r="P183" s="53"/>
      <c r="Q183" s="53"/>
      <c r="R183" s="53"/>
      <c r="S183" s="53"/>
      <c r="T183" s="53"/>
      <c r="U183" s="53"/>
      <c r="V183" s="53"/>
      <c r="W183" s="53"/>
    </row>
    <row r="184" spans="10:23">
      <c r="J184" s="53"/>
      <c r="K184" s="53"/>
      <c r="L184" s="53"/>
      <c r="M184" s="53"/>
      <c r="N184" s="53"/>
      <c r="O184" s="53"/>
      <c r="P184" s="53"/>
      <c r="Q184" s="53"/>
      <c r="R184" s="53"/>
      <c r="S184" s="53"/>
      <c r="T184" s="53"/>
      <c r="U184" s="53"/>
      <c r="V184" s="53"/>
      <c r="W184" s="53"/>
    </row>
    <row r="185" spans="10:23">
      <c r="J185" s="53"/>
      <c r="K185" s="53"/>
      <c r="L185" s="53"/>
      <c r="M185" s="53"/>
      <c r="N185" s="53"/>
      <c r="O185" s="53"/>
      <c r="P185" s="53"/>
      <c r="Q185" s="53"/>
      <c r="R185" s="53"/>
      <c r="S185" s="53"/>
      <c r="T185" s="53"/>
      <c r="U185" s="53"/>
      <c r="V185" s="53"/>
      <c r="W185" s="53"/>
    </row>
  </sheetData>
  <sheetProtection algorithmName="SHA-512" hashValue="MjKqc+mxAKvj4VFCe1G/tF/GhrZ9eQ5gpmOHNwNy92hIftHsxSPrTWzJu+b3dJYZmNDiAmhX5p59Bqvqb1Cqow==" saltValue="XLxEYmgA7jFD6SoVQTzz/A==" spinCount="100000" sheet="1" objects="1" scenarios="1"/>
  <mergeCells count="36">
    <mergeCell ref="J30:K30"/>
    <mergeCell ref="J37:K37"/>
    <mergeCell ref="J9:N9"/>
    <mergeCell ref="J11:T11"/>
    <mergeCell ref="E9:H9"/>
    <mergeCell ref="C9:D9"/>
    <mergeCell ref="J14:K14"/>
    <mergeCell ref="M2:N2"/>
    <mergeCell ref="E3:H3"/>
    <mergeCell ref="J4:K5"/>
    <mergeCell ref="J2:K2"/>
    <mergeCell ref="C2:H2"/>
    <mergeCell ref="C4:H4"/>
    <mergeCell ref="A11:B12"/>
    <mergeCell ref="D19:E19"/>
    <mergeCell ref="D18:E18"/>
    <mergeCell ref="D17:E17"/>
    <mergeCell ref="D16:E16"/>
    <mergeCell ref="D15:E15"/>
    <mergeCell ref="D13:E13"/>
    <mergeCell ref="C11:E12"/>
    <mergeCell ref="D125:E125"/>
    <mergeCell ref="D20:E20"/>
    <mergeCell ref="D79:E79"/>
    <mergeCell ref="D46:E46"/>
    <mergeCell ref="D58:E58"/>
    <mergeCell ref="D56:E56"/>
    <mergeCell ref="D40:E40"/>
    <mergeCell ref="D32:E32"/>
    <mergeCell ref="D21:E21"/>
    <mergeCell ref="D27:E27"/>
    <mergeCell ref="D26:E26"/>
    <mergeCell ref="D22:E22"/>
    <mergeCell ref="D61:E61"/>
    <mergeCell ref="D69:E69"/>
    <mergeCell ref="D118:E118"/>
  </mergeCells>
  <phoneticPr fontId="8" type="noConversion"/>
  <hyperlinks>
    <hyperlink ref="D28" location="'Palkat '!A1" display=" TyEL-työntekijöiden ja TyEL-yrittäjien rahapalkat tilikaudella" xr:uid="{00000000-0004-0000-0100-000000000000}"/>
  </hyperlinks>
  <printOptions horizontalCentered="1"/>
  <pageMargins left="0.23622047244094491" right="0.23622047244094491" top="0.55118110236220474" bottom="0.55118110236220474" header="0.31496062992125984" footer="0.31496062992125984"/>
  <pageSetup paperSize="9" scale="85" orientation="portrait" r:id="rId1"/>
  <headerFooter alignWithMargins="0">
    <oddFooter>&amp;C&amp;8YT5 ALOITTAVAN YRITYKSEN TALOUSSUUNNITELMA</oddFooter>
  </headerFooter>
  <rowBreaks count="1" manualBreakCount="1">
    <brk id="68" min="2" max="19" man="1"/>
  </rowBreaks>
  <colBreaks count="1" manualBreakCount="1">
    <brk id="8" min="3" max="131"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ul4">
    <tabColor rgb="FFFFFF00"/>
  </sheetPr>
  <dimension ref="A1:T224"/>
  <sheetViews>
    <sheetView showGridLines="0" showZeros="0" workbookViewId="0">
      <selection activeCell="B15" sqref="B15"/>
    </sheetView>
  </sheetViews>
  <sheetFormatPr defaultRowHeight="12.45"/>
  <cols>
    <col min="1" max="1" width="5.84375" customWidth="1"/>
    <col min="2" max="2" width="31" customWidth="1"/>
    <col min="3" max="5" width="11.84375" customWidth="1"/>
    <col min="6" max="6" width="1.84375" customWidth="1"/>
    <col min="7" max="7" width="6.84375" customWidth="1"/>
    <col min="8" max="8" width="6.53515625" customWidth="1"/>
    <col min="9" max="9" width="18.84375" customWidth="1"/>
    <col min="10" max="10" width="2.07421875" customWidth="1"/>
    <col min="11" max="20" width="9.3046875" customWidth="1"/>
  </cols>
  <sheetData>
    <row r="1" spans="2:20">
      <c r="B1" s="1695"/>
      <c r="C1" s="1695"/>
      <c r="D1" s="1695"/>
      <c r="E1" s="1695"/>
      <c r="F1" s="1695"/>
      <c r="G1" s="1695"/>
      <c r="H1" s="1695"/>
    </row>
    <row r="2" spans="2:20" ht="15" customHeight="1">
      <c r="B2" s="1696" t="s">
        <v>357</v>
      </c>
      <c r="C2" s="1682"/>
      <c r="D2" s="1682"/>
      <c r="E2" s="1682"/>
      <c r="F2" s="1682"/>
      <c r="G2" s="1682"/>
      <c r="H2" s="1682"/>
      <c r="I2" s="1682"/>
      <c r="K2" s="1694" t="s">
        <v>348</v>
      </c>
      <c r="L2" s="1694"/>
      <c r="N2" s="1680"/>
      <c r="O2" s="1680"/>
      <c r="P2" s="1680"/>
    </row>
    <row r="3" spans="2:20" ht="15" customHeight="1">
      <c r="B3" s="421"/>
      <c r="C3" s="421"/>
      <c r="D3" s="1678"/>
      <c r="E3" s="1678"/>
      <c r="F3" s="1678"/>
      <c r="G3" s="1678"/>
    </row>
    <row r="4" spans="2:20" ht="15" customHeight="1">
      <c r="B4" s="1683"/>
      <c r="C4" s="1683"/>
      <c r="D4" s="1683"/>
      <c r="E4" s="1683"/>
      <c r="F4" s="1683"/>
      <c r="G4" s="1683"/>
      <c r="H4" s="1683"/>
      <c r="I4" s="1683"/>
    </row>
    <row r="5" spans="2:20" ht="15" customHeight="1">
      <c r="B5" s="99" t="str">
        <f>'Kustannukset K1'!C5</f>
        <v>Yritystulkin tarjoavat</v>
      </c>
      <c r="D5" s="71"/>
      <c r="F5" s="1"/>
      <c r="G5" s="422" t="s">
        <v>0</v>
      </c>
      <c r="I5" s="2"/>
      <c r="K5" s="345"/>
      <c r="L5" s="345"/>
    </row>
    <row r="6" spans="2:20" ht="12" customHeight="1">
      <c r="B6" s="437" t="str">
        <f>'Kustannukset K1'!C6</f>
        <v>Iisalmi, Lapinlahti, Sonkajärvi, Vieremä</v>
      </c>
      <c r="C6" s="99"/>
      <c r="D6" s="2"/>
      <c r="E6" s="36"/>
      <c r="F6" s="39"/>
      <c r="G6" s="39"/>
    </row>
    <row r="7" spans="2:20" ht="12" customHeight="1">
      <c r="B7" s="423"/>
      <c r="C7" s="99"/>
      <c r="D7" s="2"/>
      <c r="E7" s="36"/>
      <c r="F7" s="39"/>
      <c r="G7" s="39"/>
    </row>
    <row r="8" spans="2:20" ht="12" customHeight="1">
      <c r="B8" s="99" t="s">
        <v>22</v>
      </c>
      <c r="F8" s="41" t="s">
        <v>0</v>
      </c>
      <c r="G8" s="41"/>
      <c r="H8" s="111"/>
    </row>
    <row r="9" spans="2:20" ht="13.5" customHeight="1">
      <c r="B9" s="1687">
        <f>'Kustannukset K1'!$C$9</f>
        <v>0</v>
      </c>
      <c r="C9" s="1687"/>
      <c r="D9" s="1687"/>
      <c r="E9" s="437"/>
      <c r="F9" s="1691"/>
      <c r="G9" s="1691"/>
      <c r="H9" s="1691"/>
      <c r="I9" s="1691"/>
      <c r="R9" s="2"/>
    </row>
    <row r="10" spans="2:20" ht="15" customHeight="1">
      <c r="B10" s="1"/>
      <c r="C10" s="1"/>
      <c r="D10" s="1"/>
      <c r="E10" s="1"/>
      <c r="F10" s="112"/>
      <c r="G10" s="112"/>
      <c r="H10" s="112"/>
    </row>
    <row r="11" spans="2:20" ht="12" customHeight="1">
      <c r="B11" s="1692">
        <f>IF(C13=12,0,"HUOMIOI TILIKAUDEN PITUUS!")</f>
        <v>0</v>
      </c>
      <c r="C11" s="802" t="s">
        <v>400</v>
      </c>
      <c r="D11" s="802" t="s">
        <v>401</v>
      </c>
      <c r="E11" s="802" t="s">
        <v>444</v>
      </c>
      <c r="F11" s="1"/>
      <c r="G11" s="1"/>
    </row>
    <row r="12" spans="2:20" ht="12" customHeight="1">
      <c r="B12" s="1692"/>
      <c r="C12" s="943">
        <f>'Kustannukset K1'!F$12</f>
        <v>2025</v>
      </c>
      <c r="D12" s="943">
        <f>'Kustannukset K1'!G$12</f>
        <v>2026</v>
      </c>
      <c r="E12" s="943">
        <f>'Kustannukset K1'!H$12</f>
        <v>2027</v>
      </c>
    </row>
    <row r="13" spans="2:20" ht="12" customHeight="1">
      <c r="B13" s="835" t="s">
        <v>554</v>
      </c>
      <c r="C13" s="944">
        <f>'Kustannukset K1'!F13</f>
        <v>12</v>
      </c>
      <c r="D13" s="944">
        <f>'Kustannukset K1'!G13</f>
        <v>12</v>
      </c>
      <c r="E13" s="944">
        <f>'Kustannukset K1'!H13</f>
        <v>12</v>
      </c>
      <c r="G13" s="1693"/>
      <c r="H13" s="1693"/>
      <c r="K13" s="340"/>
      <c r="L13" s="243"/>
      <c r="M13" s="243"/>
    </row>
    <row r="14" spans="2:20" ht="4.5" customHeight="1">
      <c r="B14" s="834"/>
      <c r="C14" s="98"/>
      <c r="D14" s="98"/>
      <c r="E14" s="98"/>
      <c r="F14" s="97"/>
      <c r="G14" s="97"/>
      <c r="H14" s="97"/>
      <c r="I14" s="97"/>
      <c r="K14" s="340"/>
      <c r="L14" s="340"/>
      <c r="M14" s="340"/>
      <c r="N14" s="340"/>
      <c r="O14" s="340"/>
      <c r="P14" s="340"/>
      <c r="Q14" s="340"/>
      <c r="R14" s="340"/>
      <c r="S14" s="340"/>
      <c r="T14" s="340"/>
    </row>
    <row r="15" spans="2:20" ht="12" customHeight="1">
      <c r="B15" s="594" t="s">
        <v>757</v>
      </c>
      <c r="C15" s="298">
        <v>0.24</v>
      </c>
      <c r="D15" s="297">
        <f>C15</f>
        <v>0.24</v>
      </c>
      <c r="E15" s="297">
        <f>D15</f>
        <v>0.24</v>
      </c>
      <c r="F15" s="1395"/>
      <c r="G15" s="965">
        <f>D12</f>
        <v>2026</v>
      </c>
      <c r="H15" s="965">
        <f>E12</f>
        <v>2027</v>
      </c>
      <c r="I15" s="966"/>
      <c r="K15" s="662" t="s">
        <v>773</v>
      </c>
      <c r="L15" s="673"/>
      <c r="M15" s="673"/>
      <c r="N15" s="673"/>
      <c r="O15" s="1038"/>
      <c r="P15" s="1038"/>
      <c r="Q15" s="1038"/>
      <c r="R15" s="1038"/>
      <c r="S15" s="1038"/>
      <c r="T15" s="1039"/>
    </row>
    <row r="16" spans="2:20" ht="12" customHeight="1">
      <c r="B16" s="593" t="s">
        <v>642</v>
      </c>
      <c r="C16" s="721">
        <v>0</v>
      </c>
      <c r="D16" s="721">
        <f>C16*(1+G16)</f>
        <v>0</v>
      </c>
      <c r="E16" s="722">
        <f>D16*(1+H16)</f>
        <v>0</v>
      </c>
      <c r="F16" s="808"/>
      <c r="G16" s="967">
        <v>0.03</v>
      </c>
      <c r="H16" s="968">
        <f>G16</f>
        <v>0.03</v>
      </c>
      <c r="I16" s="817" t="s">
        <v>553</v>
      </c>
      <c r="K16" s="1405" t="s">
        <v>0</v>
      </c>
      <c r="L16" s="1406"/>
      <c r="M16" s="1406"/>
      <c r="N16" s="1406"/>
      <c r="O16" s="1407"/>
      <c r="P16" s="1407"/>
      <c r="Q16" s="309"/>
      <c r="R16" s="309"/>
      <c r="S16" s="309"/>
      <c r="T16" s="1408"/>
    </row>
    <row r="17" spans="1:20" ht="12" customHeight="1">
      <c r="A17" s="154"/>
      <c r="B17" s="593" t="s">
        <v>9</v>
      </c>
      <c r="C17" s="723">
        <v>0</v>
      </c>
      <c r="D17" s="723">
        <f>C17*12/C$13+G17*C17*12/C$13</f>
        <v>0</v>
      </c>
      <c r="E17" s="724">
        <f>D17*(1+H17)</f>
        <v>0</v>
      </c>
      <c r="F17" s="808"/>
      <c r="G17" s="967">
        <v>0</v>
      </c>
      <c r="H17" s="968">
        <f>G17</f>
        <v>0</v>
      </c>
      <c r="I17" s="817" t="s">
        <v>347</v>
      </c>
      <c r="K17" s="663"/>
      <c r="L17" s="664"/>
      <c r="M17" s="664"/>
      <c r="N17" s="664"/>
      <c r="O17" s="664"/>
      <c r="P17" s="1047" t="s">
        <v>772</v>
      </c>
      <c r="Q17" s="664"/>
      <c r="R17" s="664"/>
      <c r="S17" s="664"/>
      <c r="T17" s="1401"/>
    </row>
    <row r="18" spans="1:20" ht="12" customHeight="1">
      <c r="B18" s="593" t="s">
        <v>64</v>
      </c>
      <c r="C18" s="725">
        <f>IF(C16=0,0,C17*C16/(1+C15))</f>
        <v>0</v>
      </c>
      <c r="D18" s="725">
        <f>IF(D16=0,0,D17*D16/(1+D15))</f>
        <v>0</v>
      </c>
      <c r="E18" s="729">
        <f>IF(E16=0,0,E17*E16/(1+E15))</f>
        <v>0</v>
      </c>
      <c r="F18" s="1396"/>
      <c r="G18" s="658"/>
      <c r="H18" s="658"/>
      <c r="I18" s="811"/>
      <c r="K18" s="663"/>
      <c r="L18" s="664"/>
      <c r="M18" s="664"/>
      <c r="N18" s="664"/>
      <c r="O18" s="664"/>
      <c r="P18" s="664"/>
      <c r="Q18" s="664"/>
      <c r="R18" s="664"/>
      <c r="S18" s="664"/>
      <c r="T18" s="1401"/>
    </row>
    <row r="19" spans="1:20" ht="12" customHeight="1">
      <c r="A19" s="154"/>
      <c r="B19" s="593" t="s">
        <v>643</v>
      </c>
      <c r="C19" s="721">
        <v>0</v>
      </c>
      <c r="D19" s="721">
        <f>C19*(1+G19)</f>
        <v>0</v>
      </c>
      <c r="E19" s="722">
        <f>D19*(1+H19)</f>
        <v>0</v>
      </c>
      <c r="F19" s="808"/>
      <c r="G19" s="967">
        <v>0.03</v>
      </c>
      <c r="H19" s="968">
        <f>G19</f>
        <v>0.03</v>
      </c>
      <c r="I19" s="817" t="s">
        <v>346</v>
      </c>
      <c r="K19" s="663"/>
      <c r="L19" s="664"/>
      <c r="M19" s="664"/>
      <c r="N19" s="664"/>
      <c r="O19" s="664"/>
      <c r="P19" s="664"/>
      <c r="Q19" s="664"/>
      <c r="R19" s="664"/>
      <c r="S19" s="664"/>
      <c r="T19" s="1401"/>
    </row>
    <row r="20" spans="1:20" ht="12" customHeight="1">
      <c r="A20" s="2"/>
      <c r="B20" s="593" t="s">
        <v>492</v>
      </c>
      <c r="C20" s="298">
        <v>0</v>
      </c>
      <c r="D20" s="298">
        <f>C20</f>
        <v>0</v>
      </c>
      <c r="E20" s="297">
        <f>D20</f>
        <v>0</v>
      </c>
      <c r="F20" s="1396" t="s">
        <v>0</v>
      </c>
      <c r="G20" s="658"/>
      <c r="H20" s="658"/>
      <c r="I20" s="811"/>
      <c r="K20" s="663"/>
      <c r="L20" s="664"/>
      <c r="M20" s="664"/>
      <c r="N20" s="664"/>
      <c r="O20" s="664"/>
      <c r="P20" s="664"/>
      <c r="Q20" s="664"/>
      <c r="R20" s="664"/>
      <c r="S20" s="664"/>
      <c r="T20" s="1401"/>
    </row>
    <row r="21" spans="1:20" ht="12" customHeight="1">
      <c r="A21" s="154"/>
      <c r="B21" s="593" t="s">
        <v>10</v>
      </c>
      <c r="C21" s="726">
        <f>IF(C16=0,0,(C16-(C19+(C19*C20)))/C16)</f>
        <v>0</v>
      </c>
      <c r="D21" s="726">
        <f>IF(D16=0,0,(D16-(D19+(D19*D20)))/D16)</f>
        <v>0</v>
      </c>
      <c r="E21" s="727">
        <f>IF(E16=0,0,(E16-(E19+(E19*E20)))/E16)</f>
        <v>0</v>
      </c>
      <c r="F21" s="1396"/>
      <c r="G21" s="658"/>
      <c r="H21" s="658"/>
      <c r="I21" s="811"/>
      <c r="K21" s="663"/>
      <c r="L21" s="664"/>
      <c r="M21" s="664"/>
      <c r="N21" s="664"/>
      <c r="O21" s="664"/>
      <c r="P21" s="664"/>
      <c r="Q21" s="664"/>
      <c r="R21" s="664"/>
      <c r="S21" s="664"/>
      <c r="T21" s="1401"/>
    </row>
    <row r="22" spans="1:20" ht="12" customHeight="1">
      <c r="B22" s="593" t="s">
        <v>644</v>
      </c>
      <c r="C22" s="728">
        <f>IF(C19=0,0,(C19/(1-C20))/(1+C15))</f>
        <v>0</v>
      </c>
      <c r="D22" s="728">
        <f>IF(D19=0,0,(D19/(1-D20))/(1+D15))</f>
        <v>0</v>
      </c>
      <c r="E22" s="738">
        <f>IF(E19=0,0,(E19/(1-E20))/(1+E15))</f>
        <v>0</v>
      </c>
      <c r="F22" s="1396"/>
      <c r="G22" s="658"/>
      <c r="H22" s="658"/>
      <c r="I22" s="811"/>
      <c r="K22" s="663"/>
      <c r="L22" s="664"/>
      <c r="M22" s="664"/>
      <c r="N22" s="664"/>
      <c r="O22" s="664"/>
      <c r="P22" s="664"/>
      <c r="Q22" s="664"/>
      <c r="R22" s="664"/>
      <c r="S22" s="664"/>
      <c r="T22" s="1401"/>
    </row>
    <row r="23" spans="1:20" ht="12" customHeight="1">
      <c r="A23" s="154"/>
      <c r="B23" s="593" t="s">
        <v>493</v>
      </c>
      <c r="C23" s="725">
        <f>C22*C17</f>
        <v>0</v>
      </c>
      <c r="D23" s="725">
        <f>D22*D17</f>
        <v>0</v>
      </c>
      <c r="E23" s="729">
        <f>E22*E17</f>
        <v>0</v>
      </c>
      <c r="F23" s="1396"/>
      <c r="G23" s="658"/>
      <c r="H23" s="658"/>
      <c r="I23" s="811"/>
      <c r="K23" s="663"/>
      <c r="L23" s="664"/>
      <c r="M23" s="664"/>
      <c r="N23" s="664"/>
      <c r="O23" s="664"/>
      <c r="P23" s="664"/>
      <c r="Q23" s="664"/>
      <c r="R23" s="664"/>
      <c r="S23" s="664"/>
      <c r="T23" s="1401"/>
    </row>
    <row r="24" spans="1:20" s="53" customFormat="1" ht="4.5" customHeight="1">
      <c r="B24" s="596"/>
      <c r="C24" s="940"/>
      <c r="D24" s="940"/>
      <c r="E24" s="940"/>
      <c r="F24" s="969"/>
      <c r="G24" s="832"/>
      <c r="H24" s="832"/>
      <c r="I24" s="970"/>
      <c r="K24" s="1403"/>
      <c r="L24" s="354"/>
      <c r="M24" s="354"/>
      <c r="N24" s="354"/>
      <c r="O24" s="354"/>
      <c r="P24" s="354"/>
      <c r="Q24" s="354"/>
      <c r="R24" s="354"/>
      <c r="S24" s="354"/>
      <c r="T24" s="1404"/>
    </row>
    <row r="25" spans="1:20" ht="12" customHeight="1">
      <c r="A25" s="154"/>
      <c r="B25" s="634"/>
      <c r="C25" s="298">
        <v>0.24</v>
      </c>
      <c r="D25" s="297">
        <f>C25</f>
        <v>0.24</v>
      </c>
      <c r="E25" s="297">
        <f>D25</f>
        <v>0.24</v>
      </c>
      <c r="F25" s="1397"/>
      <c r="G25" s="1579"/>
      <c r="H25" s="1576"/>
      <c r="I25" s="971"/>
      <c r="K25" s="663"/>
      <c r="L25" s="664"/>
      <c r="M25" s="664"/>
      <c r="N25" s="664"/>
      <c r="O25" s="664"/>
      <c r="P25" s="664"/>
      <c r="Q25" s="664"/>
      <c r="R25" s="664"/>
      <c r="S25" s="664"/>
      <c r="T25" s="1401"/>
    </row>
    <row r="26" spans="1:20" ht="12" customHeight="1">
      <c r="A26" s="2"/>
      <c r="B26" s="595" t="s">
        <v>642</v>
      </c>
      <c r="C26" s="721">
        <v>0</v>
      </c>
      <c r="D26" s="721">
        <f>C26*(1+G26)</f>
        <v>0</v>
      </c>
      <c r="E26" s="722">
        <f>D26*(1+H26)</f>
        <v>0</v>
      </c>
      <c r="F26" s="808"/>
      <c r="G26" s="967">
        <v>0.03</v>
      </c>
      <c r="H26" s="968">
        <f>G26</f>
        <v>0.03</v>
      </c>
      <c r="I26" s="817" t="s">
        <v>346</v>
      </c>
      <c r="K26" s="663"/>
      <c r="L26" s="664"/>
      <c r="M26" s="664"/>
      <c r="N26" s="664"/>
      <c r="O26" s="664"/>
      <c r="P26" s="664"/>
      <c r="Q26" s="664"/>
      <c r="R26" s="664"/>
      <c r="S26" s="664"/>
      <c r="T26" s="1401"/>
    </row>
    <row r="27" spans="1:20" ht="12" customHeight="1">
      <c r="B27" s="593" t="s">
        <v>9</v>
      </c>
      <c r="C27" s="723">
        <v>0</v>
      </c>
      <c r="D27" s="723">
        <f>C27*12/C$13+G27*C27*12/C$13</f>
        <v>0</v>
      </c>
      <c r="E27" s="724">
        <f>D27*(1+H27)</f>
        <v>0</v>
      </c>
      <c r="F27" s="808" t="s">
        <v>0</v>
      </c>
      <c r="G27" s="967">
        <v>0</v>
      </c>
      <c r="H27" s="968">
        <f>G27</f>
        <v>0</v>
      </c>
      <c r="I27" s="817" t="s">
        <v>347</v>
      </c>
      <c r="K27" s="663"/>
      <c r="L27" s="664"/>
      <c r="M27" s="664"/>
      <c r="N27" s="664"/>
      <c r="O27" s="664"/>
      <c r="P27" s="664"/>
      <c r="Q27" s="664"/>
      <c r="R27" s="664"/>
      <c r="S27" s="664"/>
      <c r="T27" s="1401"/>
    </row>
    <row r="28" spans="1:20" ht="12" customHeight="1">
      <c r="B28" s="593" t="s">
        <v>64</v>
      </c>
      <c r="C28" s="725">
        <f>IF(C26=0,0,C27*C26/(1+C25))</f>
        <v>0</v>
      </c>
      <c r="D28" s="725">
        <f>IF(D26=0,0,D27*D26/(1+D25))</f>
        <v>0</v>
      </c>
      <c r="E28" s="729">
        <f>IF(E26=0,0,E27*E26/(1+E25))</f>
        <v>0</v>
      </c>
      <c r="F28" s="1396"/>
      <c r="G28" s="658"/>
      <c r="H28" s="658"/>
      <c r="I28" s="811"/>
      <c r="K28" s="663"/>
      <c r="L28" s="664"/>
      <c r="M28" s="664"/>
      <c r="N28" s="664"/>
      <c r="O28" s="664"/>
      <c r="P28" s="664"/>
      <c r="Q28" s="664"/>
      <c r="R28" s="664"/>
      <c r="S28" s="664"/>
      <c r="T28" s="1401"/>
    </row>
    <row r="29" spans="1:20" ht="12" customHeight="1">
      <c r="B29" s="593" t="s">
        <v>643</v>
      </c>
      <c r="C29" s="721">
        <v>0</v>
      </c>
      <c r="D29" s="721">
        <f>C29*(1+G29)</f>
        <v>0</v>
      </c>
      <c r="E29" s="722">
        <f>D29*(1+H29)</f>
        <v>0</v>
      </c>
      <c r="F29" s="808"/>
      <c r="G29" s="967">
        <v>0.03</v>
      </c>
      <c r="H29" s="968">
        <f>G29</f>
        <v>0.03</v>
      </c>
      <c r="I29" s="817" t="s">
        <v>346</v>
      </c>
      <c r="K29" s="663"/>
      <c r="L29" s="664"/>
      <c r="M29" s="664"/>
      <c r="N29" s="664"/>
      <c r="O29" s="664"/>
      <c r="P29" s="664"/>
      <c r="Q29" s="664"/>
      <c r="R29" s="664"/>
      <c r="S29" s="664"/>
      <c r="T29" s="1401"/>
    </row>
    <row r="30" spans="1:20" ht="12" customHeight="1">
      <c r="B30" s="593" t="s">
        <v>492</v>
      </c>
      <c r="C30" s="298">
        <v>0</v>
      </c>
      <c r="D30" s="298">
        <f>C30</f>
        <v>0</v>
      </c>
      <c r="E30" s="297">
        <f>D30</f>
        <v>0</v>
      </c>
      <c r="F30" s="1396">
        <v>0</v>
      </c>
      <c r="G30" s="658"/>
      <c r="H30" s="658"/>
      <c r="I30" s="811"/>
      <c r="K30" s="663"/>
      <c r="L30" s="664"/>
      <c r="M30" s="664"/>
      <c r="N30" s="664"/>
      <c r="O30" s="664"/>
      <c r="P30" s="664"/>
      <c r="Q30" s="664"/>
      <c r="R30" s="664"/>
      <c r="S30" s="664"/>
      <c r="T30" s="1401"/>
    </row>
    <row r="31" spans="1:20" ht="12" customHeight="1">
      <c r="B31" s="593" t="s">
        <v>10</v>
      </c>
      <c r="C31" s="726">
        <f>IF(C26=0,0,(C26-(C29+(C29*C30)))/C26)</f>
        <v>0</v>
      </c>
      <c r="D31" s="726">
        <f>IF(D26=0,0,(D26-(D29+(D29*D30)))/D26)</f>
        <v>0</v>
      </c>
      <c r="E31" s="727">
        <f>IF(E26=0,0,(E26-(E29+(E29*E30)))/E26)</f>
        <v>0</v>
      </c>
      <c r="F31" s="1396"/>
      <c r="G31" s="658"/>
      <c r="H31" s="658"/>
      <c r="I31" s="811"/>
      <c r="K31" s="663"/>
      <c r="L31" s="664"/>
      <c r="M31" s="664"/>
      <c r="N31" s="664"/>
      <c r="O31" s="664"/>
      <c r="P31" s="664"/>
      <c r="Q31" s="664"/>
      <c r="R31" s="664"/>
      <c r="S31" s="664"/>
      <c r="T31" s="1401"/>
    </row>
    <row r="32" spans="1:20" ht="12" customHeight="1">
      <c r="B32" s="593" t="s">
        <v>644</v>
      </c>
      <c r="C32" s="728">
        <f>IF(C29=0,0,(C29/(1-C30))/(1+C25))</f>
        <v>0</v>
      </c>
      <c r="D32" s="728">
        <f>IF(D29=0,0,(D29/(1-D30))/(1+D25))</f>
        <v>0</v>
      </c>
      <c r="E32" s="738">
        <f>IF(E29=0,0,(E29/(1-E30))/(1+E25))</f>
        <v>0</v>
      </c>
      <c r="F32" s="1396"/>
      <c r="G32" s="658"/>
      <c r="H32" s="658"/>
      <c r="I32" s="811"/>
      <c r="K32" s="663"/>
      <c r="L32" s="664"/>
      <c r="M32" s="664"/>
      <c r="N32" s="664"/>
      <c r="O32" s="664"/>
      <c r="P32" s="664"/>
      <c r="Q32" s="664"/>
      <c r="R32" s="664"/>
      <c r="S32" s="664"/>
      <c r="T32" s="1401"/>
    </row>
    <row r="33" spans="2:20" ht="12" customHeight="1">
      <c r="B33" s="593" t="s">
        <v>493</v>
      </c>
      <c r="C33" s="725">
        <f>C32*C27</f>
        <v>0</v>
      </c>
      <c r="D33" s="725">
        <f>D32*D27</f>
        <v>0</v>
      </c>
      <c r="E33" s="729">
        <f>E32*E27</f>
        <v>0</v>
      </c>
      <c r="F33" s="1396"/>
      <c r="G33" s="658"/>
      <c r="H33" s="658"/>
      <c r="I33" s="811"/>
      <c r="K33" s="663"/>
      <c r="L33" s="664"/>
      <c r="M33" s="664"/>
      <c r="N33" s="664"/>
      <c r="O33" s="664"/>
      <c r="P33" s="664"/>
      <c r="Q33" s="664"/>
      <c r="R33" s="664"/>
      <c r="S33" s="664"/>
      <c r="T33" s="1401"/>
    </row>
    <row r="34" spans="2:20" s="53" customFormat="1" ht="4.5" customHeight="1">
      <c r="B34" s="596"/>
      <c r="C34" s="940"/>
      <c r="D34" s="940"/>
      <c r="E34" s="940"/>
      <c r="F34" s="969"/>
      <c r="G34" s="832"/>
      <c r="H34" s="832"/>
      <c r="I34" s="970"/>
      <c r="K34" s="1403"/>
      <c r="L34" s="354"/>
      <c r="M34" s="354"/>
      <c r="N34" s="354"/>
      <c r="O34" s="354"/>
      <c r="P34" s="354"/>
      <c r="Q34" s="354"/>
      <c r="R34" s="354"/>
      <c r="S34" s="354"/>
      <c r="T34" s="1404"/>
    </row>
    <row r="35" spans="2:20" ht="12" customHeight="1">
      <c r="B35" s="634"/>
      <c r="C35" s="298">
        <v>0.24</v>
      </c>
      <c r="D35" s="297">
        <f>C35</f>
        <v>0.24</v>
      </c>
      <c r="E35" s="297">
        <f>D35</f>
        <v>0.24</v>
      </c>
      <c r="F35" s="1397"/>
      <c r="G35" s="1576"/>
      <c r="H35" s="1576"/>
      <c r="I35" s="971"/>
      <c r="K35" s="663"/>
      <c r="L35" s="664"/>
      <c r="M35" s="664"/>
      <c r="N35" s="664"/>
      <c r="O35" s="664"/>
      <c r="P35" s="664"/>
      <c r="Q35" s="664"/>
      <c r="R35" s="664"/>
      <c r="S35" s="664"/>
      <c r="T35" s="1401"/>
    </row>
    <row r="36" spans="2:20" ht="12" customHeight="1">
      <c r="B36" s="595" t="s">
        <v>642</v>
      </c>
      <c r="C36" s="721">
        <v>0</v>
      </c>
      <c r="D36" s="721">
        <f>C36*(1+G36)</f>
        <v>0</v>
      </c>
      <c r="E36" s="722">
        <f>D36*(1+H36)</f>
        <v>0</v>
      </c>
      <c r="F36" s="808"/>
      <c r="G36" s="967">
        <v>0.03</v>
      </c>
      <c r="H36" s="968">
        <f>G36</f>
        <v>0.03</v>
      </c>
      <c r="I36" s="817" t="s">
        <v>346</v>
      </c>
      <c r="K36" s="1045"/>
      <c r="L36" s="664"/>
      <c r="M36" s="664"/>
      <c r="N36" s="664"/>
      <c r="O36" s="664"/>
      <c r="P36" s="664"/>
      <c r="Q36" s="664"/>
      <c r="R36" s="664"/>
      <c r="S36" s="664"/>
      <c r="T36" s="1401"/>
    </row>
    <row r="37" spans="2:20" ht="12" customHeight="1">
      <c r="B37" s="593" t="s">
        <v>9</v>
      </c>
      <c r="C37" s="723">
        <v>0</v>
      </c>
      <c r="D37" s="723">
        <f>C37*12/C$13+G37*C37*12/C$13</f>
        <v>0</v>
      </c>
      <c r="E37" s="731">
        <f>D37*(1+H37)</f>
        <v>0</v>
      </c>
      <c r="F37" s="808"/>
      <c r="G37" s="967">
        <v>0</v>
      </c>
      <c r="H37" s="968">
        <f>G37</f>
        <v>0</v>
      </c>
      <c r="I37" s="817" t="s">
        <v>347</v>
      </c>
      <c r="K37" s="663"/>
      <c r="L37" s="664"/>
      <c r="M37" s="664"/>
      <c r="N37" s="664"/>
      <c r="O37" s="664"/>
      <c r="P37" s="664"/>
      <c r="Q37" s="664"/>
      <c r="R37" s="664"/>
      <c r="S37" s="664"/>
      <c r="T37" s="1401"/>
    </row>
    <row r="38" spans="2:20" ht="12" customHeight="1">
      <c r="B38" s="593" t="s">
        <v>64</v>
      </c>
      <c r="C38" s="725">
        <f>IF(C36=0,0,C37*C36/(1+C35))</f>
        <v>0</v>
      </c>
      <c r="D38" s="725">
        <f>IF(D36=0,0,D37*D36/(1+D35))</f>
        <v>0</v>
      </c>
      <c r="E38" s="729">
        <f>IF(E36=0,0,E37*E36/(1+E35))</f>
        <v>0</v>
      </c>
      <c r="F38" s="1396"/>
      <c r="G38" s="658"/>
      <c r="H38" s="658"/>
      <c r="I38" s="811"/>
      <c r="K38" s="663"/>
      <c r="L38" s="664"/>
      <c r="M38" s="664"/>
      <c r="N38" s="664"/>
      <c r="O38" s="664"/>
      <c r="P38" s="664"/>
      <c r="Q38" s="664"/>
      <c r="R38" s="664"/>
      <c r="S38" s="664"/>
      <c r="T38" s="1401"/>
    </row>
    <row r="39" spans="2:20" ht="12" customHeight="1">
      <c r="B39" s="593" t="s">
        <v>643</v>
      </c>
      <c r="C39" s="721">
        <v>0</v>
      </c>
      <c r="D39" s="721">
        <f>C39*(1+G39)</f>
        <v>0</v>
      </c>
      <c r="E39" s="722">
        <f>D39*(1+H39)</f>
        <v>0</v>
      </c>
      <c r="F39" s="808"/>
      <c r="G39" s="967">
        <v>0.03</v>
      </c>
      <c r="H39" s="968">
        <f>G39</f>
        <v>0.03</v>
      </c>
      <c r="I39" s="817" t="s">
        <v>346</v>
      </c>
      <c r="K39" s="663"/>
      <c r="L39" s="664"/>
      <c r="M39" s="664"/>
      <c r="N39" s="664"/>
      <c r="O39" s="664"/>
      <c r="P39" s="664"/>
      <c r="Q39" s="664"/>
      <c r="R39" s="664"/>
      <c r="S39" s="664"/>
      <c r="T39" s="1401"/>
    </row>
    <row r="40" spans="2:20" ht="12" customHeight="1">
      <c r="B40" s="593" t="s">
        <v>492</v>
      </c>
      <c r="C40" s="298">
        <v>0</v>
      </c>
      <c r="D40" s="298">
        <f>C40</f>
        <v>0</v>
      </c>
      <c r="E40" s="297">
        <f>D40</f>
        <v>0</v>
      </c>
      <c r="F40" s="1396"/>
      <c r="G40" s="658"/>
      <c r="H40" s="658"/>
      <c r="I40" s="811"/>
      <c r="K40" s="663"/>
      <c r="L40" s="664"/>
      <c r="M40" s="664"/>
      <c r="N40" s="664"/>
      <c r="O40" s="664"/>
      <c r="P40" s="664"/>
      <c r="Q40" s="664"/>
      <c r="R40" s="664"/>
      <c r="S40" s="664"/>
      <c r="T40" s="1401"/>
    </row>
    <row r="41" spans="2:20" ht="12" customHeight="1">
      <c r="B41" s="593" t="s">
        <v>10</v>
      </c>
      <c r="C41" s="726">
        <f>IF(C36=0,0,(C36-(C39+(C39*C40)))/C36)</f>
        <v>0</v>
      </c>
      <c r="D41" s="726">
        <f>IF(D36=0,0,(D36-(D39+(D39*D40)))/D36)</f>
        <v>0</v>
      </c>
      <c r="E41" s="727">
        <f>IF(E36=0,0,(E36-(E39+(E39*E40)))/E36)</f>
        <v>0</v>
      </c>
      <c r="F41" s="1396"/>
      <c r="G41" s="658"/>
      <c r="H41" s="658"/>
      <c r="I41" s="811"/>
      <c r="K41" s="663"/>
      <c r="L41" s="664"/>
      <c r="M41" s="664"/>
      <c r="N41" s="664"/>
      <c r="O41" s="664"/>
      <c r="P41" s="664"/>
      <c r="Q41" s="664"/>
      <c r="R41" s="664"/>
      <c r="S41" s="664"/>
      <c r="T41" s="1401"/>
    </row>
    <row r="42" spans="2:20" ht="12" customHeight="1">
      <c r="B42" s="593" t="s">
        <v>644</v>
      </c>
      <c r="C42" s="728">
        <f>IF(C39=0,0,(C39/(1-C40))/(1+C35))</f>
        <v>0</v>
      </c>
      <c r="D42" s="728">
        <f>IF(D39=0,0,(D39/(1-D40))/(1+D35))</f>
        <v>0</v>
      </c>
      <c r="E42" s="738">
        <f>IF(E39=0,0,(E39/(1-E40))/(1+E35))</f>
        <v>0</v>
      </c>
      <c r="F42" s="1396"/>
      <c r="G42" s="658"/>
      <c r="H42" s="658"/>
      <c r="I42" s="811"/>
      <c r="K42" s="663"/>
      <c r="L42" s="664"/>
      <c r="M42" s="664"/>
      <c r="N42" s="664"/>
      <c r="O42" s="664"/>
      <c r="P42" s="664"/>
      <c r="Q42" s="664"/>
      <c r="R42" s="664"/>
      <c r="S42" s="664"/>
      <c r="T42" s="1401"/>
    </row>
    <row r="43" spans="2:20" ht="12" customHeight="1">
      <c r="B43" s="593" t="s">
        <v>493</v>
      </c>
      <c r="C43" s="725">
        <f>C42*C37</f>
        <v>0</v>
      </c>
      <c r="D43" s="725">
        <f>D42*D37</f>
        <v>0</v>
      </c>
      <c r="E43" s="729">
        <f>E42*E37</f>
        <v>0</v>
      </c>
      <c r="F43" s="1396"/>
      <c r="G43" s="658"/>
      <c r="H43" s="658"/>
      <c r="I43" s="811"/>
      <c r="K43" s="663"/>
      <c r="L43" s="664"/>
      <c r="M43" s="664"/>
      <c r="N43" s="664"/>
      <c r="O43" s="664"/>
      <c r="P43" s="664"/>
      <c r="Q43" s="664"/>
      <c r="R43" s="664"/>
      <c r="S43" s="664"/>
      <c r="T43" s="1401"/>
    </row>
    <row r="44" spans="2:20" s="53" customFormat="1" ht="4.5" customHeight="1">
      <c r="B44" s="596"/>
      <c r="C44" s="940"/>
      <c r="D44" s="940"/>
      <c r="E44" s="940"/>
      <c r="F44" s="972"/>
      <c r="G44" s="833"/>
      <c r="H44" s="833"/>
      <c r="I44" s="970"/>
      <c r="K44" s="1403"/>
      <c r="L44" s="354"/>
      <c r="M44" s="354"/>
      <c r="N44" s="354"/>
      <c r="O44" s="354"/>
      <c r="P44" s="354"/>
      <c r="Q44" s="354"/>
      <c r="R44" s="354"/>
      <c r="S44" s="354"/>
      <c r="T44" s="1404"/>
    </row>
    <row r="45" spans="2:20" ht="12" customHeight="1">
      <c r="B45" s="634"/>
      <c r="C45" s="298">
        <v>0.24</v>
      </c>
      <c r="D45" s="297">
        <f>C45</f>
        <v>0.24</v>
      </c>
      <c r="E45" s="297">
        <f>D45</f>
        <v>0.24</v>
      </c>
      <c r="F45" s="1397"/>
      <c r="G45" s="1579"/>
      <c r="H45" s="1579"/>
      <c r="I45" s="971"/>
      <c r="K45" s="663"/>
      <c r="L45" s="664"/>
      <c r="M45" s="664"/>
      <c r="N45" s="664"/>
      <c r="O45" s="664"/>
      <c r="P45" s="664"/>
      <c r="Q45" s="664"/>
      <c r="R45" s="664"/>
      <c r="S45" s="664"/>
      <c r="T45" s="1401"/>
    </row>
    <row r="46" spans="2:20" ht="12" customHeight="1">
      <c r="B46" s="595" t="s">
        <v>642</v>
      </c>
      <c r="C46" s="721">
        <v>0</v>
      </c>
      <c r="D46" s="732">
        <f>C46*(1+G46)</f>
        <v>0</v>
      </c>
      <c r="E46" s="732">
        <f>D46*(1+H46)</f>
        <v>0</v>
      </c>
      <c r="F46" s="808"/>
      <c r="G46" s="967">
        <v>0.03</v>
      </c>
      <c r="H46" s="968">
        <f>G46</f>
        <v>0.03</v>
      </c>
      <c r="I46" s="817" t="s">
        <v>346</v>
      </c>
      <c r="K46" s="663"/>
      <c r="L46" s="664"/>
      <c r="M46" s="664"/>
      <c r="N46" s="664"/>
      <c r="O46" s="664"/>
      <c r="P46" s="664"/>
      <c r="Q46" s="664"/>
      <c r="R46" s="664"/>
      <c r="S46" s="664"/>
      <c r="T46" s="1401"/>
    </row>
    <row r="47" spans="2:20" ht="12" customHeight="1">
      <c r="B47" s="593" t="s">
        <v>9</v>
      </c>
      <c r="C47" s="723">
        <v>0</v>
      </c>
      <c r="D47" s="731">
        <f>C47*12/C$13+G47*C47*12/C$13</f>
        <v>0</v>
      </c>
      <c r="E47" s="731">
        <f>D47*(1+H47)</f>
        <v>0</v>
      </c>
      <c r="F47" s="808"/>
      <c r="G47" s="967">
        <v>0</v>
      </c>
      <c r="H47" s="968">
        <f>G47</f>
        <v>0</v>
      </c>
      <c r="I47" s="817" t="s">
        <v>347</v>
      </c>
      <c r="K47" s="663"/>
      <c r="L47" s="664"/>
      <c r="M47" s="664"/>
      <c r="N47" s="664"/>
      <c r="O47" s="664"/>
      <c r="P47" s="664"/>
      <c r="Q47" s="664"/>
      <c r="R47" s="664"/>
      <c r="S47" s="664"/>
      <c r="T47" s="1401"/>
    </row>
    <row r="48" spans="2:20" ht="12" customHeight="1">
      <c r="B48" s="593" t="s">
        <v>64</v>
      </c>
      <c r="C48" s="725">
        <f>IF(C46=0,0,C47*C46/(1+C45))</f>
        <v>0</v>
      </c>
      <c r="D48" s="725">
        <f>IF(D46=0,0,D47*D46/(1+D45))</f>
        <v>0</v>
      </c>
      <c r="E48" s="729">
        <f>IF(E46=0,0,E47*E46/(1+E45))</f>
        <v>0</v>
      </c>
      <c r="F48" s="1396"/>
      <c r="G48" s="658"/>
      <c r="H48" s="658"/>
      <c r="I48" s="811"/>
      <c r="K48" s="663"/>
      <c r="L48" s="664"/>
      <c r="M48" s="664"/>
      <c r="N48" s="664"/>
      <c r="O48" s="664"/>
      <c r="P48" s="664"/>
      <c r="Q48" s="664"/>
      <c r="R48" s="664"/>
      <c r="S48" s="664"/>
      <c r="T48" s="1401"/>
    </row>
    <row r="49" spans="2:20" ht="12" customHeight="1">
      <c r="B49" s="593" t="s">
        <v>643</v>
      </c>
      <c r="C49" s="721">
        <v>0</v>
      </c>
      <c r="D49" s="722">
        <f>C49*(1+G49)</f>
        <v>0</v>
      </c>
      <c r="E49" s="722">
        <f>D49*(1+H49)</f>
        <v>0</v>
      </c>
      <c r="F49" s="808"/>
      <c r="G49" s="967">
        <v>0.03</v>
      </c>
      <c r="H49" s="968">
        <f>G49</f>
        <v>0.03</v>
      </c>
      <c r="I49" s="817" t="s">
        <v>346</v>
      </c>
      <c r="K49" s="663"/>
      <c r="L49" s="664"/>
      <c r="M49" s="664"/>
      <c r="N49" s="664"/>
      <c r="O49" s="664"/>
      <c r="P49" s="664"/>
      <c r="Q49" s="664"/>
      <c r="R49" s="664"/>
      <c r="S49" s="664"/>
      <c r="T49" s="1401"/>
    </row>
    <row r="50" spans="2:20" ht="12" customHeight="1">
      <c r="B50" s="593" t="s">
        <v>492</v>
      </c>
      <c r="C50" s="298">
        <v>0</v>
      </c>
      <c r="D50" s="297">
        <f>C50</f>
        <v>0</v>
      </c>
      <c r="E50" s="297">
        <f>D50</f>
        <v>0</v>
      </c>
      <c r="F50" s="1396"/>
      <c r="G50" s="658"/>
      <c r="H50" s="658"/>
      <c r="I50" s="811"/>
      <c r="K50" s="663"/>
      <c r="L50" s="664"/>
      <c r="M50" s="664"/>
      <c r="N50" s="664"/>
      <c r="O50" s="664"/>
      <c r="P50" s="664"/>
      <c r="Q50" s="664"/>
      <c r="R50" s="664"/>
      <c r="S50" s="664"/>
      <c r="T50" s="1401"/>
    </row>
    <row r="51" spans="2:20" ht="12" customHeight="1">
      <c r="B51" s="593" t="s">
        <v>10</v>
      </c>
      <c r="C51" s="726">
        <f>IF(C46=0,0,(C46-(C49+(C49*C50)))/C46)</f>
        <v>0</v>
      </c>
      <c r="D51" s="726">
        <f>IF(D46=0,0,(D46-(D49+(D49*D50)))/D46)</f>
        <v>0</v>
      </c>
      <c r="E51" s="727">
        <f>IF(E46=0,0,(E46-(E49+(E49*E50)))/E46)</f>
        <v>0</v>
      </c>
      <c r="F51" s="1396"/>
      <c r="G51" s="658"/>
      <c r="H51" s="658"/>
      <c r="I51" s="811"/>
      <c r="K51" s="663"/>
      <c r="L51" s="664"/>
      <c r="M51" s="664"/>
      <c r="N51" s="664"/>
      <c r="O51" s="664"/>
      <c r="P51" s="664"/>
      <c r="Q51" s="664"/>
      <c r="R51" s="664"/>
      <c r="S51" s="664"/>
      <c r="T51" s="1401"/>
    </row>
    <row r="52" spans="2:20" ht="12" customHeight="1">
      <c r="B52" s="593" t="s">
        <v>644</v>
      </c>
      <c r="C52" s="728">
        <f>IF(C49=0,0,(C49/(1-C50))/(1+C45))</f>
        <v>0</v>
      </c>
      <c r="D52" s="728">
        <f>IF(D49=0,0,(D49/(1-D50))/(1+D45))</f>
        <v>0</v>
      </c>
      <c r="E52" s="738">
        <f>IF(E49=0,0,(E49/(1-E50))/(1+E45))</f>
        <v>0</v>
      </c>
      <c r="F52" s="1396"/>
      <c r="G52" s="658"/>
      <c r="H52" s="658"/>
      <c r="I52" s="811"/>
      <c r="K52" s="663"/>
      <c r="L52" s="664"/>
      <c r="M52" s="664"/>
      <c r="N52" s="664"/>
      <c r="O52" s="664"/>
      <c r="P52" s="664"/>
      <c r="Q52" s="664"/>
      <c r="R52" s="664"/>
      <c r="S52" s="664"/>
      <c r="T52" s="1401"/>
    </row>
    <row r="53" spans="2:20" ht="12" customHeight="1">
      <c r="B53" s="593" t="s">
        <v>493</v>
      </c>
      <c r="C53" s="725">
        <f>C52*C47</f>
        <v>0</v>
      </c>
      <c r="D53" s="725">
        <f>D52*D47</f>
        <v>0</v>
      </c>
      <c r="E53" s="729">
        <f>E52*E47</f>
        <v>0</v>
      </c>
      <c r="F53" s="1396" t="s">
        <v>0</v>
      </c>
      <c r="G53" s="658"/>
      <c r="H53" s="658"/>
      <c r="I53" s="811"/>
      <c r="K53" s="663"/>
      <c r="L53" s="664"/>
      <c r="M53" s="664"/>
      <c r="N53" s="664"/>
      <c r="O53" s="664"/>
      <c r="P53" s="664"/>
      <c r="Q53" s="664"/>
      <c r="R53" s="664"/>
      <c r="S53" s="664"/>
      <c r="T53" s="1401"/>
    </row>
    <row r="54" spans="2:20" s="53" customFormat="1" ht="4.5" customHeight="1">
      <c r="B54" s="596"/>
      <c r="C54" s="940"/>
      <c r="D54" s="940"/>
      <c r="E54" s="940"/>
      <c r="F54" s="972"/>
      <c r="G54" s="833"/>
      <c r="H54" s="833"/>
      <c r="I54" s="970"/>
      <c r="K54" s="1403"/>
      <c r="L54" s="354"/>
      <c r="M54" s="354"/>
      <c r="N54" s="354"/>
      <c r="O54" s="354"/>
      <c r="P54" s="354"/>
      <c r="Q54" s="354"/>
      <c r="R54" s="354"/>
      <c r="S54" s="354"/>
      <c r="T54" s="1404"/>
    </row>
    <row r="55" spans="2:20" ht="12" customHeight="1">
      <c r="B55" s="634" t="s">
        <v>868</v>
      </c>
      <c r="C55" s="297">
        <v>0.24</v>
      </c>
      <c r="D55" s="297">
        <f>C55</f>
        <v>0.24</v>
      </c>
      <c r="E55" s="297">
        <f>D55</f>
        <v>0.24</v>
      </c>
      <c r="F55" s="1397"/>
      <c r="G55" s="1579"/>
      <c r="H55" s="1579"/>
      <c r="I55" s="971"/>
      <c r="K55" s="663"/>
      <c r="L55" s="664"/>
      <c r="M55" s="664"/>
      <c r="N55" s="664"/>
      <c r="O55" s="664"/>
      <c r="P55" s="664"/>
      <c r="Q55" s="664"/>
      <c r="R55" s="664"/>
      <c r="S55" s="664"/>
      <c r="T55" s="1401"/>
    </row>
    <row r="56" spans="2:20" ht="12" customHeight="1">
      <c r="B56" s="595" t="s">
        <v>642</v>
      </c>
      <c r="C56" s="721">
        <v>0</v>
      </c>
      <c r="D56" s="722">
        <f>C56*(1+G56)</f>
        <v>0</v>
      </c>
      <c r="E56" s="722">
        <f>D56*(1+H56)</f>
        <v>0</v>
      </c>
      <c r="F56" s="808"/>
      <c r="G56" s="967">
        <v>0.03</v>
      </c>
      <c r="H56" s="968">
        <f>G56</f>
        <v>0.03</v>
      </c>
      <c r="I56" s="817" t="s">
        <v>346</v>
      </c>
      <c r="K56" s="663"/>
      <c r="L56" s="664"/>
      <c r="M56" s="664"/>
      <c r="N56" s="664"/>
      <c r="O56" s="664"/>
      <c r="P56" s="664"/>
      <c r="Q56" s="664"/>
      <c r="R56" s="664"/>
      <c r="S56" s="664"/>
      <c r="T56" s="1401"/>
    </row>
    <row r="57" spans="2:20" ht="12" customHeight="1">
      <c r="B57" s="593" t="s">
        <v>9</v>
      </c>
      <c r="C57" s="723">
        <v>0</v>
      </c>
      <c r="D57" s="731">
        <f>C57*12/C$13+G57*C57*12/C$13</f>
        <v>0</v>
      </c>
      <c r="E57" s="731">
        <f>D57*(1+H57)</f>
        <v>0</v>
      </c>
      <c r="F57" s="808"/>
      <c r="G57" s="967">
        <v>0</v>
      </c>
      <c r="H57" s="968">
        <f>G57</f>
        <v>0</v>
      </c>
      <c r="I57" s="817" t="s">
        <v>347</v>
      </c>
      <c r="K57" s="663"/>
      <c r="L57" s="664"/>
      <c r="M57" s="664"/>
      <c r="N57" s="664"/>
      <c r="O57" s="664"/>
      <c r="P57" s="664"/>
      <c r="Q57" s="664"/>
      <c r="R57" s="664"/>
      <c r="S57" s="664"/>
      <c r="T57" s="1401"/>
    </row>
    <row r="58" spans="2:20" ht="12" customHeight="1">
      <c r="B58" s="593" t="s">
        <v>739</v>
      </c>
      <c r="C58" s="723">
        <v>0</v>
      </c>
      <c r="D58" s="722">
        <f>C58*(1+G58)</f>
        <v>0</v>
      </c>
      <c r="E58" s="722">
        <f>D58*(1+H58)</f>
        <v>0</v>
      </c>
      <c r="F58" s="808"/>
      <c r="G58" s="967">
        <v>0.03</v>
      </c>
      <c r="H58" s="968">
        <f>G58</f>
        <v>0.03</v>
      </c>
      <c r="I58" s="817" t="s">
        <v>346</v>
      </c>
      <c r="K58" s="663"/>
      <c r="L58" s="664"/>
      <c r="M58" s="664"/>
      <c r="N58" s="664"/>
      <c r="O58" s="664"/>
      <c r="P58" s="664"/>
      <c r="Q58" s="664"/>
      <c r="R58" s="664"/>
      <c r="S58" s="664"/>
      <c r="T58" s="1401"/>
    </row>
    <row r="59" spans="2:20" ht="12" customHeight="1">
      <c r="B59" s="593" t="s">
        <v>492</v>
      </c>
      <c r="C59" s="298">
        <v>0</v>
      </c>
      <c r="D59" s="297">
        <f>C59</f>
        <v>0</v>
      </c>
      <c r="E59" s="297">
        <f>D59</f>
        <v>0</v>
      </c>
      <c r="F59" s="1396"/>
      <c r="G59" s="658"/>
      <c r="H59" s="658"/>
      <c r="I59" s="811"/>
      <c r="K59" s="663"/>
      <c r="L59" s="664"/>
      <c r="M59" s="664"/>
      <c r="N59" s="664"/>
      <c r="O59" s="664"/>
      <c r="P59" s="664"/>
      <c r="Q59" s="664"/>
      <c r="R59" s="664"/>
      <c r="S59" s="664"/>
      <c r="T59" s="1401"/>
    </row>
    <row r="60" spans="2:20" ht="12" customHeight="1">
      <c r="B60" s="593" t="s">
        <v>647</v>
      </c>
      <c r="C60" s="725">
        <f>IF(C56=0,0,C57*C56-'4 AT  Myynnin alv'!B12)</f>
        <v>0</v>
      </c>
      <c r="D60" s="725">
        <f>IF(D56=0,0,D57*D56-'4 AT  Myynnin alv'!C12)</f>
        <v>0</v>
      </c>
      <c r="E60" s="729">
        <f>IF(E56=0,0,E57*E56-'4 AT  Myynnin alv'!D12)</f>
        <v>0</v>
      </c>
      <c r="F60" s="1396"/>
      <c r="G60" s="658">
        <v>0</v>
      </c>
      <c r="H60" s="658"/>
      <c r="I60" s="811"/>
      <c r="K60" s="663"/>
      <c r="L60" s="664"/>
      <c r="M60" s="664"/>
      <c r="N60" s="664"/>
      <c r="O60" s="664"/>
      <c r="P60" s="664"/>
      <c r="Q60" s="664"/>
      <c r="R60" s="664"/>
      <c r="S60" s="664"/>
      <c r="T60" s="1401"/>
    </row>
    <row r="61" spans="2:20" ht="12" customHeight="1">
      <c r="B61" s="593" t="s">
        <v>10</v>
      </c>
      <c r="C61" s="769">
        <f>IF(C58=0,0,(C60-C63)/C60)</f>
        <v>0</v>
      </c>
      <c r="D61" s="769">
        <f t="shared" ref="D61:E61" si="0">IF(D58=0,0,(D60-D63)/D60)</f>
        <v>0</v>
      </c>
      <c r="E61" s="831">
        <f t="shared" si="0"/>
        <v>0</v>
      </c>
      <c r="F61" s="1396"/>
      <c r="G61" s="658"/>
      <c r="H61" s="658"/>
      <c r="I61" s="811"/>
      <c r="K61" s="663"/>
      <c r="L61" s="664"/>
      <c r="M61" s="664"/>
      <c r="N61" s="664"/>
      <c r="O61" s="664"/>
      <c r="P61" s="664"/>
      <c r="Q61" s="664"/>
      <c r="R61" s="664"/>
      <c r="S61" s="664"/>
      <c r="T61" s="1401"/>
    </row>
    <row r="62" spans="2:20" ht="12" customHeight="1">
      <c r="B62" s="593" t="s">
        <v>644</v>
      </c>
      <c r="C62" s="728">
        <f>IF(C58=0,0,(C58/(1-C59)))</f>
        <v>0</v>
      </c>
      <c r="D62" s="728">
        <f t="shared" ref="D62:E62" si="1">IF(D58=0,0,(D58/(1-D59)))</f>
        <v>0</v>
      </c>
      <c r="E62" s="738">
        <f t="shared" si="1"/>
        <v>0</v>
      </c>
      <c r="F62" s="1396"/>
      <c r="G62" s="658"/>
      <c r="H62" s="658"/>
      <c r="I62" s="811"/>
      <c r="K62" s="663"/>
      <c r="L62" s="664"/>
      <c r="M62" s="664"/>
      <c r="N62" s="664"/>
      <c r="O62" s="664"/>
      <c r="P62" s="664"/>
      <c r="Q62" s="664"/>
      <c r="R62" s="664"/>
      <c r="S62" s="664"/>
      <c r="T62" s="1401"/>
    </row>
    <row r="63" spans="2:20" ht="12" customHeight="1">
      <c r="B63" s="593" t="s">
        <v>646</v>
      </c>
      <c r="C63" s="725">
        <f>C62*C57</f>
        <v>0</v>
      </c>
      <c r="D63" s="725">
        <f>D62*D57</f>
        <v>0</v>
      </c>
      <c r="E63" s="729">
        <f>E62*E57</f>
        <v>0</v>
      </c>
      <c r="F63" s="1398" t="s">
        <v>0</v>
      </c>
      <c r="G63" s="819"/>
      <c r="H63" s="819"/>
      <c r="I63" s="820"/>
      <c r="K63" s="665"/>
      <c r="L63" s="666"/>
      <c r="M63" s="666"/>
      <c r="N63" s="666"/>
      <c r="O63" s="666"/>
      <c r="P63" s="666"/>
      <c r="Q63" s="666"/>
      <c r="R63" s="666"/>
      <c r="S63" s="666"/>
      <c r="T63" s="1402"/>
    </row>
    <row r="64" spans="2:20" ht="4.4000000000000004" customHeight="1">
      <c r="B64" s="329"/>
      <c r="C64" s="733"/>
      <c r="D64" s="733"/>
      <c r="E64" s="733"/>
      <c r="F64" s="300"/>
      <c r="G64" s="300"/>
      <c r="H64" s="299"/>
      <c r="I64" s="320"/>
      <c r="O64" s="93"/>
      <c r="P64" s="93"/>
      <c r="Q64" s="93"/>
      <c r="R64" s="93"/>
      <c r="S64" s="93"/>
      <c r="T64" s="93"/>
    </row>
    <row r="65" spans="1:20" ht="12.75" customHeight="1">
      <c r="B65" s="799" t="s">
        <v>654</v>
      </c>
      <c r="C65" s="734">
        <f>C16*C17+C26*C27+C36*C37+C46*C47+C56*C57</f>
        <v>0</v>
      </c>
      <c r="D65" s="734">
        <f>D16*D17+D26*D27+D36*D37+D46*D47+D56*D57</f>
        <v>0</v>
      </c>
      <c r="E65" s="734">
        <f>E16*E17+E26*E27+E36*E37+E46*E47+E56*E57</f>
        <v>0</v>
      </c>
      <c r="F65" s="300"/>
      <c r="G65" s="300"/>
      <c r="H65" s="299"/>
      <c r="I65" s="320"/>
      <c r="O65" s="93"/>
      <c r="P65" s="93"/>
      <c r="Q65" s="93"/>
      <c r="R65" s="93"/>
      <c r="S65" s="93"/>
      <c r="T65" s="93"/>
    </row>
    <row r="66" spans="1:20" ht="12" customHeight="1">
      <c r="B66" s="800" t="s">
        <v>655</v>
      </c>
      <c r="C66" s="734">
        <f>C18+C28+C38+C48+C60</f>
        <v>0</v>
      </c>
      <c r="D66" s="734">
        <f t="shared" ref="D66:E66" si="2">D18+D28+D38+D48+D60</f>
        <v>0</v>
      </c>
      <c r="E66" s="734">
        <f t="shared" si="2"/>
        <v>0</v>
      </c>
      <c r="F66" s="299"/>
      <c r="G66" s="299"/>
      <c r="H66" s="299"/>
      <c r="I66" s="320"/>
      <c r="O66" s="93"/>
      <c r="P66" s="93"/>
      <c r="Q66" s="93"/>
      <c r="R66" s="93"/>
      <c r="S66" s="93"/>
      <c r="T66" s="93"/>
    </row>
    <row r="67" spans="1:20" ht="12" customHeight="1">
      <c r="B67" s="800" t="s">
        <v>770</v>
      </c>
      <c r="C67" s="734">
        <f>C53+C53*C45+C43+C43*C35+C33+C33*C25+C23+C23*C15</f>
        <v>0</v>
      </c>
      <c r="D67" s="734">
        <f t="shared" ref="D67:E67" si="3">D53+D53*D45+D43+D43*D35+D33+D33*D25+D23+D23*D15</f>
        <v>0</v>
      </c>
      <c r="E67" s="734">
        <f t="shared" si="3"/>
        <v>0</v>
      </c>
      <c r="F67" s="299"/>
      <c r="G67" s="299"/>
      <c r="H67" s="299"/>
      <c r="I67" s="320"/>
      <c r="O67" s="93"/>
      <c r="P67" s="93"/>
      <c r="Q67" s="93"/>
      <c r="R67" s="93"/>
      <c r="S67" s="93"/>
      <c r="T67" s="93"/>
    </row>
    <row r="68" spans="1:20" ht="12" customHeight="1">
      <c r="B68" s="800" t="s">
        <v>771</v>
      </c>
      <c r="C68" s="734">
        <f>C63+C53+C43+C33+C23</f>
        <v>0</v>
      </c>
      <c r="D68" s="734">
        <f>D63+D53+D43+D33+D23</f>
        <v>0</v>
      </c>
      <c r="E68" s="734">
        <f>E63+E53+E43+E33+E23</f>
        <v>0</v>
      </c>
      <c r="F68" s="299"/>
      <c r="G68" s="299"/>
      <c r="H68" s="299"/>
      <c r="I68" s="320"/>
      <c r="O68" s="93"/>
      <c r="P68" s="93"/>
      <c r="Q68" s="93"/>
      <c r="R68" s="93"/>
      <c r="S68" s="93"/>
      <c r="T68" s="93"/>
    </row>
    <row r="69" spans="1:20" ht="12" customHeight="1">
      <c r="B69" s="800" t="s">
        <v>656</v>
      </c>
      <c r="C69" s="735">
        <f>IF(C66=0,0,(C66-C68)/C66)</f>
        <v>0</v>
      </c>
      <c r="D69" s="735">
        <f>IF(D66=0,0,(D66-D68)/D66)</f>
        <v>0</v>
      </c>
      <c r="E69" s="735">
        <f>IF(E66=0,0,(E66-E68)/E66)</f>
        <v>0</v>
      </c>
      <c r="F69" s="299"/>
      <c r="G69" s="299"/>
      <c r="H69" s="299"/>
      <c r="I69" s="320"/>
      <c r="O69" s="93"/>
      <c r="P69" s="93"/>
      <c r="Q69" s="93"/>
      <c r="R69" s="93"/>
      <c r="S69" s="93"/>
      <c r="T69" s="93"/>
    </row>
    <row r="70" spans="1:20" ht="6" customHeight="1">
      <c r="B70" s="330"/>
      <c r="C70" s="736"/>
      <c r="D70" s="736"/>
      <c r="E70" s="737"/>
      <c r="F70" s="299"/>
      <c r="G70" s="299"/>
      <c r="H70" s="299"/>
      <c r="I70" s="320"/>
      <c r="O70" s="93"/>
      <c r="P70" s="93"/>
      <c r="Q70" s="93"/>
      <c r="R70" s="93"/>
      <c r="S70" s="93"/>
      <c r="T70" s="93"/>
    </row>
    <row r="71" spans="1:20" ht="12" customHeight="1">
      <c r="B71" s="1692"/>
      <c r="C71" s="838" t="str">
        <f t="shared" ref="C71:E73" si="4">C11</f>
        <v>1. TILIKAUSI</v>
      </c>
      <c r="D71" s="838" t="str">
        <f t="shared" si="4"/>
        <v>2. TILIKAUSI</v>
      </c>
      <c r="E71" s="838" t="str">
        <f t="shared" si="4"/>
        <v xml:space="preserve">3. TILIKAUSI </v>
      </c>
      <c r="F71" s="299"/>
      <c r="G71" s="299"/>
      <c r="H71" s="299"/>
      <c r="I71" s="320"/>
      <c r="O71" s="93"/>
      <c r="P71" s="93"/>
      <c r="Q71" s="93"/>
      <c r="R71" s="93"/>
      <c r="S71" s="93"/>
      <c r="T71" s="93"/>
    </row>
    <row r="72" spans="1:20" ht="12" customHeight="1">
      <c r="B72" s="1692"/>
      <c r="C72" s="839">
        <f t="shared" si="4"/>
        <v>2025</v>
      </c>
      <c r="D72" s="839">
        <f t="shared" si="4"/>
        <v>2026</v>
      </c>
      <c r="E72" s="839">
        <f t="shared" si="4"/>
        <v>2027</v>
      </c>
      <c r="F72" s="299"/>
      <c r="G72" s="299"/>
      <c r="H72" s="299"/>
      <c r="I72" s="320"/>
      <c r="O72" s="93"/>
      <c r="P72" s="93"/>
      <c r="Q72" s="93"/>
      <c r="R72" s="93"/>
      <c r="S72" s="93"/>
      <c r="T72" s="93"/>
    </row>
    <row r="73" spans="1:20" ht="12" customHeight="1">
      <c r="B73" s="837" t="str">
        <f>B13</f>
        <v>TILIKAUDEN PITUUS (kk)</v>
      </c>
      <c r="C73" s="840">
        <f t="shared" si="4"/>
        <v>12</v>
      </c>
      <c r="D73" s="840">
        <f t="shared" si="4"/>
        <v>12</v>
      </c>
      <c r="E73" s="840">
        <f t="shared" si="4"/>
        <v>12</v>
      </c>
      <c r="F73" s="299"/>
      <c r="G73" s="299"/>
      <c r="H73" s="299"/>
      <c r="I73" s="320"/>
      <c r="O73" s="93"/>
      <c r="P73" s="93"/>
      <c r="Q73" s="93"/>
      <c r="R73" s="93"/>
      <c r="S73" s="93"/>
      <c r="T73" s="93"/>
    </row>
    <row r="74" spans="1:20" ht="4.5" customHeight="1">
      <c r="B74" s="836"/>
      <c r="C74" s="331"/>
      <c r="D74" s="331"/>
      <c r="E74" s="331"/>
      <c r="F74" s="299"/>
      <c r="G74" s="299"/>
      <c r="H74" s="299"/>
      <c r="I74" s="320"/>
      <c r="O74" s="93"/>
      <c r="P74" s="93"/>
      <c r="Q74" s="93"/>
      <c r="R74" s="93"/>
      <c r="S74" s="93"/>
      <c r="T74" s="93"/>
    </row>
    <row r="75" spans="1:20" ht="12" customHeight="1">
      <c r="B75" s="634"/>
      <c r="C75" s="298">
        <v>0.24</v>
      </c>
      <c r="D75" s="297">
        <f>C75</f>
        <v>0.24</v>
      </c>
      <c r="E75" s="967">
        <f>D75</f>
        <v>0.24</v>
      </c>
      <c r="F75" s="1399"/>
      <c r="G75" s="965">
        <f>G$15</f>
        <v>2026</v>
      </c>
      <c r="H75" s="965">
        <f>H$15</f>
        <v>2027</v>
      </c>
      <c r="I75" s="966"/>
      <c r="K75" s="662" t="s">
        <v>545</v>
      </c>
      <c r="L75" s="673"/>
      <c r="M75" s="673"/>
      <c r="N75" s="673"/>
      <c r="O75" s="1038"/>
      <c r="P75" s="1040"/>
      <c r="Q75" s="1040"/>
      <c r="R75" s="1040"/>
      <c r="S75" s="1040"/>
      <c r="T75" s="1041"/>
    </row>
    <row r="76" spans="1:20" ht="12" customHeight="1">
      <c r="B76" s="595" t="s">
        <v>642</v>
      </c>
      <c r="C76" s="721">
        <v>0</v>
      </c>
      <c r="D76" s="721">
        <f>C76*(1+G76)</f>
        <v>0</v>
      </c>
      <c r="E76" s="973">
        <f>D76*(1+H76)</f>
        <v>0</v>
      </c>
      <c r="F76" s="808"/>
      <c r="G76" s="967">
        <v>0.03</v>
      </c>
      <c r="H76" s="968">
        <f>G76</f>
        <v>0.03</v>
      </c>
      <c r="I76" s="817" t="s">
        <v>346</v>
      </c>
      <c r="K76" s="663"/>
      <c r="L76" s="664"/>
      <c r="M76" s="664"/>
      <c r="N76" s="664"/>
      <c r="O76" s="664"/>
      <c r="P76" s="664"/>
      <c r="Q76" s="664"/>
      <c r="R76" s="664"/>
      <c r="S76" s="664"/>
      <c r="T76" s="1401"/>
    </row>
    <row r="77" spans="1:20" ht="12" customHeight="1">
      <c r="B77" s="593" t="s">
        <v>9</v>
      </c>
      <c r="C77" s="723">
        <v>0</v>
      </c>
      <c r="D77" s="723">
        <f>C77*12/C$13+G77*C77*12/C$13</f>
        <v>0</v>
      </c>
      <c r="E77" s="974">
        <f>D77*(1+H77)</f>
        <v>0</v>
      </c>
      <c r="F77" s="808"/>
      <c r="G77" s="967">
        <v>0</v>
      </c>
      <c r="H77" s="968">
        <f>G77</f>
        <v>0</v>
      </c>
      <c r="I77" s="817" t="s">
        <v>347</v>
      </c>
      <c r="K77" s="663"/>
      <c r="L77" s="664"/>
      <c r="M77" s="664"/>
      <c r="N77" s="664"/>
      <c r="O77" s="664"/>
      <c r="P77" s="664"/>
      <c r="Q77" s="664"/>
      <c r="R77" s="664"/>
      <c r="S77" s="664"/>
      <c r="T77" s="1401"/>
    </row>
    <row r="78" spans="1:20" ht="12" customHeight="1">
      <c r="B78" s="593" t="s">
        <v>64</v>
      </c>
      <c r="C78" s="725">
        <f>IF(C76=0,0,C77*C76/(1+C75))</f>
        <v>0</v>
      </c>
      <c r="D78" s="725">
        <f>IF(D76=0,0,D77*D76/(1+D75))</f>
        <v>0</v>
      </c>
      <c r="E78" s="975">
        <f>IF(E76=0,0,E77*E76/(1+E75))</f>
        <v>0</v>
      </c>
      <c r="F78" s="1396"/>
      <c r="G78" s="658"/>
      <c r="H78" s="658"/>
      <c r="I78" s="811"/>
      <c r="K78" s="663"/>
      <c r="L78" s="664"/>
      <c r="M78" s="664"/>
      <c r="N78" s="664"/>
      <c r="O78" s="664"/>
      <c r="P78" s="664"/>
      <c r="Q78" s="664"/>
      <c r="R78" s="664"/>
      <c r="S78" s="664"/>
      <c r="T78" s="1401"/>
    </row>
    <row r="79" spans="1:20" ht="12" customHeight="1">
      <c r="B79" s="593" t="s">
        <v>643</v>
      </c>
      <c r="C79" s="721">
        <v>0</v>
      </c>
      <c r="D79" s="721">
        <f>C79*(1+G79)</f>
        <v>0</v>
      </c>
      <c r="E79" s="973">
        <f>D79*(1+H79)</f>
        <v>0</v>
      </c>
      <c r="F79" s="808"/>
      <c r="G79" s="967">
        <v>0.03</v>
      </c>
      <c r="H79" s="968">
        <f>G79</f>
        <v>0.03</v>
      </c>
      <c r="I79" s="817" t="s">
        <v>346</v>
      </c>
      <c r="K79" s="663"/>
      <c r="L79" s="664"/>
      <c r="M79" s="664"/>
      <c r="N79" s="664"/>
      <c r="O79" s="664"/>
      <c r="P79" s="664"/>
      <c r="Q79" s="664"/>
      <c r="R79" s="664"/>
      <c r="S79" s="664"/>
      <c r="T79" s="1401"/>
    </row>
    <row r="80" spans="1:20" ht="12" customHeight="1">
      <c r="A80" s="154"/>
      <c r="B80" s="593" t="s">
        <v>492</v>
      </c>
      <c r="C80" s="298">
        <v>0</v>
      </c>
      <c r="D80" s="298">
        <f>C80</f>
        <v>0</v>
      </c>
      <c r="E80" s="967">
        <f>D80</f>
        <v>0</v>
      </c>
      <c r="F80" s="1396"/>
      <c r="G80" s="658"/>
      <c r="H80" s="658"/>
      <c r="I80" s="811"/>
      <c r="K80" s="663"/>
      <c r="L80" s="664"/>
      <c r="M80" s="664"/>
      <c r="N80" s="664"/>
      <c r="O80" s="664"/>
      <c r="P80" s="664"/>
      <c r="Q80" s="664"/>
      <c r="R80" s="664"/>
      <c r="S80" s="664"/>
      <c r="T80" s="1401"/>
    </row>
    <row r="81" spans="1:20" ht="12" customHeight="1">
      <c r="B81" s="593" t="s">
        <v>10</v>
      </c>
      <c r="C81" s="726">
        <f>IF(C76=0,0,(C76-(C79+(C79*C80)))/C76)</f>
        <v>0</v>
      </c>
      <c r="D81" s="726">
        <f>IF(D76=0,0,(D76-(D79+(D79*D80)))/D76)</f>
        <v>0</v>
      </c>
      <c r="E81" s="976">
        <f>IF(E76=0,0,(E76-(E79+(E79*E80)))/E76)</f>
        <v>0</v>
      </c>
      <c r="F81" s="1396"/>
      <c r="G81" s="658"/>
      <c r="H81" s="658"/>
      <c r="I81" s="811"/>
      <c r="K81" s="663"/>
      <c r="L81" s="664"/>
      <c r="M81" s="664"/>
      <c r="N81" s="664"/>
      <c r="O81" s="664"/>
      <c r="P81" s="664"/>
      <c r="Q81" s="664"/>
      <c r="R81" s="664"/>
      <c r="S81" s="664"/>
      <c r="T81" s="1401"/>
    </row>
    <row r="82" spans="1:20" ht="12" customHeight="1">
      <c r="A82" s="154"/>
      <c r="B82" s="593" t="s">
        <v>644</v>
      </c>
      <c r="C82" s="728">
        <f>IF(C79=0,0,(C79/(1-C80))/(1+C75))</f>
        <v>0</v>
      </c>
      <c r="D82" s="728">
        <f>IF(D79=0,0,(D79/(1-D80))/(1+D75))</f>
        <v>0</v>
      </c>
      <c r="E82" s="977">
        <f>IF(E79=0,0,(E79/(1-E80))/(1+E75))</f>
        <v>0</v>
      </c>
      <c r="F82" s="1396"/>
      <c r="G82" s="658"/>
      <c r="H82" s="658"/>
      <c r="I82" s="811"/>
      <c r="K82" s="663"/>
      <c r="L82" s="664"/>
      <c r="M82" s="664"/>
      <c r="N82" s="664"/>
      <c r="O82" s="664"/>
      <c r="P82" s="664"/>
      <c r="Q82" s="664"/>
      <c r="R82" s="664"/>
      <c r="S82" s="664"/>
      <c r="T82" s="1401"/>
    </row>
    <row r="83" spans="1:20" ht="12" customHeight="1">
      <c r="A83" s="2"/>
      <c r="B83" s="593" t="s">
        <v>493</v>
      </c>
      <c r="C83" s="725">
        <f>C82*C77</f>
        <v>0</v>
      </c>
      <c r="D83" s="725">
        <f>D82*D77</f>
        <v>0</v>
      </c>
      <c r="E83" s="975">
        <f>E82*E77</f>
        <v>0</v>
      </c>
      <c r="F83" s="1396"/>
      <c r="G83" s="658"/>
      <c r="H83" s="658"/>
      <c r="I83" s="811"/>
      <c r="K83" s="663"/>
      <c r="L83" s="664"/>
      <c r="M83" s="664"/>
      <c r="N83" s="664"/>
      <c r="O83" s="664"/>
      <c r="P83" s="664"/>
      <c r="Q83" s="664"/>
      <c r="R83" s="664"/>
      <c r="S83" s="664"/>
      <c r="T83" s="1401"/>
    </row>
    <row r="84" spans="1:20" s="53" customFormat="1" ht="4.5" customHeight="1">
      <c r="A84" s="348"/>
      <c r="B84" s="596"/>
      <c r="C84" s="940"/>
      <c r="D84" s="940"/>
      <c r="E84" s="978"/>
      <c r="F84" s="972"/>
      <c r="G84" s="833"/>
      <c r="H84" s="833"/>
      <c r="I84" s="970"/>
      <c r="K84" s="1403"/>
      <c r="L84" s="354"/>
      <c r="M84" s="354"/>
      <c r="N84" s="354"/>
      <c r="O84" s="354"/>
      <c r="P84" s="354"/>
      <c r="Q84" s="354"/>
      <c r="R84" s="354"/>
      <c r="S84" s="354"/>
      <c r="T84" s="1404"/>
    </row>
    <row r="85" spans="1:20" ht="12" customHeight="1">
      <c r="B85" s="634"/>
      <c r="C85" s="298">
        <v>0.24</v>
      </c>
      <c r="D85" s="297">
        <f>C85</f>
        <v>0.24</v>
      </c>
      <c r="E85" s="967">
        <f>D85</f>
        <v>0.24</v>
      </c>
      <c r="F85" s="1397"/>
      <c r="G85" s="1578"/>
      <c r="H85" s="1578"/>
      <c r="I85" s="971"/>
      <c r="K85" s="663"/>
      <c r="L85" s="664"/>
      <c r="M85" s="664"/>
      <c r="N85" s="664"/>
      <c r="O85" s="664"/>
      <c r="P85" s="664"/>
      <c r="Q85" s="664"/>
      <c r="R85" s="664"/>
      <c r="S85" s="664"/>
      <c r="T85" s="1401"/>
    </row>
    <row r="86" spans="1:20" ht="12" customHeight="1">
      <c r="A86" s="154"/>
      <c r="B86" s="595" t="s">
        <v>642</v>
      </c>
      <c r="C86" s="721">
        <v>0</v>
      </c>
      <c r="D86" s="721">
        <f>C86*(1+G86)</f>
        <v>0</v>
      </c>
      <c r="E86" s="973">
        <f>D86*(1+H86)</f>
        <v>0</v>
      </c>
      <c r="F86" s="808"/>
      <c r="G86" s="967">
        <v>0.03</v>
      </c>
      <c r="H86" s="968">
        <f>G86</f>
        <v>0.03</v>
      </c>
      <c r="I86" s="817" t="s">
        <v>346</v>
      </c>
      <c r="K86" s="663"/>
      <c r="L86" s="664"/>
      <c r="M86" s="664"/>
      <c r="N86" s="664"/>
      <c r="O86" s="664"/>
      <c r="P86" s="664"/>
      <c r="Q86" s="664"/>
      <c r="R86" s="664"/>
      <c r="S86" s="664"/>
      <c r="T86" s="1401"/>
    </row>
    <row r="87" spans="1:20" ht="12" customHeight="1">
      <c r="B87" s="593" t="s">
        <v>9</v>
      </c>
      <c r="C87" s="723">
        <v>0</v>
      </c>
      <c r="D87" s="723">
        <f>C87*12/C$13+G87*C87*12/C$13</f>
        <v>0</v>
      </c>
      <c r="E87" s="974">
        <f>D87*(1+H87)</f>
        <v>0</v>
      </c>
      <c r="F87" s="808"/>
      <c r="G87" s="967">
        <v>0</v>
      </c>
      <c r="H87" s="968">
        <f>G87</f>
        <v>0</v>
      </c>
      <c r="I87" s="817" t="s">
        <v>347</v>
      </c>
      <c r="K87" s="663"/>
      <c r="L87" s="664"/>
      <c r="M87" s="664"/>
      <c r="N87" s="664"/>
      <c r="O87" s="664"/>
      <c r="P87" s="664"/>
      <c r="Q87" s="664"/>
      <c r="R87" s="664"/>
      <c r="S87" s="664"/>
      <c r="T87" s="1401"/>
    </row>
    <row r="88" spans="1:20" ht="12" customHeight="1">
      <c r="A88" s="154"/>
      <c r="B88" s="593" t="s">
        <v>64</v>
      </c>
      <c r="C88" s="725">
        <f>IF(C86=0,0,C87*C86/(1+C85))</f>
        <v>0</v>
      </c>
      <c r="D88" s="725">
        <f>IF(D86=0,0,D87*D86/(1+D85))</f>
        <v>0</v>
      </c>
      <c r="E88" s="975">
        <f>IF(E86=0,0,E87*E86/(1+E85))</f>
        <v>0</v>
      </c>
      <c r="F88" s="1396"/>
      <c r="G88" s="658"/>
      <c r="H88" s="658"/>
      <c r="I88" s="811"/>
      <c r="K88" s="663"/>
      <c r="L88" s="664"/>
      <c r="M88" s="664"/>
      <c r="N88" s="664"/>
      <c r="O88" s="664"/>
      <c r="P88" s="664"/>
      <c r="Q88" s="664"/>
      <c r="R88" s="664"/>
      <c r="S88" s="664"/>
      <c r="T88" s="1401"/>
    </row>
    <row r="89" spans="1:20" ht="12" customHeight="1">
      <c r="A89" s="2"/>
      <c r="B89" s="593" t="s">
        <v>643</v>
      </c>
      <c r="C89" s="721">
        <v>0</v>
      </c>
      <c r="D89" s="721">
        <f>C89*(1+G89)</f>
        <v>0</v>
      </c>
      <c r="E89" s="973">
        <f>D89*(1+H89)</f>
        <v>0</v>
      </c>
      <c r="F89" s="808"/>
      <c r="G89" s="967">
        <v>0.03</v>
      </c>
      <c r="H89" s="968">
        <f>G89</f>
        <v>0.03</v>
      </c>
      <c r="I89" s="817" t="s">
        <v>346</v>
      </c>
      <c r="K89" s="663"/>
      <c r="L89" s="664"/>
      <c r="M89" s="664"/>
      <c r="N89" s="664"/>
      <c r="O89" s="664"/>
      <c r="P89" s="664"/>
      <c r="Q89" s="664"/>
      <c r="R89" s="664"/>
      <c r="S89" s="664"/>
      <c r="T89" s="1401"/>
    </row>
    <row r="90" spans="1:20" ht="12" customHeight="1">
      <c r="A90" s="154"/>
      <c r="B90" s="593" t="s">
        <v>492</v>
      </c>
      <c r="C90" s="298">
        <v>0</v>
      </c>
      <c r="D90" s="298">
        <f>C90</f>
        <v>0</v>
      </c>
      <c r="E90" s="967">
        <f>D90</f>
        <v>0</v>
      </c>
      <c r="F90" s="1396"/>
      <c r="G90" s="658"/>
      <c r="H90" s="658"/>
      <c r="I90" s="811"/>
      <c r="K90" s="663"/>
      <c r="L90" s="664"/>
      <c r="M90" s="664"/>
      <c r="N90" s="664"/>
      <c r="O90" s="664"/>
      <c r="P90" s="664"/>
      <c r="Q90" s="664"/>
      <c r="R90" s="664"/>
      <c r="S90" s="664"/>
      <c r="T90" s="1401"/>
    </row>
    <row r="91" spans="1:20" ht="12" customHeight="1">
      <c r="B91" s="593" t="s">
        <v>10</v>
      </c>
      <c r="C91" s="726">
        <f>IF(C86=0,0,(C86-(C89+(C89*C90)))/C86)</f>
        <v>0</v>
      </c>
      <c r="D91" s="726">
        <f>IF(D86=0,0,(D86-(D89+(D89*D90)))/D86)</f>
        <v>0</v>
      </c>
      <c r="E91" s="976">
        <f>IF(E86=0,0,(E86-(E89+(E89*E90)))/E86)</f>
        <v>0</v>
      </c>
      <c r="F91" s="1396"/>
      <c r="G91" s="658"/>
      <c r="H91" s="658"/>
      <c r="I91" s="811"/>
      <c r="K91" s="663"/>
      <c r="L91" s="664"/>
      <c r="M91" s="664"/>
      <c r="N91" s="664"/>
      <c r="O91" s="664"/>
      <c r="P91" s="664"/>
      <c r="Q91" s="664"/>
      <c r="R91" s="664"/>
      <c r="S91" s="664"/>
      <c r="T91" s="1401"/>
    </row>
    <row r="92" spans="1:20" ht="12" customHeight="1">
      <c r="A92" s="154"/>
      <c r="B92" s="593" t="s">
        <v>644</v>
      </c>
      <c r="C92" s="728">
        <f>IF(C89=0,0,(C89/(1-C90))/(1+C85))</f>
        <v>0</v>
      </c>
      <c r="D92" s="728">
        <f>IF(D89=0,0,(D89/(1-D90))/(1+D85))</f>
        <v>0</v>
      </c>
      <c r="E92" s="977">
        <f>IF(E89=0,0,(E89/(1-E90))/(1+E85))</f>
        <v>0</v>
      </c>
      <c r="F92" s="1396" t="s">
        <v>0</v>
      </c>
      <c r="G92" s="658"/>
      <c r="H92" s="658"/>
      <c r="I92" s="811"/>
      <c r="K92" s="663"/>
      <c r="L92" s="664"/>
      <c r="M92" s="664"/>
      <c r="N92" s="664"/>
      <c r="O92" s="664"/>
      <c r="P92" s="664"/>
      <c r="Q92" s="664"/>
      <c r="R92" s="664"/>
      <c r="S92" s="664"/>
      <c r="T92" s="1401"/>
    </row>
    <row r="93" spans="1:20" ht="12" customHeight="1">
      <c r="B93" s="593" t="s">
        <v>493</v>
      </c>
      <c r="C93" s="725">
        <f>C92*C87</f>
        <v>0</v>
      </c>
      <c r="D93" s="725">
        <f>D92*D87</f>
        <v>0</v>
      </c>
      <c r="E93" s="975">
        <f>E92*E87</f>
        <v>0</v>
      </c>
      <c r="F93" s="1396"/>
      <c r="G93" s="658"/>
      <c r="H93" s="658"/>
      <c r="I93" s="811"/>
      <c r="K93" s="663"/>
      <c r="L93" s="664"/>
      <c r="M93" s="664"/>
      <c r="N93" s="664"/>
      <c r="O93" s="664"/>
      <c r="P93" s="664"/>
      <c r="Q93" s="664"/>
      <c r="R93" s="664"/>
      <c r="S93" s="664"/>
      <c r="T93" s="1401"/>
    </row>
    <row r="94" spans="1:20" s="53" customFormat="1" ht="4.5" customHeight="1">
      <c r="A94" s="348"/>
      <c r="B94" s="596"/>
      <c r="C94" s="940"/>
      <c r="D94" s="940"/>
      <c r="E94" s="978"/>
      <c r="F94" s="969"/>
      <c r="G94" s="832"/>
      <c r="H94" s="832"/>
      <c r="I94" s="970"/>
      <c r="K94" s="1403"/>
      <c r="L94" s="354"/>
      <c r="M94" s="354"/>
      <c r="N94" s="354"/>
      <c r="O94" s="354"/>
      <c r="P94" s="354"/>
      <c r="Q94" s="354"/>
      <c r="R94" s="354"/>
      <c r="S94" s="354"/>
      <c r="T94" s="1404"/>
    </row>
    <row r="95" spans="1:20" ht="12" customHeight="1">
      <c r="A95" s="2"/>
      <c r="B95" s="634"/>
      <c r="C95" s="298">
        <v>0.24</v>
      </c>
      <c r="D95" s="297">
        <f>C95</f>
        <v>0.24</v>
      </c>
      <c r="E95" s="967">
        <f>D95</f>
        <v>0.24</v>
      </c>
      <c r="F95" s="1397"/>
      <c r="G95" s="1579"/>
      <c r="H95" s="1579"/>
      <c r="I95" s="971"/>
      <c r="K95" s="663"/>
      <c r="L95" s="664"/>
      <c r="M95" s="664"/>
      <c r="N95" s="664"/>
      <c r="O95" s="664"/>
      <c r="P95" s="664"/>
      <c r="Q95" s="664"/>
      <c r="R95" s="664"/>
      <c r="S95" s="664"/>
      <c r="T95" s="1401"/>
    </row>
    <row r="96" spans="1:20" ht="12" customHeight="1">
      <c r="B96" s="595" t="s">
        <v>642</v>
      </c>
      <c r="C96" s="721">
        <v>0</v>
      </c>
      <c r="D96" s="721">
        <f>C96*(1+G96)</f>
        <v>0</v>
      </c>
      <c r="E96" s="973">
        <f>D96*(1+H96)</f>
        <v>0</v>
      </c>
      <c r="F96" s="808"/>
      <c r="G96" s="967">
        <v>0.03</v>
      </c>
      <c r="H96" s="968">
        <f>G96</f>
        <v>0.03</v>
      </c>
      <c r="I96" s="817" t="s">
        <v>346</v>
      </c>
      <c r="K96" s="663"/>
      <c r="L96" s="664"/>
      <c r="M96" s="664"/>
      <c r="N96" s="664"/>
      <c r="O96" s="664"/>
      <c r="P96" s="664"/>
      <c r="Q96" s="664"/>
      <c r="R96" s="664"/>
      <c r="S96" s="664"/>
      <c r="T96" s="1401"/>
    </row>
    <row r="97" spans="2:20" ht="12" customHeight="1">
      <c r="B97" s="593" t="s">
        <v>9</v>
      </c>
      <c r="C97" s="723">
        <v>0</v>
      </c>
      <c r="D97" s="723">
        <f>C97*12/C$13+G97*C97*12/C$13</f>
        <v>0</v>
      </c>
      <c r="E97" s="974">
        <f>D97*(1+H97)</f>
        <v>0</v>
      </c>
      <c r="F97" s="808"/>
      <c r="G97" s="967">
        <v>0</v>
      </c>
      <c r="H97" s="968">
        <f>G97</f>
        <v>0</v>
      </c>
      <c r="I97" s="817" t="s">
        <v>347</v>
      </c>
      <c r="K97" s="663"/>
      <c r="L97" s="664"/>
      <c r="M97" s="664"/>
      <c r="N97" s="664"/>
      <c r="O97" s="664"/>
      <c r="P97" s="664"/>
      <c r="Q97" s="664"/>
      <c r="R97" s="664"/>
      <c r="S97" s="664"/>
      <c r="T97" s="1401"/>
    </row>
    <row r="98" spans="2:20" ht="12" customHeight="1">
      <c r="B98" s="593" t="s">
        <v>64</v>
      </c>
      <c r="C98" s="725">
        <f>IF(C96=0,0,C97*C96/(1+C95))</f>
        <v>0</v>
      </c>
      <c r="D98" s="725">
        <f>IF(D96=0,0,D97*D96/(1+D95))</f>
        <v>0</v>
      </c>
      <c r="E98" s="975">
        <f>IF(E96=0,0,E97*E96/(1+E95))</f>
        <v>0</v>
      </c>
      <c r="F98" s="1396"/>
      <c r="G98" s="658"/>
      <c r="H98" s="658"/>
      <c r="I98" s="811"/>
      <c r="K98" s="663"/>
      <c r="L98" s="664"/>
      <c r="M98" s="664"/>
      <c r="N98" s="664"/>
      <c r="O98" s="664"/>
      <c r="P98" s="664"/>
      <c r="Q98" s="664"/>
      <c r="R98" s="664"/>
      <c r="S98" s="664"/>
      <c r="T98" s="1401"/>
    </row>
    <row r="99" spans="2:20" ht="12" customHeight="1">
      <c r="B99" s="593" t="s">
        <v>643</v>
      </c>
      <c r="C99" s="721">
        <v>0</v>
      </c>
      <c r="D99" s="721">
        <f>C99*(1+G99)</f>
        <v>0</v>
      </c>
      <c r="E99" s="973">
        <f>D99*(1+H99)</f>
        <v>0</v>
      </c>
      <c r="F99" s="808"/>
      <c r="G99" s="967">
        <v>0.03</v>
      </c>
      <c r="H99" s="968">
        <f>G99</f>
        <v>0.03</v>
      </c>
      <c r="I99" s="817" t="s">
        <v>346</v>
      </c>
      <c r="K99" s="663"/>
      <c r="L99" s="664"/>
      <c r="M99" s="664"/>
      <c r="N99" s="664"/>
      <c r="O99" s="664"/>
      <c r="P99" s="664"/>
      <c r="Q99" s="664"/>
      <c r="R99" s="664"/>
      <c r="S99" s="664"/>
      <c r="T99" s="1401"/>
    </row>
    <row r="100" spans="2:20" ht="12" customHeight="1">
      <c r="B100" s="593" t="s">
        <v>492</v>
      </c>
      <c r="C100" s="298">
        <v>0</v>
      </c>
      <c r="D100" s="298">
        <f>C100</f>
        <v>0</v>
      </c>
      <c r="E100" s="967">
        <f>D100</f>
        <v>0</v>
      </c>
      <c r="F100" s="1396"/>
      <c r="G100" s="658"/>
      <c r="H100" s="658"/>
      <c r="I100" s="811"/>
      <c r="K100" s="663"/>
      <c r="L100" s="664"/>
      <c r="M100" s="664"/>
      <c r="N100" s="664"/>
      <c r="O100" s="664"/>
      <c r="P100" s="664"/>
      <c r="Q100" s="664"/>
      <c r="R100" s="664"/>
      <c r="S100" s="664"/>
      <c r="T100" s="1401"/>
    </row>
    <row r="101" spans="2:20" ht="12" customHeight="1">
      <c r="B101" s="593" t="s">
        <v>10</v>
      </c>
      <c r="C101" s="726">
        <f>IF(C96=0,0,(C96-(C99+(C99*C100)))/C96)</f>
        <v>0</v>
      </c>
      <c r="D101" s="726">
        <f>IF(D96=0,0,(D96-(D99+(D99*D100)))/D96)</f>
        <v>0</v>
      </c>
      <c r="E101" s="976">
        <f>IF(E96=0,0,(E96-(E99+(E99*E100)))/E96)</f>
        <v>0</v>
      </c>
      <c r="F101" s="1396"/>
      <c r="G101" s="658"/>
      <c r="H101" s="658"/>
      <c r="I101" s="811"/>
      <c r="K101" s="663"/>
      <c r="L101" s="664"/>
      <c r="M101" s="664"/>
      <c r="N101" s="664"/>
      <c r="O101" s="664"/>
      <c r="P101" s="664"/>
      <c r="Q101" s="664"/>
      <c r="R101" s="664"/>
      <c r="S101" s="664"/>
      <c r="T101" s="1401"/>
    </row>
    <row r="102" spans="2:20" ht="12" customHeight="1">
      <c r="B102" s="593" t="s">
        <v>644</v>
      </c>
      <c r="C102" s="728">
        <f>IF(C99=0,0,(C99/(1-C100))/(1+C95))</f>
        <v>0</v>
      </c>
      <c r="D102" s="728">
        <f>IF(D99=0,0,(D99/(1-D100))/(1+D95))</f>
        <v>0</v>
      </c>
      <c r="E102" s="977">
        <f>IF(E99=0,0,(E99/(1-E100))/(1+E95))</f>
        <v>0</v>
      </c>
      <c r="F102" s="1396"/>
      <c r="G102" s="658"/>
      <c r="H102" s="658"/>
      <c r="I102" s="811"/>
      <c r="K102" s="663"/>
      <c r="L102" s="664"/>
      <c r="M102" s="664"/>
      <c r="N102" s="664"/>
      <c r="O102" s="664"/>
      <c r="P102" s="664"/>
      <c r="Q102" s="664"/>
      <c r="R102" s="664"/>
      <c r="S102" s="664"/>
      <c r="T102" s="1401"/>
    </row>
    <row r="103" spans="2:20" ht="12" customHeight="1">
      <c r="B103" s="593" t="s">
        <v>493</v>
      </c>
      <c r="C103" s="725">
        <f>C102*C97</f>
        <v>0</v>
      </c>
      <c r="D103" s="725">
        <f>D102*D97</f>
        <v>0</v>
      </c>
      <c r="E103" s="975">
        <f>E102*E97</f>
        <v>0</v>
      </c>
      <c r="F103" s="1396"/>
      <c r="G103" s="658"/>
      <c r="H103" s="658"/>
      <c r="I103" s="811"/>
      <c r="K103" s="663"/>
      <c r="L103" s="664"/>
      <c r="M103" s="664"/>
      <c r="N103" s="664"/>
      <c r="O103" s="664"/>
      <c r="P103" s="664"/>
      <c r="Q103" s="664"/>
      <c r="R103" s="664"/>
      <c r="S103" s="664"/>
      <c r="T103" s="1401"/>
    </row>
    <row r="104" spans="2:20" s="53" customFormat="1" ht="4.5" customHeight="1">
      <c r="B104" s="596"/>
      <c r="C104" s="940"/>
      <c r="D104" s="940"/>
      <c r="E104" s="978"/>
      <c r="F104" s="969"/>
      <c r="G104" s="832"/>
      <c r="H104" s="832"/>
      <c r="I104" s="970"/>
      <c r="K104" s="1403"/>
      <c r="L104" s="354"/>
      <c r="M104" s="354"/>
      <c r="N104" s="354"/>
      <c r="O104" s="354"/>
      <c r="P104" s="354"/>
      <c r="Q104" s="354"/>
      <c r="R104" s="354"/>
      <c r="S104" s="354"/>
      <c r="T104" s="1404"/>
    </row>
    <row r="105" spans="2:20" ht="12" customHeight="1">
      <c r="B105" s="634"/>
      <c r="C105" s="298">
        <v>0.24</v>
      </c>
      <c r="D105" s="297">
        <f>C105</f>
        <v>0.24</v>
      </c>
      <c r="E105" s="967">
        <f>D105</f>
        <v>0.24</v>
      </c>
      <c r="F105" s="1397"/>
      <c r="G105" s="1579"/>
      <c r="H105" s="1579"/>
      <c r="I105" s="971"/>
      <c r="K105" s="663"/>
      <c r="L105" s="664"/>
      <c r="M105" s="664"/>
      <c r="N105" s="664"/>
      <c r="O105" s="664"/>
      <c r="P105" s="664"/>
      <c r="Q105" s="664"/>
      <c r="R105" s="664"/>
      <c r="S105" s="664"/>
      <c r="T105" s="1401"/>
    </row>
    <row r="106" spans="2:20" ht="12" customHeight="1">
      <c r="B106" s="595" t="s">
        <v>642</v>
      </c>
      <c r="C106" s="721">
        <v>0</v>
      </c>
      <c r="D106" s="722">
        <f>C106*(1+G106)</f>
        <v>0</v>
      </c>
      <c r="E106" s="973">
        <f>D106*(1+H106)</f>
        <v>0</v>
      </c>
      <c r="F106" s="808"/>
      <c r="G106" s="967">
        <v>0.03</v>
      </c>
      <c r="H106" s="968">
        <f>G106</f>
        <v>0.03</v>
      </c>
      <c r="I106" s="817" t="s">
        <v>346</v>
      </c>
      <c r="K106" s="663"/>
      <c r="L106" s="664"/>
      <c r="M106" s="664"/>
      <c r="N106" s="664"/>
      <c r="O106" s="664"/>
      <c r="P106" s="664"/>
      <c r="Q106" s="664"/>
      <c r="R106" s="664"/>
      <c r="S106" s="664"/>
      <c r="T106" s="1401"/>
    </row>
    <row r="107" spans="2:20" ht="12" customHeight="1">
      <c r="B107" s="593" t="s">
        <v>9</v>
      </c>
      <c r="C107" s="723">
        <v>0</v>
      </c>
      <c r="D107" s="731">
        <f>C107*12/C$13+G107*C107*12/C$13</f>
        <v>0</v>
      </c>
      <c r="E107" s="974">
        <f>D107*(1+H107)</f>
        <v>0</v>
      </c>
      <c r="F107" s="808"/>
      <c r="G107" s="967">
        <v>0</v>
      </c>
      <c r="H107" s="968">
        <f>G107</f>
        <v>0</v>
      </c>
      <c r="I107" s="817" t="s">
        <v>347</v>
      </c>
      <c r="K107" s="663"/>
      <c r="L107" s="664"/>
      <c r="M107" s="664"/>
      <c r="N107" s="664"/>
      <c r="O107" s="664"/>
      <c r="P107" s="664"/>
      <c r="Q107" s="664"/>
      <c r="R107" s="664"/>
      <c r="S107" s="664"/>
      <c r="T107" s="1401"/>
    </row>
    <row r="108" spans="2:20" ht="12" customHeight="1">
      <c r="B108" s="593" t="s">
        <v>64</v>
      </c>
      <c r="C108" s="725">
        <f>IF(C106=0,0,C107*C106/(1+C105))</f>
        <v>0</v>
      </c>
      <c r="D108" s="725">
        <f>IF(D106=0,0,D107*D106/(1+D105))</f>
        <v>0</v>
      </c>
      <c r="E108" s="975">
        <f>IF(E106=0,0,E107*E106/(1+E105))</f>
        <v>0</v>
      </c>
      <c r="F108" s="1396"/>
      <c r="G108" s="658">
        <v>0</v>
      </c>
      <c r="H108" s="658"/>
      <c r="I108" s="811"/>
      <c r="K108" s="663"/>
      <c r="L108" s="664"/>
      <c r="M108" s="664"/>
      <c r="N108" s="664"/>
      <c r="O108" s="664"/>
      <c r="P108" s="664"/>
      <c r="Q108" s="664"/>
      <c r="R108" s="664"/>
      <c r="S108" s="664"/>
      <c r="T108" s="1401"/>
    </row>
    <row r="109" spans="2:20" ht="12" customHeight="1">
      <c r="B109" s="593" t="s">
        <v>643</v>
      </c>
      <c r="C109" s="721">
        <v>0</v>
      </c>
      <c r="D109" s="722">
        <f>C109*(1+G109)</f>
        <v>0</v>
      </c>
      <c r="E109" s="973">
        <f>D109*(1+H109)</f>
        <v>0</v>
      </c>
      <c r="F109" s="808"/>
      <c r="G109" s="967">
        <v>0.03</v>
      </c>
      <c r="H109" s="968">
        <f>G109</f>
        <v>0.03</v>
      </c>
      <c r="I109" s="817" t="s">
        <v>346</v>
      </c>
      <c r="K109" s="663"/>
      <c r="L109" s="664"/>
      <c r="M109" s="664"/>
      <c r="N109" s="664"/>
      <c r="O109" s="664"/>
      <c r="P109" s="664"/>
      <c r="Q109" s="664"/>
      <c r="R109" s="664"/>
      <c r="S109" s="664"/>
      <c r="T109" s="1401"/>
    </row>
    <row r="110" spans="2:20" ht="12" customHeight="1">
      <c r="B110" s="593" t="s">
        <v>492</v>
      </c>
      <c r="C110" s="298">
        <v>0</v>
      </c>
      <c r="D110" s="297">
        <f>C110</f>
        <v>0</v>
      </c>
      <c r="E110" s="967">
        <f>D110</f>
        <v>0</v>
      </c>
      <c r="F110" s="1396"/>
      <c r="G110" s="658"/>
      <c r="H110" s="658"/>
      <c r="I110" s="811"/>
      <c r="K110" s="663"/>
      <c r="L110" s="664"/>
      <c r="M110" s="664"/>
      <c r="N110" s="664">
        <v>0</v>
      </c>
      <c r="O110" s="664"/>
      <c r="P110" s="664"/>
      <c r="Q110" s="664"/>
      <c r="R110" s="664"/>
      <c r="S110" s="664"/>
      <c r="T110" s="1401"/>
    </row>
    <row r="111" spans="2:20" ht="12" customHeight="1">
      <c r="B111" s="593" t="s">
        <v>10</v>
      </c>
      <c r="C111" s="726">
        <f>IF(C106=0,0,(C106-(C109+(C109*C110)))/C106)</f>
        <v>0</v>
      </c>
      <c r="D111" s="726">
        <f>IF(D106=0,0,(D106-(D109+(D109*D110)))/D106)</f>
        <v>0</v>
      </c>
      <c r="E111" s="976">
        <f>IF(E106=0,0,(E106-(E109+(E109*E110)))/E106)</f>
        <v>0</v>
      </c>
      <c r="F111" s="1396"/>
      <c r="G111" s="658"/>
      <c r="H111" s="658"/>
      <c r="I111" s="811"/>
      <c r="K111" s="663"/>
      <c r="L111" s="664"/>
      <c r="M111" s="664"/>
      <c r="N111" s="664"/>
      <c r="O111" s="664"/>
      <c r="P111" s="664"/>
      <c r="Q111" s="664"/>
      <c r="R111" s="664"/>
      <c r="S111" s="664"/>
      <c r="T111" s="1401"/>
    </row>
    <row r="112" spans="2:20" ht="12" customHeight="1">
      <c r="B112" s="593" t="s">
        <v>644</v>
      </c>
      <c r="C112" s="728">
        <f>IF(C109=0,0,(C109/(1-C110))/(1+C105))</f>
        <v>0</v>
      </c>
      <c r="D112" s="728">
        <f>IF(D109=0,0,(D109/(1-D110))/(1+D105))</f>
        <v>0</v>
      </c>
      <c r="E112" s="977">
        <f>IF(E109=0,0,(E109/(1-E110))/(1+E105))</f>
        <v>0</v>
      </c>
      <c r="F112" s="1396"/>
      <c r="G112" s="658"/>
      <c r="H112" s="658"/>
      <c r="I112" s="811"/>
      <c r="K112" s="663"/>
      <c r="L112" s="664"/>
      <c r="M112" s="664"/>
      <c r="N112" s="664"/>
      <c r="O112" s="664"/>
      <c r="P112" s="664"/>
      <c r="Q112" s="664"/>
      <c r="R112" s="664"/>
      <c r="S112" s="664"/>
      <c r="T112" s="1401"/>
    </row>
    <row r="113" spans="2:20" ht="12" customHeight="1">
      <c r="B113" s="593" t="s">
        <v>493</v>
      </c>
      <c r="C113" s="725">
        <f>C112*C107</f>
        <v>0</v>
      </c>
      <c r="D113" s="725">
        <f>D112*D107</f>
        <v>0</v>
      </c>
      <c r="E113" s="975">
        <f>E112*E107</f>
        <v>0</v>
      </c>
      <c r="F113" s="1396" t="s">
        <v>0</v>
      </c>
      <c r="G113" s="658"/>
      <c r="H113" s="658"/>
      <c r="I113" s="811"/>
      <c r="K113" s="663"/>
      <c r="L113" s="664"/>
      <c r="M113" s="664"/>
      <c r="N113" s="664"/>
      <c r="O113" s="664"/>
      <c r="P113" s="664"/>
      <c r="Q113" s="664"/>
      <c r="R113" s="664"/>
      <c r="S113" s="664"/>
      <c r="T113" s="1401"/>
    </row>
    <row r="114" spans="2:20" s="53" customFormat="1" ht="4.5" customHeight="1">
      <c r="B114" s="596"/>
      <c r="C114" s="940"/>
      <c r="D114" s="940"/>
      <c r="E114" s="978"/>
      <c r="F114" s="969"/>
      <c r="G114" s="832"/>
      <c r="H114" s="832"/>
      <c r="I114" s="970"/>
      <c r="K114" s="1403"/>
      <c r="L114" s="354"/>
      <c r="M114" s="354"/>
      <c r="N114" s="354"/>
      <c r="O114" s="354"/>
      <c r="P114" s="354"/>
      <c r="Q114" s="354"/>
      <c r="R114" s="354"/>
      <c r="S114" s="354"/>
      <c r="T114" s="1404"/>
    </row>
    <row r="115" spans="2:20" ht="12" customHeight="1">
      <c r="B115" s="634"/>
      <c r="C115" s="298">
        <v>0.24</v>
      </c>
      <c r="D115" s="297">
        <f>C115</f>
        <v>0.24</v>
      </c>
      <c r="E115" s="967">
        <f>D115</f>
        <v>0.24</v>
      </c>
      <c r="F115" s="1397"/>
      <c r="G115" s="1579"/>
      <c r="H115" s="1579"/>
      <c r="I115" s="971"/>
      <c r="K115" s="663"/>
      <c r="L115" s="664"/>
      <c r="M115" s="664"/>
      <c r="N115" s="664"/>
      <c r="O115" s="664"/>
      <c r="P115" s="664"/>
      <c r="Q115" s="664"/>
      <c r="R115" s="664"/>
      <c r="S115" s="664"/>
      <c r="T115" s="1401"/>
    </row>
    <row r="116" spans="2:20" ht="12" customHeight="1">
      <c r="B116" s="595" t="s">
        <v>642</v>
      </c>
      <c r="C116" s="721">
        <v>0</v>
      </c>
      <c r="D116" s="722">
        <f>C116*(1+G116)</f>
        <v>0</v>
      </c>
      <c r="E116" s="973">
        <f>D116*(1+H116)</f>
        <v>0</v>
      </c>
      <c r="F116" s="808"/>
      <c r="G116" s="967">
        <v>0.03</v>
      </c>
      <c r="H116" s="968">
        <f>G116</f>
        <v>0.03</v>
      </c>
      <c r="I116" s="817" t="s">
        <v>346</v>
      </c>
      <c r="K116" s="663"/>
      <c r="L116" s="664"/>
      <c r="M116" s="664"/>
      <c r="N116" s="664"/>
      <c r="O116" s="664"/>
      <c r="P116" s="664"/>
      <c r="Q116" s="664"/>
      <c r="R116" s="664"/>
      <c r="S116" s="664"/>
      <c r="T116" s="1401"/>
    </row>
    <row r="117" spans="2:20" ht="12" customHeight="1">
      <c r="B117" s="593" t="s">
        <v>9</v>
      </c>
      <c r="C117" s="723">
        <v>0</v>
      </c>
      <c r="D117" s="731">
        <f>C117*12/C$13+G117*C117*12/C$13</f>
        <v>0</v>
      </c>
      <c r="E117" s="974">
        <f>D117*(1+H117)</f>
        <v>0</v>
      </c>
      <c r="F117" s="808"/>
      <c r="G117" s="967">
        <v>0</v>
      </c>
      <c r="H117" s="968">
        <f>G117</f>
        <v>0</v>
      </c>
      <c r="I117" s="817" t="s">
        <v>347</v>
      </c>
      <c r="K117" s="663"/>
      <c r="L117" s="664"/>
      <c r="M117" s="664"/>
      <c r="N117" s="664"/>
      <c r="O117" s="664"/>
      <c r="P117" s="664"/>
      <c r="Q117" s="664"/>
      <c r="R117" s="664"/>
      <c r="S117" s="664"/>
      <c r="T117" s="1401"/>
    </row>
    <row r="118" spans="2:20" ht="12" customHeight="1">
      <c r="B118" s="593" t="s">
        <v>64</v>
      </c>
      <c r="C118" s="725">
        <f>IF(C116=0,0,C117*C116/(1+C115))</f>
        <v>0</v>
      </c>
      <c r="D118" s="725">
        <f>IF(D116=0,0,D117*D116/(1+D115))</f>
        <v>0</v>
      </c>
      <c r="E118" s="975">
        <f>IF(E116=0,0,E117*E116/(1+E115))</f>
        <v>0</v>
      </c>
      <c r="F118" s="1396"/>
      <c r="G118" s="658"/>
      <c r="H118" s="658"/>
      <c r="I118" s="811"/>
      <c r="K118" s="663"/>
      <c r="L118" s="664"/>
      <c r="M118" s="664"/>
      <c r="N118" s="664"/>
      <c r="O118" s="664"/>
      <c r="P118" s="664"/>
      <c r="Q118" s="664"/>
      <c r="R118" s="664"/>
      <c r="S118" s="664"/>
      <c r="T118" s="1401"/>
    </row>
    <row r="119" spans="2:20" ht="12" customHeight="1">
      <c r="B119" s="593" t="s">
        <v>643</v>
      </c>
      <c r="C119" s="721">
        <v>0</v>
      </c>
      <c r="D119" s="722">
        <f>C119*(1+G119)</f>
        <v>0</v>
      </c>
      <c r="E119" s="973">
        <f>D119*(1+H119)</f>
        <v>0</v>
      </c>
      <c r="F119" s="808"/>
      <c r="G119" s="967">
        <v>0.03</v>
      </c>
      <c r="H119" s="968">
        <f>G119</f>
        <v>0.03</v>
      </c>
      <c r="I119" s="817" t="s">
        <v>346</v>
      </c>
      <c r="K119" s="663"/>
      <c r="L119" s="664"/>
      <c r="M119" s="664"/>
      <c r="N119" s="664"/>
      <c r="O119" s="664"/>
      <c r="P119" s="664"/>
      <c r="Q119" s="664"/>
      <c r="R119" s="664"/>
      <c r="S119" s="664"/>
      <c r="T119" s="1401"/>
    </row>
    <row r="120" spans="2:20" ht="12" customHeight="1">
      <c r="B120" s="593" t="s">
        <v>492</v>
      </c>
      <c r="C120" s="298">
        <v>0</v>
      </c>
      <c r="D120" s="297">
        <f>C120</f>
        <v>0</v>
      </c>
      <c r="E120" s="967">
        <f>D120</f>
        <v>0</v>
      </c>
      <c r="F120" s="1396"/>
      <c r="G120" s="658"/>
      <c r="H120" s="658"/>
      <c r="I120" s="811"/>
      <c r="K120" s="663"/>
      <c r="L120" s="664"/>
      <c r="M120" s="664"/>
      <c r="N120" s="664"/>
      <c r="O120" s="664"/>
      <c r="P120" s="664"/>
      <c r="Q120" s="664"/>
      <c r="R120" s="664"/>
      <c r="S120" s="664"/>
      <c r="T120" s="1401"/>
    </row>
    <row r="121" spans="2:20" ht="12" customHeight="1">
      <c r="B121" s="593" t="s">
        <v>10</v>
      </c>
      <c r="C121" s="726">
        <f>IF(C116=0,0,(C116-(C119+(C119*C120)))/C116)</f>
        <v>0</v>
      </c>
      <c r="D121" s="726">
        <f>IF(D116=0,0,(D116-(D119+(D119*D120)))/D116)</f>
        <v>0</v>
      </c>
      <c r="E121" s="976">
        <f>IF(E116=0,0,(E116-(E119+(E119*E120)))/E116)</f>
        <v>0</v>
      </c>
      <c r="F121" s="1396"/>
      <c r="G121" s="658"/>
      <c r="H121" s="658"/>
      <c r="I121" s="811"/>
      <c r="K121" s="663"/>
      <c r="L121" s="664"/>
      <c r="M121" s="664"/>
      <c r="N121" s="664"/>
      <c r="O121" s="664"/>
      <c r="P121" s="664"/>
      <c r="Q121" s="664"/>
      <c r="R121" s="664"/>
      <c r="S121" s="664"/>
      <c r="T121" s="1401"/>
    </row>
    <row r="122" spans="2:20" ht="12" customHeight="1">
      <c r="B122" s="593" t="s">
        <v>644</v>
      </c>
      <c r="C122" s="728">
        <f>IF(C119=0,0,(C119/(1-C120))/(1+C115))</f>
        <v>0</v>
      </c>
      <c r="D122" s="728">
        <f>IF(D119=0,0,(D119/(1-D120))/(1+D115))</f>
        <v>0</v>
      </c>
      <c r="E122" s="977">
        <f>IF(E119=0,0,(E119/(1-E120))/(1+E115))</f>
        <v>0</v>
      </c>
      <c r="F122" s="1396"/>
      <c r="G122" s="658"/>
      <c r="H122" s="658"/>
      <c r="I122" s="811"/>
      <c r="K122" s="663"/>
      <c r="L122" s="664"/>
      <c r="M122" s="664"/>
      <c r="N122" s="664"/>
      <c r="O122" s="664"/>
      <c r="P122" s="664"/>
      <c r="Q122" s="664"/>
      <c r="R122" s="664"/>
      <c r="S122" s="664"/>
      <c r="T122" s="1401"/>
    </row>
    <row r="123" spans="2:20" ht="12" customHeight="1">
      <c r="B123" s="593" t="s">
        <v>493</v>
      </c>
      <c r="C123" s="725">
        <f>C122*C117</f>
        <v>0</v>
      </c>
      <c r="D123" s="725">
        <f>D122*D117</f>
        <v>0</v>
      </c>
      <c r="E123" s="975">
        <f>E122*E117</f>
        <v>0</v>
      </c>
      <c r="F123" s="1396" t="s">
        <v>0</v>
      </c>
      <c r="G123" s="658"/>
      <c r="H123" s="658"/>
      <c r="I123" s="811"/>
      <c r="K123" s="663"/>
      <c r="L123" s="664"/>
      <c r="M123" s="664"/>
      <c r="N123" s="664"/>
      <c r="O123" s="664"/>
      <c r="P123" s="664"/>
      <c r="Q123" s="664"/>
      <c r="R123" s="664"/>
      <c r="S123" s="664"/>
      <c r="T123" s="1401"/>
    </row>
    <row r="124" spans="2:20" s="53" customFormat="1" ht="4.5" customHeight="1">
      <c r="B124" s="597"/>
      <c r="C124" s="941"/>
      <c r="D124" s="941"/>
      <c r="E124" s="979"/>
      <c r="F124" s="969"/>
      <c r="G124" s="832"/>
      <c r="H124" s="832"/>
      <c r="I124" s="970"/>
      <c r="K124" s="1403"/>
      <c r="L124" s="354"/>
      <c r="M124" s="354"/>
      <c r="N124" s="354"/>
      <c r="O124" s="354"/>
      <c r="P124" s="354"/>
      <c r="Q124" s="354"/>
      <c r="R124" s="354"/>
      <c r="S124" s="354"/>
      <c r="T124" s="1404"/>
    </row>
    <row r="125" spans="2:20" ht="12" customHeight="1">
      <c r="B125" s="634" t="s">
        <v>868</v>
      </c>
      <c r="C125" s="297">
        <v>0.24</v>
      </c>
      <c r="D125" s="297">
        <f>C125</f>
        <v>0.24</v>
      </c>
      <c r="E125" s="967">
        <f>D125</f>
        <v>0.24</v>
      </c>
      <c r="F125" s="1397"/>
      <c r="G125" s="1579"/>
      <c r="H125" s="1579"/>
      <c r="I125" s="971"/>
      <c r="K125" s="663"/>
      <c r="L125" s="664"/>
      <c r="M125" s="664"/>
      <c r="N125" s="664"/>
      <c r="O125" s="664"/>
      <c r="P125" s="664"/>
      <c r="Q125" s="664"/>
      <c r="R125" s="664"/>
      <c r="S125" s="664"/>
      <c r="T125" s="1401"/>
    </row>
    <row r="126" spans="2:20" ht="12" customHeight="1">
      <c r="B126" s="595" t="s">
        <v>642</v>
      </c>
      <c r="C126" s="721">
        <v>0</v>
      </c>
      <c r="D126" s="722">
        <f>C126*(1+G126)</f>
        <v>0</v>
      </c>
      <c r="E126" s="973">
        <f>D126*(1+H126)</f>
        <v>0</v>
      </c>
      <c r="F126" s="808"/>
      <c r="G126" s="967">
        <v>0.03</v>
      </c>
      <c r="H126" s="968">
        <f>G126</f>
        <v>0.03</v>
      </c>
      <c r="I126" s="817" t="s">
        <v>346</v>
      </c>
      <c r="K126" s="663"/>
      <c r="L126" s="664"/>
      <c r="M126" s="664"/>
      <c r="N126" s="664"/>
      <c r="O126" s="664"/>
      <c r="P126" s="664"/>
      <c r="Q126" s="664"/>
      <c r="R126" s="664"/>
      <c r="S126" s="664"/>
      <c r="T126" s="1401"/>
    </row>
    <row r="127" spans="2:20" ht="12" customHeight="1">
      <c r="B127" s="593" t="s">
        <v>9</v>
      </c>
      <c r="C127" s="723">
        <v>0</v>
      </c>
      <c r="D127" s="731">
        <f>C127*12/C$13+G127*C127*12/C$13</f>
        <v>0</v>
      </c>
      <c r="E127" s="974">
        <f>D127*(1+H127)</f>
        <v>0</v>
      </c>
      <c r="F127" s="808"/>
      <c r="G127" s="967">
        <v>0</v>
      </c>
      <c r="H127" s="968">
        <f>G127</f>
        <v>0</v>
      </c>
      <c r="I127" s="817" t="s">
        <v>347</v>
      </c>
      <c r="K127" s="663"/>
      <c r="L127" s="664"/>
      <c r="M127" s="664"/>
      <c r="N127" s="664"/>
      <c r="O127" s="664"/>
      <c r="P127" s="664"/>
      <c r="Q127" s="664"/>
      <c r="R127" s="664"/>
      <c r="S127" s="664"/>
      <c r="T127" s="1401"/>
    </row>
    <row r="128" spans="2:20" ht="12" customHeight="1">
      <c r="B128" s="593" t="s">
        <v>739</v>
      </c>
      <c r="C128" s="723">
        <v>0</v>
      </c>
      <c r="D128" s="722">
        <f>C128*(1+G128)</f>
        <v>0</v>
      </c>
      <c r="E128" s="973">
        <f>D128*(1+H128)</f>
        <v>0</v>
      </c>
      <c r="F128" s="1396"/>
      <c r="G128" s="967">
        <v>0.03</v>
      </c>
      <c r="H128" s="968">
        <f>G128</f>
        <v>0.03</v>
      </c>
      <c r="I128" s="817" t="s">
        <v>346</v>
      </c>
      <c r="K128" s="663"/>
      <c r="L128" s="664"/>
      <c r="M128" s="664"/>
      <c r="N128" s="664"/>
      <c r="O128" s="664"/>
      <c r="P128" s="664"/>
      <c r="Q128" s="664"/>
      <c r="R128" s="664"/>
      <c r="S128" s="664"/>
      <c r="T128" s="1401"/>
    </row>
    <row r="129" spans="2:20" ht="12" customHeight="1">
      <c r="B129" s="593" t="s">
        <v>492</v>
      </c>
      <c r="C129" s="298">
        <v>0</v>
      </c>
      <c r="D129" s="297">
        <f>C129</f>
        <v>0</v>
      </c>
      <c r="E129" s="967">
        <f>D129</f>
        <v>0</v>
      </c>
      <c r="F129" s="808"/>
      <c r="G129" s="658"/>
      <c r="H129" s="658"/>
      <c r="I129" s="811"/>
      <c r="K129" s="663"/>
      <c r="L129" s="664"/>
      <c r="M129" s="664"/>
      <c r="N129" s="664"/>
      <c r="O129" s="664"/>
      <c r="P129" s="664"/>
      <c r="Q129" s="664"/>
      <c r="R129" s="664"/>
      <c r="S129" s="664"/>
      <c r="T129" s="1401"/>
    </row>
    <row r="130" spans="2:20" ht="12" customHeight="1">
      <c r="B130" s="593" t="s">
        <v>647</v>
      </c>
      <c r="C130" s="725">
        <f>IF(C126=0,0,C127*C126-'4 AT  Myynnin alv'!B19)</f>
        <v>0</v>
      </c>
      <c r="D130" s="725">
        <f>IF(D126=0,0,D127*D126-'4 AT  Myynnin alv'!C19)</f>
        <v>0</v>
      </c>
      <c r="E130" s="975">
        <f>IF(E126=0,0,E127*E126-'4 AT  Myynnin alv'!D19)</f>
        <v>0</v>
      </c>
      <c r="F130" s="1396"/>
      <c r="G130" s="658"/>
      <c r="H130" s="658"/>
      <c r="I130" s="811"/>
      <c r="K130" s="663"/>
      <c r="L130" s="664"/>
      <c r="M130" s="664"/>
      <c r="N130" s="664"/>
      <c r="O130" s="664"/>
      <c r="P130" s="664"/>
      <c r="Q130" s="664"/>
      <c r="R130" s="664"/>
      <c r="S130" s="664"/>
      <c r="T130" s="1401"/>
    </row>
    <row r="131" spans="2:20" ht="12" customHeight="1">
      <c r="B131" s="593" t="s">
        <v>10</v>
      </c>
      <c r="C131" s="769">
        <f>IF(C126=0,0,(C130-C133)/C130)</f>
        <v>0</v>
      </c>
      <c r="D131" s="769">
        <f t="shared" ref="D131" si="5">IF(D126=0,0,(D130-D133)/D130)</f>
        <v>0</v>
      </c>
      <c r="E131" s="980">
        <f t="shared" ref="E131" si="6">IF(E126=0,0,(E130-E133)/E130)</f>
        <v>0</v>
      </c>
      <c r="F131" s="1396"/>
      <c r="G131" s="658"/>
      <c r="H131" s="658"/>
      <c r="I131" s="811"/>
      <c r="K131" s="663"/>
      <c r="L131" s="664"/>
      <c r="M131" s="664"/>
      <c r="N131" s="664"/>
      <c r="O131" s="664"/>
      <c r="P131" s="664"/>
      <c r="Q131" s="664"/>
      <c r="R131" s="664"/>
      <c r="S131" s="664"/>
      <c r="T131" s="1401"/>
    </row>
    <row r="132" spans="2:20" ht="12" customHeight="1">
      <c r="B132" s="593" t="s">
        <v>644</v>
      </c>
      <c r="C132" s="728">
        <f>IF(C128=0,0,(C128/(1-C129)))</f>
        <v>0</v>
      </c>
      <c r="D132" s="728">
        <f t="shared" ref="D132:E132" si="7">IF(D128=0,0,(D128/(1-D129)))</f>
        <v>0</v>
      </c>
      <c r="E132" s="977">
        <f t="shared" si="7"/>
        <v>0</v>
      </c>
      <c r="F132" s="1396"/>
      <c r="G132" s="658"/>
      <c r="H132" s="658"/>
      <c r="I132" s="811"/>
      <c r="K132" s="663"/>
      <c r="L132" s="664"/>
      <c r="M132" s="664"/>
      <c r="N132" s="664"/>
      <c r="O132" s="664"/>
      <c r="P132" s="664"/>
      <c r="Q132" s="664"/>
      <c r="R132" s="664"/>
      <c r="S132" s="664"/>
      <c r="T132" s="1401"/>
    </row>
    <row r="133" spans="2:20" ht="12" customHeight="1">
      <c r="B133" s="593" t="s">
        <v>646</v>
      </c>
      <c r="C133" s="725">
        <f>C132*C127</f>
        <v>0</v>
      </c>
      <c r="D133" s="725">
        <f>D132*D127</f>
        <v>0</v>
      </c>
      <c r="E133" s="975">
        <f>E132*E127</f>
        <v>0</v>
      </c>
      <c r="F133" s="1396"/>
      <c r="G133" s="658"/>
      <c r="H133" s="658"/>
      <c r="I133" s="811"/>
      <c r="K133" s="665"/>
      <c r="L133" s="666"/>
      <c r="M133" s="666"/>
      <c r="N133" s="666"/>
      <c r="O133" s="666"/>
      <c r="P133" s="666"/>
      <c r="Q133" s="666"/>
      <c r="R133" s="666"/>
      <c r="S133" s="666"/>
      <c r="T133" s="1402"/>
    </row>
    <row r="134" spans="2:20" ht="4.5" customHeight="1">
      <c r="B134" s="154"/>
      <c r="C134" s="345"/>
      <c r="D134" s="345"/>
      <c r="E134" s="345"/>
      <c r="F134" s="1397"/>
      <c r="G134" s="299"/>
      <c r="H134" s="299"/>
      <c r="I134" s="817"/>
      <c r="K134" s="354"/>
      <c r="L134" s="354"/>
      <c r="M134" s="354"/>
      <c r="N134" s="354"/>
      <c r="O134" s="354"/>
      <c r="P134" s="354"/>
      <c r="Q134" s="354"/>
      <c r="R134" s="354"/>
      <c r="S134" s="354"/>
      <c r="T134" s="354"/>
    </row>
    <row r="135" spans="2:20" ht="12.75" customHeight="1">
      <c r="B135" s="799" t="s">
        <v>231</v>
      </c>
      <c r="C135" s="734">
        <f>C76*C77+C86*C87+C96*C97+C106*C107+C116*C117+C126*C127+C65</f>
        <v>0</v>
      </c>
      <c r="D135" s="734">
        <f>D76*D77+D86*D87+D96*D97+D106*D107+D116*D117+D126*D127+D65</f>
        <v>0</v>
      </c>
      <c r="E135" s="981">
        <f>E76*E77+E86*E87+E96*E97+E106*E107+E116*E117+E126*E127+E65</f>
        <v>0</v>
      </c>
      <c r="F135" s="1397"/>
      <c r="G135" s="299"/>
      <c r="H135" s="299"/>
      <c r="I135" s="817"/>
      <c r="K135" s="354"/>
      <c r="L135" s="354"/>
      <c r="M135" s="354"/>
      <c r="N135" s="354"/>
      <c r="O135" s="354"/>
      <c r="P135" s="354"/>
      <c r="Q135" s="354"/>
      <c r="R135" s="354"/>
      <c r="S135" s="354"/>
      <c r="T135" s="354"/>
    </row>
    <row r="136" spans="2:20" ht="12" customHeight="1">
      <c r="B136" s="800" t="s">
        <v>232</v>
      </c>
      <c r="C136" s="734">
        <f>C88+C98+C108+C118+C130+C66+C78</f>
        <v>0</v>
      </c>
      <c r="D136" s="734">
        <f>D88+D98+D108+D118+D130+D66+D78</f>
        <v>0</v>
      </c>
      <c r="E136" s="981">
        <f>E88+E98+E108+E118+E130+E66+E78</f>
        <v>0</v>
      </c>
      <c r="F136" s="1397"/>
      <c r="G136" s="299"/>
      <c r="H136" s="299"/>
      <c r="I136" s="817"/>
      <c r="K136" s="354"/>
      <c r="L136" s="354"/>
      <c r="M136" s="354"/>
      <c r="N136" s="354"/>
      <c r="O136" s="354"/>
      <c r="P136" s="354"/>
      <c r="Q136" s="354"/>
      <c r="R136" s="354"/>
      <c r="S136" s="354"/>
      <c r="T136" s="354"/>
    </row>
    <row r="137" spans="2:20" ht="12" customHeight="1">
      <c r="B137" s="800" t="s">
        <v>768</v>
      </c>
      <c r="C137" s="734">
        <f>C123+C123*C115+C113+C113*C105+C103+C103*C95+C93+C93*C85+C83+C83*C75+C67</f>
        <v>0</v>
      </c>
      <c r="D137" s="734">
        <f t="shared" ref="D137:E137" si="8">D123+D123*D115+D113+D113*D105+D103+D103*D95+D93+D93*D85+D83+D83*D75+D67</f>
        <v>0</v>
      </c>
      <c r="E137" s="734">
        <f t="shared" si="8"/>
        <v>0</v>
      </c>
      <c r="F137" s="1397"/>
      <c r="G137" s="299"/>
      <c r="H137" s="299"/>
      <c r="I137" s="817"/>
      <c r="K137" s="354"/>
      <c r="L137" s="354"/>
      <c r="M137" s="354"/>
      <c r="N137" s="354"/>
      <c r="O137" s="354"/>
      <c r="P137" s="354"/>
      <c r="Q137" s="354"/>
      <c r="R137" s="354"/>
      <c r="S137" s="354"/>
      <c r="T137" s="354"/>
    </row>
    <row r="138" spans="2:20" ht="12" customHeight="1">
      <c r="B138" s="800" t="s">
        <v>769</v>
      </c>
      <c r="C138" s="734">
        <f>C133+C123+C113+C103+C93+C83+C68</f>
        <v>0</v>
      </c>
      <c r="D138" s="734">
        <f>D133+D123+D113+D103+D93+D83+D68</f>
        <v>0</v>
      </c>
      <c r="E138" s="981">
        <f>E133+E123+E113+E103+E93+E83+E68</f>
        <v>0</v>
      </c>
      <c r="F138" s="1397"/>
      <c r="G138" s="299"/>
      <c r="H138" s="299"/>
      <c r="I138" s="817"/>
      <c r="K138" s="354"/>
      <c r="L138" s="354"/>
      <c r="M138" s="354"/>
      <c r="N138" s="354"/>
      <c r="O138" s="354"/>
      <c r="P138" s="354"/>
      <c r="Q138" s="354"/>
      <c r="R138" s="354"/>
      <c r="S138" s="354"/>
      <c r="T138" s="354"/>
    </row>
    <row r="139" spans="2:20" ht="12" customHeight="1">
      <c r="B139" s="800" t="s">
        <v>649</v>
      </c>
      <c r="C139" s="735">
        <f>IF(C136=0,0,(C136-C138)/C136)</f>
        <v>0</v>
      </c>
      <c r="D139" s="735">
        <f t="shared" ref="D139:E139" si="9">IF(D136=0,0,(D136-D138)/D136)</f>
        <v>0</v>
      </c>
      <c r="E139" s="982">
        <f t="shared" si="9"/>
        <v>0</v>
      </c>
      <c r="F139" s="1400"/>
      <c r="G139" s="983"/>
      <c r="H139" s="983"/>
      <c r="I139" s="984"/>
      <c r="K139" s="354"/>
      <c r="L139" s="354"/>
      <c r="M139" s="354"/>
      <c r="N139" s="354"/>
      <c r="O139" s="354"/>
      <c r="P139" s="354"/>
      <c r="Q139" s="354"/>
      <c r="R139" s="354"/>
      <c r="S139" s="354"/>
      <c r="T139" s="354"/>
    </row>
    <row r="140" spans="2:20" ht="4.5" customHeight="1">
      <c r="B140" s="332"/>
      <c r="C140" s="740"/>
      <c r="D140" s="740"/>
      <c r="E140" s="740"/>
      <c r="F140" s="299"/>
      <c r="G140" s="299"/>
      <c r="H140" s="299"/>
      <c r="I140" s="320"/>
      <c r="K140" s="354"/>
      <c r="L140" s="354"/>
      <c r="M140" s="354"/>
      <c r="N140" s="354"/>
      <c r="O140" s="354"/>
      <c r="P140" s="354"/>
      <c r="Q140" s="354"/>
      <c r="R140" s="354"/>
      <c r="S140" s="354"/>
      <c r="T140" s="354"/>
    </row>
    <row r="141" spans="2:20" ht="12" customHeight="1">
      <c r="B141" s="1692"/>
      <c r="C141" s="821" t="str">
        <f t="shared" ref="C141:E142" si="10">C11</f>
        <v>1. TILIKAUSI</v>
      </c>
      <c r="D141" s="821" t="str">
        <f t="shared" si="10"/>
        <v>2. TILIKAUSI</v>
      </c>
      <c r="E141" s="821" t="str">
        <f t="shared" si="10"/>
        <v xml:space="preserve">3. TILIKAUSI </v>
      </c>
      <c r="F141" s="299"/>
      <c r="G141" s="299"/>
      <c r="H141" s="299"/>
      <c r="I141" s="320"/>
      <c r="K141" s="354"/>
      <c r="L141" s="354"/>
      <c r="M141" s="354"/>
      <c r="N141" s="354"/>
      <c r="O141" s="354"/>
      <c r="P141" s="354"/>
      <c r="Q141" s="354"/>
      <c r="R141" s="354"/>
      <c r="S141" s="354"/>
      <c r="T141" s="354"/>
    </row>
    <row r="142" spans="2:20" ht="12" customHeight="1">
      <c r="B142" s="1692"/>
      <c r="C142" s="842">
        <f t="shared" si="10"/>
        <v>2025</v>
      </c>
      <c r="D142" s="842">
        <f t="shared" si="10"/>
        <v>2026</v>
      </c>
      <c r="E142" s="842">
        <f t="shared" si="10"/>
        <v>2027</v>
      </c>
      <c r="F142" s="299"/>
      <c r="G142" s="299"/>
      <c r="H142" s="299"/>
      <c r="I142" s="320"/>
      <c r="K142" s="354"/>
      <c r="L142" s="354"/>
      <c r="M142" s="354"/>
      <c r="N142" s="354"/>
      <c r="O142" s="354"/>
      <c r="P142" s="354"/>
      <c r="Q142" s="354"/>
      <c r="R142" s="354"/>
      <c r="S142" s="354"/>
      <c r="T142" s="354"/>
    </row>
    <row r="143" spans="2:20" ht="12" customHeight="1">
      <c r="B143" s="835" t="str">
        <f>B73</f>
        <v>TILIKAUDEN PITUUS (kk)</v>
      </c>
      <c r="C143" s="843">
        <f>C73</f>
        <v>12</v>
      </c>
      <c r="D143" s="843">
        <f>D73</f>
        <v>12</v>
      </c>
      <c r="E143" s="843">
        <f>E73</f>
        <v>12</v>
      </c>
      <c r="F143" s="299"/>
      <c r="G143" s="299"/>
      <c r="H143" s="299"/>
      <c r="I143" s="320"/>
      <c r="K143" s="354"/>
      <c r="L143" s="354"/>
      <c r="M143" s="354"/>
      <c r="N143" s="354"/>
      <c r="O143" s="354"/>
      <c r="P143" s="354"/>
      <c r="Q143" s="354"/>
      <c r="R143" s="354"/>
      <c r="S143" s="354"/>
      <c r="T143" s="354"/>
    </row>
    <row r="144" spans="2:20" ht="6" customHeight="1">
      <c r="B144" s="841"/>
      <c r="C144" s="345"/>
      <c r="D144" s="345"/>
      <c r="E144" s="345"/>
      <c r="F144" s="299"/>
      <c r="G144" s="299"/>
      <c r="H144" s="299"/>
      <c r="I144" s="320"/>
      <c r="K144" s="354"/>
      <c r="L144" s="354"/>
      <c r="M144" s="354"/>
      <c r="N144" s="354"/>
      <c r="O144" s="354"/>
      <c r="P144" s="354"/>
      <c r="Q144" s="354"/>
      <c r="R144" s="354"/>
      <c r="S144" s="354"/>
      <c r="T144" s="354"/>
    </row>
    <row r="145" spans="1:20" ht="12" customHeight="1">
      <c r="B145" s="634"/>
      <c r="C145" s="298">
        <v>0.24</v>
      </c>
      <c r="D145" s="297">
        <f>C145</f>
        <v>0.24</v>
      </c>
      <c r="E145" s="297">
        <f>D145</f>
        <v>0.24</v>
      </c>
      <c r="F145" s="1399"/>
      <c r="G145" s="965">
        <f>G$15</f>
        <v>2026</v>
      </c>
      <c r="H145" s="965">
        <f>H$15</f>
        <v>2027</v>
      </c>
      <c r="I145" s="966"/>
      <c r="K145" s="1580" t="s">
        <v>545</v>
      </c>
      <c r="L145" s="1409"/>
      <c r="M145" s="1409"/>
      <c r="N145" s="1409"/>
      <c r="O145" s="1409"/>
      <c r="P145" s="1410"/>
      <c r="Q145" s="1410"/>
      <c r="R145" s="1410"/>
      <c r="S145" s="1410"/>
      <c r="T145" s="1411"/>
    </row>
    <row r="146" spans="1:20" ht="12" customHeight="1">
      <c r="B146" s="595" t="s">
        <v>642</v>
      </c>
      <c r="C146" s="721">
        <v>0</v>
      </c>
      <c r="D146" s="721">
        <f>C146*(1+G146)</f>
        <v>0</v>
      </c>
      <c r="E146" s="722">
        <f>D146*(1+H146)</f>
        <v>0</v>
      </c>
      <c r="F146" s="808"/>
      <c r="G146" s="968">
        <v>0.03</v>
      </c>
      <c r="H146" s="985">
        <f>G146</f>
        <v>0.03</v>
      </c>
      <c r="I146" s="817" t="s">
        <v>346</v>
      </c>
      <c r="K146" s="663"/>
      <c r="L146" s="664"/>
      <c r="M146" s="664"/>
      <c r="N146" s="664"/>
      <c r="O146" s="664"/>
      <c r="P146" s="664"/>
      <c r="Q146" s="664"/>
      <c r="R146" s="664"/>
      <c r="S146" s="664"/>
      <c r="T146" s="1401"/>
    </row>
    <row r="147" spans="1:20" ht="12" customHeight="1">
      <c r="B147" s="593" t="s">
        <v>9</v>
      </c>
      <c r="C147" s="723">
        <v>0</v>
      </c>
      <c r="D147" s="723">
        <f>C147*12/C$13+G147*C147*12/C$13</f>
        <v>0</v>
      </c>
      <c r="E147" s="731">
        <f>D147*(1+H147)</f>
        <v>0</v>
      </c>
      <c r="F147" s="808"/>
      <c r="G147" s="968">
        <v>0</v>
      </c>
      <c r="H147" s="985">
        <f>G147</f>
        <v>0</v>
      </c>
      <c r="I147" s="817" t="s">
        <v>347</v>
      </c>
      <c r="K147" s="663"/>
      <c r="L147" s="664"/>
      <c r="M147" s="664"/>
      <c r="N147" s="664"/>
      <c r="O147" s="664"/>
      <c r="P147" s="664"/>
      <c r="Q147" s="664"/>
      <c r="R147" s="664"/>
      <c r="S147" s="664"/>
      <c r="T147" s="1401"/>
    </row>
    <row r="148" spans="1:20" ht="12" customHeight="1">
      <c r="B148" s="593" t="s">
        <v>64</v>
      </c>
      <c r="C148" s="725">
        <f>IF(C146=0,0,C147*C146/(1+C145))</f>
        <v>0</v>
      </c>
      <c r="D148" s="725">
        <f>IF(D146=0,0,D147*D146/(1+D145))</f>
        <v>0</v>
      </c>
      <c r="E148" s="729">
        <f>IF(E146=0,0,E147*E146/(1+E145))</f>
        <v>0</v>
      </c>
      <c r="F148" s="1396"/>
      <c r="G148" s="658"/>
      <c r="H148" s="658"/>
      <c r="I148" s="811"/>
      <c r="K148" s="663"/>
      <c r="L148" s="664"/>
      <c r="M148" s="664"/>
      <c r="N148" s="664"/>
      <c r="O148" s="664"/>
      <c r="P148" s="664"/>
      <c r="Q148" s="664"/>
      <c r="R148" s="664"/>
      <c r="S148" s="664"/>
      <c r="T148" s="1401"/>
    </row>
    <row r="149" spans="1:20" ht="12" customHeight="1">
      <c r="B149" s="593" t="s">
        <v>643</v>
      </c>
      <c r="C149" s="721">
        <v>0</v>
      </c>
      <c r="D149" s="721">
        <f>C149*(1+G149)</f>
        <v>0</v>
      </c>
      <c r="E149" s="722">
        <f>D149*(1+H149)</f>
        <v>0</v>
      </c>
      <c r="F149" s="808"/>
      <c r="G149" s="968">
        <v>0.03</v>
      </c>
      <c r="H149" s="985">
        <f>G149</f>
        <v>0.03</v>
      </c>
      <c r="I149" s="817" t="s">
        <v>346</v>
      </c>
      <c r="K149" s="663"/>
      <c r="L149" s="664"/>
      <c r="M149" s="664"/>
      <c r="N149" s="664"/>
      <c r="O149" s="664"/>
      <c r="P149" s="664"/>
      <c r="Q149" s="664"/>
      <c r="R149" s="664"/>
      <c r="S149" s="664"/>
      <c r="T149" s="1401"/>
    </row>
    <row r="150" spans="1:20" ht="12" customHeight="1">
      <c r="B150" s="593" t="s">
        <v>492</v>
      </c>
      <c r="C150" s="298">
        <v>0</v>
      </c>
      <c r="D150" s="298">
        <f>C150</f>
        <v>0</v>
      </c>
      <c r="E150" s="297">
        <f>D150</f>
        <v>0</v>
      </c>
      <c r="F150" s="1396"/>
      <c r="G150" s="658"/>
      <c r="H150" s="658"/>
      <c r="I150" s="811"/>
      <c r="K150" s="663"/>
      <c r="L150" s="664"/>
      <c r="M150" s="664"/>
      <c r="N150" s="664"/>
      <c r="O150" s="664"/>
      <c r="P150" s="664"/>
      <c r="Q150" s="664"/>
      <c r="R150" s="664"/>
      <c r="S150" s="664"/>
      <c r="T150" s="1401"/>
    </row>
    <row r="151" spans="1:20" ht="12" customHeight="1">
      <c r="B151" s="593" t="s">
        <v>10</v>
      </c>
      <c r="C151" s="726">
        <f>IF(C146=0,0,(C146-(C149+(C149*C150)))/C146)</f>
        <v>0</v>
      </c>
      <c r="D151" s="726">
        <f>IF(D146=0,0,(D146-(D149+(D149*D150)))/D146)</f>
        <v>0</v>
      </c>
      <c r="E151" s="727">
        <f>IF(E146=0,0,(E146-(E149+(E149*E150)))/E146)</f>
        <v>0</v>
      </c>
      <c r="F151" s="1396"/>
      <c r="G151" s="658"/>
      <c r="H151" s="658"/>
      <c r="I151" s="811"/>
      <c r="K151" s="663"/>
      <c r="L151" s="664"/>
      <c r="M151" s="664"/>
      <c r="N151" s="664"/>
      <c r="O151" s="664"/>
      <c r="P151" s="664"/>
      <c r="Q151" s="664"/>
      <c r="R151" s="664"/>
      <c r="S151" s="664"/>
      <c r="T151" s="1401"/>
    </row>
    <row r="152" spans="1:20" ht="12" customHeight="1">
      <c r="B152" s="593" t="s">
        <v>644</v>
      </c>
      <c r="C152" s="728">
        <f>IF(C149=0,0,(C149/(1-C150))/(1+C145))</f>
        <v>0</v>
      </c>
      <c r="D152" s="728">
        <f>IF(D149=0,0,(D149/(1-D150))/(1+D145))</f>
        <v>0</v>
      </c>
      <c r="E152" s="738">
        <f>IF(E149=0,0,(E149/(1-E150))/(1+E145))</f>
        <v>0</v>
      </c>
      <c r="F152" s="1396"/>
      <c r="G152" s="658"/>
      <c r="H152" s="658"/>
      <c r="I152" s="811"/>
      <c r="K152" s="663"/>
      <c r="L152" s="664"/>
      <c r="M152" s="664"/>
      <c r="N152" s="664"/>
      <c r="O152" s="664"/>
      <c r="P152" s="664"/>
      <c r="Q152" s="664"/>
      <c r="R152" s="664"/>
      <c r="S152" s="664"/>
      <c r="T152" s="1401"/>
    </row>
    <row r="153" spans="1:20" ht="12" customHeight="1">
      <c r="B153" s="593" t="s">
        <v>493</v>
      </c>
      <c r="C153" s="725">
        <f>C152*C147</f>
        <v>0</v>
      </c>
      <c r="D153" s="725">
        <f>D152*D147</f>
        <v>0</v>
      </c>
      <c r="E153" s="729">
        <f>E152*E147</f>
        <v>0</v>
      </c>
      <c r="F153" s="1396"/>
      <c r="G153" s="658"/>
      <c r="H153" s="658"/>
      <c r="I153" s="811"/>
      <c r="K153" s="663"/>
      <c r="L153" s="664"/>
      <c r="M153" s="664"/>
      <c r="N153" s="664"/>
      <c r="O153" s="664"/>
      <c r="P153" s="664"/>
      <c r="Q153" s="664"/>
      <c r="R153" s="664"/>
      <c r="S153" s="664"/>
      <c r="T153" s="1401"/>
    </row>
    <row r="154" spans="1:20" s="53" customFormat="1" ht="4.5" customHeight="1">
      <c r="B154" s="596"/>
      <c r="C154" s="940"/>
      <c r="D154" s="940"/>
      <c r="E154" s="940"/>
      <c r="F154" s="969"/>
      <c r="G154" s="832"/>
      <c r="H154" s="832"/>
      <c r="I154" s="970"/>
      <c r="K154" s="1403"/>
      <c r="L154" s="354"/>
      <c r="M154" s="354"/>
      <c r="N154" s="354"/>
      <c r="O154" s="354"/>
      <c r="P154" s="354"/>
      <c r="Q154" s="354"/>
      <c r="R154" s="354"/>
      <c r="S154" s="354"/>
      <c r="T154" s="1404"/>
    </row>
    <row r="155" spans="1:20" ht="12" customHeight="1">
      <c r="A155" s="154"/>
      <c r="B155" s="634"/>
      <c r="C155" s="298">
        <v>0.24</v>
      </c>
      <c r="D155" s="297">
        <f>C155</f>
        <v>0.24</v>
      </c>
      <c r="E155" s="297">
        <f>D155</f>
        <v>0.24</v>
      </c>
      <c r="F155" s="1397"/>
      <c r="G155" s="1578"/>
      <c r="H155" s="1578"/>
      <c r="I155" s="971"/>
      <c r="K155" s="663"/>
      <c r="L155" s="664"/>
      <c r="M155" s="664"/>
      <c r="N155" s="664"/>
      <c r="O155" s="664"/>
      <c r="P155" s="664"/>
      <c r="Q155" s="664"/>
      <c r="R155" s="664"/>
      <c r="S155" s="664"/>
      <c r="T155" s="1401"/>
    </row>
    <row r="156" spans="1:20" ht="12" customHeight="1">
      <c r="B156" s="595" t="s">
        <v>642</v>
      </c>
      <c r="C156" s="721">
        <v>0</v>
      </c>
      <c r="D156" s="721">
        <f>C156*(1+G156)</f>
        <v>0</v>
      </c>
      <c r="E156" s="722">
        <f>D156*(1+H156)</f>
        <v>0</v>
      </c>
      <c r="F156" s="808"/>
      <c r="G156" s="967">
        <v>0.03</v>
      </c>
      <c r="H156" s="968">
        <f>G156</f>
        <v>0.03</v>
      </c>
      <c r="I156" s="817" t="s">
        <v>346</v>
      </c>
      <c r="K156" s="663"/>
      <c r="L156" s="664"/>
      <c r="M156" s="664"/>
      <c r="N156" s="664"/>
      <c r="O156" s="664"/>
      <c r="P156" s="664"/>
      <c r="Q156" s="664"/>
      <c r="R156" s="664"/>
      <c r="S156" s="664"/>
      <c r="T156" s="1401"/>
    </row>
    <row r="157" spans="1:20" ht="12" customHeight="1">
      <c r="A157" s="154"/>
      <c r="B157" s="593" t="s">
        <v>9</v>
      </c>
      <c r="C157" s="723">
        <v>0</v>
      </c>
      <c r="D157" s="723">
        <f>C157*12/C$13+G157*C157*12/C$13</f>
        <v>0</v>
      </c>
      <c r="E157" s="731">
        <f>D157*(1+H157)</f>
        <v>0</v>
      </c>
      <c r="F157" s="808"/>
      <c r="G157" s="967">
        <v>0</v>
      </c>
      <c r="H157" s="968">
        <f>G157</f>
        <v>0</v>
      </c>
      <c r="I157" s="817" t="s">
        <v>347</v>
      </c>
      <c r="K157" s="663"/>
      <c r="L157" s="664"/>
      <c r="M157" s="664"/>
      <c r="N157" s="664"/>
      <c r="O157" s="664"/>
      <c r="P157" s="664"/>
      <c r="Q157" s="664"/>
      <c r="R157" s="664"/>
      <c r="S157" s="664"/>
      <c r="T157" s="1401"/>
    </row>
    <row r="158" spans="1:20" ht="12" customHeight="1">
      <c r="A158" s="2"/>
      <c r="B158" s="593" t="s">
        <v>64</v>
      </c>
      <c r="C158" s="725">
        <f>IF(C156=0,0,C157*C156/(1+C155))</f>
        <v>0</v>
      </c>
      <c r="D158" s="725">
        <f>IF(D156=0,0,D157*D156/(1+D155))</f>
        <v>0</v>
      </c>
      <c r="E158" s="729">
        <f>IF(E156=0,0,E157*E156/(1+E155))</f>
        <v>0</v>
      </c>
      <c r="F158" s="1396"/>
      <c r="G158" s="658"/>
      <c r="H158" s="658"/>
      <c r="I158" s="811"/>
      <c r="K158" s="663"/>
      <c r="L158" s="664"/>
      <c r="M158" s="664"/>
      <c r="N158" s="664"/>
      <c r="O158" s="664"/>
      <c r="P158" s="664"/>
      <c r="Q158" s="664"/>
      <c r="R158" s="664"/>
      <c r="S158" s="664"/>
      <c r="T158" s="1401"/>
    </row>
    <row r="159" spans="1:20" ht="12" customHeight="1">
      <c r="A159" s="154"/>
      <c r="B159" s="593" t="s">
        <v>643</v>
      </c>
      <c r="C159" s="721">
        <v>0</v>
      </c>
      <c r="D159" s="721">
        <f>C159*(1+G159)</f>
        <v>0</v>
      </c>
      <c r="E159" s="722">
        <f>D159*(1+H159)</f>
        <v>0</v>
      </c>
      <c r="F159" s="808"/>
      <c r="G159" s="967">
        <v>0.03</v>
      </c>
      <c r="H159" s="968">
        <f>G159</f>
        <v>0.03</v>
      </c>
      <c r="I159" s="817" t="s">
        <v>346</v>
      </c>
      <c r="K159" s="663"/>
      <c r="L159" s="664"/>
      <c r="M159" s="664"/>
      <c r="N159" s="664"/>
      <c r="O159" s="664"/>
      <c r="P159" s="664"/>
      <c r="Q159" s="664"/>
      <c r="R159" s="664"/>
      <c r="S159" s="664"/>
      <c r="T159" s="1401"/>
    </row>
    <row r="160" spans="1:20" ht="12" customHeight="1">
      <c r="B160" s="593" t="s">
        <v>492</v>
      </c>
      <c r="C160" s="298">
        <v>0</v>
      </c>
      <c r="D160" s="298">
        <f>C160</f>
        <v>0</v>
      </c>
      <c r="E160" s="297">
        <f>D160</f>
        <v>0</v>
      </c>
      <c r="F160" s="1396"/>
      <c r="G160" s="658"/>
      <c r="H160" s="658"/>
      <c r="I160" s="811"/>
      <c r="K160" s="663"/>
      <c r="L160" s="664"/>
      <c r="M160" s="664"/>
      <c r="N160" s="664"/>
      <c r="O160" s="664"/>
      <c r="P160" s="664"/>
      <c r="Q160" s="664"/>
      <c r="R160" s="664"/>
      <c r="S160" s="664"/>
      <c r="T160" s="1401"/>
    </row>
    <row r="161" spans="1:20" ht="12" customHeight="1">
      <c r="A161" s="154"/>
      <c r="B161" s="593" t="s">
        <v>10</v>
      </c>
      <c r="C161" s="726">
        <f>IF(C156=0,0,(C156-(C159+(C159*C160)))/C156)</f>
        <v>0</v>
      </c>
      <c r="D161" s="726">
        <f>IF(D156=0,0,(D156-(D159+(D159*D160)))/D156)</f>
        <v>0</v>
      </c>
      <c r="E161" s="727">
        <f>IF(E156=0,0,(E156-(E159+(E159*E160)))/E156)</f>
        <v>0</v>
      </c>
      <c r="F161" s="1396"/>
      <c r="G161" s="658"/>
      <c r="H161" s="658"/>
      <c r="I161" s="811"/>
      <c r="K161" s="663"/>
      <c r="L161" s="664"/>
      <c r="M161" s="664"/>
      <c r="N161" s="664"/>
      <c r="O161" s="664"/>
      <c r="P161" s="664"/>
      <c r="Q161" s="664"/>
      <c r="R161" s="664"/>
      <c r="S161" s="664"/>
      <c r="T161" s="1401"/>
    </row>
    <row r="162" spans="1:20" ht="12" customHeight="1">
      <c r="B162" s="593" t="s">
        <v>644</v>
      </c>
      <c r="C162" s="728">
        <f>IF(C159=0,0,(C159/(1-C160))/(1+C155))</f>
        <v>0</v>
      </c>
      <c r="D162" s="728">
        <f>IF(D159=0,0,(D159/(1-D160))/(1+D155))</f>
        <v>0</v>
      </c>
      <c r="E162" s="738">
        <f>IF(E159=0,0,(E159/(1-E160))/(1+E155))</f>
        <v>0</v>
      </c>
      <c r="F162" s="1396"/>
      <c r="G162" s="658"/>
      <c r="H162" s="658"/>
      <c r="I162" s="811"/>
      <c r="K162" s="663"/>
      <c r="L162" s="664"/>
      <c r="M162" s="664"/>
      <c r="N162" s="664"/>
      <c r="O162" s="664"/>
      <c r="P162" s="664"/>
      <c r="Q162" s="664"/>
      <c r="R162" s="664"/>
      <c r="S162" s="664"/>
      <c r="T162" s="1401"/>
    </row>
    <row r="163" spans="1:20" ht="12" customHeight="1">
      <c r="A163" s="154"/>
      <c r="B163" s="593" t="s">
        <v>493</v>
      </c>
      <c r="C163" s="725">
        <f>C162*C157</f>
        <v>0</v>
      </c>
      <c r="D163" s="725">
        <f>D162*D157</f>
        <v>0</v>
      </c>
      <c r="E163" s="729">
        <f>E162*E157</f>
        <v>0</v>
      </c>
      <c r="F163" s="1396"/>
      <c r="G163" s="658"/>
      <c r="H163" s="658"/>
      <c r="I163" s="811"/>
      <c r="K163" s="663"/>
      <c r="L163" s="664"/>
      <c r="M163" s="664"/>
      <c r="N163" s="664"/>
      <c r="O163" s="664"/>
      <c r="P163" s="664"/>
      <c r="Q163" s="664"/>
      <c r="R163" s="664"/>
      <c r="S163" s="664"/>
      <c r="T163" s="1401"/>
    </row>
    <row r="164" spans="1:20" ht="4.5" customHeight="1">
      <c r="A164" s="2"/>
      <c r="B164" s="593"/>
      <c r="C164" s="940"/>
      <c r="D164" s="940"/>
      <c r="E164" s="940"/>
      <c r="F164" s="1397"/>
      <c r="G164" s="299"/>
      <c r="H164" s="299"/>
      <c r="I164" s="817"/>
      <c r="K164" s="1403"/>
      <c r="L164" s="354"/>
      <c r="M164" s="354"/>
      <c r="N164" s="354"/>
      <c r="O164" s="354"/>
      <c r="P164" s="354"/>
      <c r="Q164" s="354"/>
      <c r="R164" s="354"/>
      <c r="S164" s="354"/>
      <c r="T164" s="1404"/>
    </row>
    <row r="165" spans="1:20" ht="12" customHeight="1">
      <c r="B165" s="634"/>
      <c r="C165" s="298">
        <v>0.24</v>
      </c>
      <c r="D165" s="297">
        <f>C165</f>
        <v>0.24</v>
      </c>
      <c r="E165" s="297">
        <f>D165</f>
        <v>0.24</v>
      </c>
      <c r="F165" s="1397"/>
      <c r="G165" s="1578"/>
      <c r="H165" s="1578"/>
      <c r="I165" s="971"/>
      <c r="K165" s="663"/>
      <c r="L165" s="664"/>
      <c r="M165" s="664"/>
      <c r="N165" s="664"/>
      <c r="O165" s="664"/>
      <c r="P165" s="664"/>
      <c r="Q165" s="664"/>
      <c r="R165" s="664"/>
      <c r="S165" s="664"/>
      <c r="T165" s="1401"/>
    </row>
    <row r="166" spans="1:20" ht="12" customHeight="1">
      <c r="A166" s="154"/>
      <c r="B166" s="595" t="s">
        <v>642</v>
      </c>
      <c r="C166" s="721">
        <v>0</v>
      </c>
      <c r="D166" s="721">
        <f>C166*(1+G166)</f>
        <v>0</v>
      </c>
      <c r="E166" s="722">
        <f>D166*(1+H166)</f>
        <v>0</v>
      </c>
      <c r="F166" s="808"/>
      <c r="G166" s="967">
        <v>0.03</v>
      </c>
      <c r="H166" s="968">
        <f>G166</f>
        <v>0.03</v>
      </c>
      <c r="I166" s="817" t="s">
        <v>346</v>
      </c>
      <c r="K166" s="663"/>
      <c r="L166" s="664"/>
      <c r="M166" s="664"/>
      <c r="N166" s="664"/>
      <c r="O166" s="664"/>
      <c r="P166" s="664"/>
      <c r="Q166" s="664"/>
      <c r="R166" s="664"/>
      <c r="S166" s="664"/>
      <c r="T166" s="1401"/>
    </row>
    <row r="167" spans="1:20" ht="12" customHeight="1">
      <c r="B167" s="593" t="s">
        <v>9</v>
      </c>
      <c r="C167" s="723">
        <v>0</v>
      </c>
      <c r="D167" s="723">
        <f>C167*12/C$13+G167*C167*12/C$13</f>
        <v>0</v>
      </c>
      <c r="E167" s="731">
        <f>D167*(1+H167)</f>
        <v>0</v>
      </c>
      <c r="F167" s="808"/>
      <c r="G167" s="967">
        <v>0</v>
      </c>
      <c r="H167" s="968">
        <f>G167</f>
        <v>0</v>
      </c>
      <c r="I167" s="817" t="s">
        <v>347</v>
      </c>
      <c r="K167" s="663"/>
      <c r="L167" s="664"/>
      <c r="M167" s="664"/>
      <c r="N167" s="664"/>
      <c r="O167" s="664"/>
      <c r="P167" s="664"/>
      <c r="Q167" s="664"/>
      <c r="R167" s="664"/>
      <c r="S167" s="664"/>
      <c r="T167" s="1401"/>
    </row>
    <row r="168" spans="1:20" ht="12" customHeight="1">
      <c r="A168" s="154"/>
      <c r="B168" s="593" t="s">
        <v>64</v>
      </c>
      <c r="C168" s="725">
        <f>IF(C166=0,0,C167*C166/(1+C165))</f>
        <v>0</v>
      </c>
      <c r="D168" s="725">
        <f>IF(D166=0,0,D167*D166/(1+D165))</f>
        <v>0</v>
      </c>
      <c r="E168" s="729">
        <f>IF(E166=0,0,E167*E166/(1+E165))</f>
        <v>0</v>
      </c>
      <c r="F168" s="1396"/>
      <c r="G168" s="658"/>
      <c r="H168" s="658"/>
      <c r="I168" s="811"/>
      <c r="K168" s="663"/>
      <c r="L168" s="664"/>
      <c r="M168" s="664"/>
      <c r="N168" s="664"/>
      <c r="O168" s="664"/>
      <c r="P168" s="664"/>
      <c r="Q168" s="664"/>
      <c r="R168" s="664"/>
      <c r="S168" s="664"/>
      <c r="T168" s="1401"/>
    </row>
    <row r="169" spans="1:20" ht="12" customHeight="1">
      <c r="A169" s="2"/>
      <c r="B169" s="593" t="s">
        <v>643</v>
      </c>
      <c r="C169" s="721">
        <v>0</v>
      </c>
      <c r="D169" s="721">
        <f>C169*(1+G169)</f>
        <v>0</v>
      </c>
      <c r="E169" s="722">
        <f>D169*(1+H169)</f>
        <v>0</v>
      </c>
      <c r="F169" s="808"/>
      <c r="G169" s="967">
        <v>0.03</v>
      </c>
      <c r="H169" s="968">
        <f>G169</f>
        <v>0.03</v>
      </c>
      <c r="I169" s="817" t="s">
        <v>346</v>
      </c>
      <c r="K169" s="663"/>
      <c r="L169" s="664"/>
      <c r="M169" s="664"/>
      <c r="N169" s="664"/>
      <c r="O169" s="664"/>
      <c r="P169" s="664"/>
      <c r="Q169" s="664"/>
      <c r="R169" s="664"/>
      <c r="S169" s="664"/>
      <c r="T169" s="1401"/>
    </row>
    <row r="170" spans="1:20" ht="12" customHeight="1">
      <c r="A170" s="154"/>
      <c r="B170" s="593" t="s">
        <v>492</v>
      </c>
      <c r="C170" s="298">
        <v>0</v>
      </c>
      <c r="D170" s="298">
        <f>C170</f>
        <v>0</v>
      </c>
      <c r="E170" s="297">
        <f>D170</f>
        <v>0</v>
      </c>
      <c r="F170" s="1396"/>
      <c r="G170" s="658"/>
      <c r="H170" s="658"/>
      <c r="I170" s="811"/>
      <c r="K170" s="663"/>
      <c r="L170" s="664"/>
      <c r="M170" s="664"/>
      <c r="N170" s="664"/>
      <c r="O170" s="664"/>
      <c r="P170" s="664"/>
      <c r="Q170" s="664"/>
      <c r="R170" s="664"/>
      <c r="S170" s="664"/>
      <c r="T170" s="1401"/>
    </row>
    <row r="171" spans="1:20" ht="12" customHeight="1">
      <c r="B171" s="593" t="s">
        <v>10</v>
      </c>
      <c r="C171" s="726">
        <f>IF(C166=0,0,(C166-(C169+(C169*C170)))/C166)</f>
        <v>0</v>
      </c>
      <c r="D171" s="726">
        <f>IF(D166=0,0,(D166-(D169+(D169*D170)))/D166)</f>
        <v>0</v>
      </c>
      <c r="E171" s="727">
        <f>IF(E166=0,0,(E166-(E169+(E169*E170)))/E166)</f>
        <v>0</v>
      </c>
      <c r="F171" s="1396"/>
      <c r="G171" s="658"/>
      <c r="H171" s="658"/>
      <c r="I171" s="811"/>
      <c r="K171" s="663"/>
      <c r="L171" s="664"/>
      <c r="M171" s="664"/>
      <c r="N171" s="664"/>
      <c r="O171" s="664"/>
      <c r="P171" s="664"/>
      <c r="Q171" s="664"/>
      <c r="R171" s="664"/>
      <c r="S171" s="664"/>
      <c r="T171" s="1401"/>
    </row>
    <row r="172" spans="1:20" ht="12" customHeight="1">
      <c r="A172" s="154"/>
      <c r="B172" s="593" t="s">
        <v>644</v>
      </c>
      <c r="C172" s="728">
        <f>IF(C169=0,0,(C169/(1-C170))/(1+C165))</f>
        <v>0</v>
      </c>
      <c r="D172" s="728">
        <f>IF(D169=0,0,(D169/(1-D170))/(1+D165))</f>
        <v>0</v>
      </c>
      <c r="E172" s="738">
        <f>IF(E169=0,0,(E169/(1-E170))/(1+E165))</f>
        <v>0</v>
      </c>
      <c r="F172" s="1396"/>
      <c r="G172" s="658"/>
      <c r="H172" s="658"/>
      <c r="I172" s="811"/>
      <c r="K172" s="663"/>
      <c r="L172" s="664"/>
      <c r="M172" s="664"/>
      <c r="N172" s="664"/>
      <c r="O172" s="664"/>
      <c r="P172" s="664"/>
      <c r="Q172" s="664"/>
      <c r="R172" s="664"/>
      <c r="S172" s="664"/>
      <c r="T172" s="1401"/>
    </row>
    <row r="173" spans="1:20" ht="12" customHeight="1">
      <c r="B173" s="593" t="s">
        <v>493</v>
      </c>
      <c r="C173" s="725">
        <f>C172*C167</f>
        <v>0</v>
      </c>
      <c r="D173" s="725">
        <f>D172*D167</f>
        <v>0</v>
      </c>
      <c r="E173" s="729">
        <f>E172*E167</f>
        <v>0</v>
      </c>
      <c r="F173" s="1396"/>
      <c r="G173" s="658"/>
      <c r="H173" s="658"/>
      <c r="I173" s="811"/>
      <c r="K173" s="663"/>
      <c r="L173" s="664"/>
      <c r="M173" s="664"/>
      <c r="N173" s="664"/>
      <c r="O173" s="664"/>
      <c r="P173" s="664"/>
      <c r="Q173" s="664"/>
      <c r="R173" s="664"/>
      <c r="S173" s="664"/>
      <c r="T173" s="1401"/>
    </row>
    <row r="174" spans="1:20" s="53" customFormat="1" ht="4.5" customHeight="1">
      <c r="A174" s="348"/>
      <c r="B174" s="596"/>
      <c r="C174" s="940"/>
      <c r="D174" s="940"/>
      <c r="E174" s="940"/>
      <c r="F174" s="972"/>
      <c r="G174" s="833"/>
      <c r="H174" s="833"/>
      <c r="I174" s="970"/>
      <c r="K174" s="1403"/>
      <c r="L174" s="354"/>
      <c r="M174" s="354"/>
      <c r="N174" s="354"/>
      <c r="O174" s="354"/>
      <c r="P174" s="354"/>
      <c r="Q174" s="354"/>
      <c r="R174" s="354"/>
      <c r="S174" s="354"/>
      <c r="T174" s="1404"/>
    </row>
    <row r="175" spans="1:20" ht="12" customHeight="1">
      <c r="A175" s="2"/>
      <c r="B175" s="594"/>
      <c r="C175" s="298">
        <v>0.24</v>
      </c>
      <c r="D175" s="297">
        <f>C175</f>
        <v>0.24</v>
      </c>
      <c r="E175" s="297">
        <f>D175</f>
        <v>0.24</v>
      </c>
      <c r="F175" s="1397"/>
      <c r="G175" s="1579"/>
      <c r="H175" s="1579"/>
      <c r="I175" s="971"/>
      <c r="K175" s="663"/>
      <c r="L175" s="664"/>
      <c r="M175" s="664"/>
      <c r="N175" s="664"/>
      <c r="O175" s="664"/>
      <c r="P175" s="664"/>
      <c r="Q175" s="664"/>
      <c r="R175" s="664"/>
      <c r="S175" s="664"/>
      <c r="T175" s="1401"/>
    </row>
    <row r="176" spans="1:20" ht="12" customHeight="1">
      <c r="B176" s="595" t="s">
        <v>642</v>
      </c>
      <c r="C176" s="721">
        <v>0</v>
      </c>
      <c r="D176" s="732">
        <f>C176*(1+G176)</f>
        <v>0</v>
      </c>
      <c r="E176" s="732">
        <f>D176*(1+H176)</f>
        <v>0</v>
      </c>
      <c r="F176" s="808"/>
      <c r="G176" s="967">
        <v>0.03</v>
      </c>
      <c r="H176" s="968">
        <f>G176</f>
        <v>0.03</v>
      </c>
      <c r="I176" s="817" t="s">
        <v>346</v>
      </c>
      <c r="K176" s="663"/>
      <c r="L176" s="664"/>
      <c r="M176" s="664"/>
      <c r="N176" s="664"/>
      <c r="O176" s="664"/>
      <c r="P176" s="664"/>
      <c r="Q176" s="664"/>
      <c r="R176" s="664"/>
      <c r="S176" s="664"/>
      <c r="T176" s="1401"/>
    </row>
    <row r="177" spans="2:20" ht="12" customHeight="1">
      <c r="B177" s="593" t="s">
        <v>9</v>
      </c>
      <c r="C177" s="723">
        <v>0</v>
      </c>
      <c r="D177" s="731">
        <f>C177*12/C$13+G177*C177*12/C$13</f>
        <v>0</v>
      </c>
      <c r="E177" s="731">
        <f>D177*(1+H177)</f>
        <v>0</v>
      </c>
      <c r="F177" s="808"/>
      <c r="G177" s="967">
        <v>0</v>
      </c>
      <c r="H177" s="968">
        <f>G177</f>
        <v>0</v>
      </c>
      <c r="I177" s="817" t="s">
        <v>347</v>
      </c>
      <c r="K177" s="663"/>
      <c r="L177" s="664"/>
      <c r="M177" s="664"/>
      <c r="N177" s="664"/>
      <c r="O177" s="664"/>
      <c r="P177" s="664"/>
      <c r="Q177" s="664"/>
      <c r="R177" s="664"/>
      <c r="S177" s="664"/>
      <c r="T177" s="1401"/>
    </row>
    <row r="178" spans="2:20" ht="12" customHeight="1">
      <c r="B178" s="593" t="s">
        <v>64</v>
      </c>
      <c r="C178" s="725">
        <f>IF(C176=0,0,C177*C176/(1+C175))</f>
        <v>0</v>
      </c>
      <c r="D178" s="725">
        <f>IF(D176=0,0,D177*D176/(1+D175))</f>
        <v>0</v>
      </c>
      <c r="E178" s="729">
        <f>IF(E176=0,0,E177*E176/(1+E175))</f>
        <v>0</v>
      </c>
      <c r="F178" s="1396"/>
      <c r="G178" s="658"/>
      <c r="H178" s="658"/>
      <c r="I178" s="811"/>
      <c r="K178" s="663"/>
      <c r="L178" s="664"/>
      <c r="M178" s="664"/>
      <c r="N178" s="664"/>
      <c r="O178" s="664"/>
      <c r="P178" s="664"/>
      <c r="Q178" s="664"/>
      <c r="R178" s="664"/>
      <c r="S178" s="664"/>
      <c r="T178" s="1401"/>
    </row>
    <row r="179" spans="2:20" ht="12" customHeight="1">
      <c r="B179" s="593" t="s">
        <v>643</v>
      </c>
      <c r="C179" s="721">
        <v>0</v>
      </c>
      <c r="D179" s="722">
        <f>C179*(1+G179)</f>
        <v>0</v>
      </c>
      <c r="E179" s="722">
        <f>D179*(1+H179)</f>
        <v>0</v>
      </c>
      <c r="F179" s="808"/>
      <c r="G179" s="967">
        <v>0.03</v>
      </c>
      <c r="H179" s="968">
        <f>G179</f>
        <v>0.03</v>
      </c>
      <c r="I179" s="817" t="s">
        <v>346</v>
      </c>
      <c r="K179" s="663"/>
      <c r="L179" s="664"/>
      <c r="M179" s="664"/>
      <c r="N179" s="664"/>
      <c r="O179" s="664"/>
      <c r="P179" s="664"/>
      <c r="Q179" s="664"/>
      <c r="R179" s="664"/>
      <c r="S179" s="664"/>
      <c r="T179" s="1401"/>
    </row>
    <row r="180" spans="2:20" ht="12" customHeight="1">
      <c r="B180" s="593" t="s">
        <v>492</v>
      </c>
      <c r="C180" s="298">
        <v>0</v>
      </c>
      <c r="D180" s="297">
        <f>C180</f>
        <v>0</v>
      </c>
      <c r="E180" s="297">
        <f>D180</f>
        <v>0</v>
      </c>
      <c r="F180" s="1396"/>
      <c r="G180" s="658"/>
      <c r="H180" s="658"/>
      <c r="I180" s="811"/>
      <c r="K180" s="663"/>
      <c r="L180" s="664"/>
      <c r="M180" s="664"/>
      <c r="N180" s="664"/>
      <c r="O180" s="664"/>
      <c r="P180" s="664"/>
      <c r="Q180" s="664"/>
      <c r="R180" s="664"/>
      <c r="S180" s="664"/>
      <c r="T180" s="1401"/>
    </row>
    <row r="181" spans="2:20" ht="12" customHeight="1">
      <c r="B181" s="593" t="s">
        <v>10</v>
      </c>
      <c r="C181" s="726">
        <f>IF(C176=0,0,(C176-(C179+(C179*C180)))/C176)</f>
        <v>0</v>
      </c>
      <c r="D181" s="726">
        <f>IF(D176=0,0,(D176-(D179+(D179*D180)))/D176)</f>
        <v>0</v>
      </c>
      <c r="E181" s="727">
        <f>IF(E176=0,0,(E176-(E179+(E179*E180)))/E176)</f>
        <v>0</v>
      </c>
      <c r="F181" s="1396"/>
      <c r="G181" s="658"/>
      <c r="H181" s="658"/>
      <c r="I181" s="811"/>
      <c r="K181" s="663"/>
      <c r="L181" s="664"/>
      <c r="M181" s="664"/>
      <c r="N181" s="664"/>
      <c r="O181" s="664"/>
      <c r="P181" s="664"/>
      <c r="Q181" s="664"/>
      <c r="R181" s="664"/>
      <c r="S181" s="664"/>
      <c r="T181" s="1401"/>
    </row>
    <row r="182" spans="2:20" ht="12" customHeight="1">
      <c r="B182" s="593" t="s">
        <v>644</v>
      </c>
      <c r="C182" s="728">
        <f>IF(C179=0,0,(C179/(1-C180))/(1+C175))</f>
        <v>0</v>
      </c>
      <c r="D182" s="728">
        <f>IF(D179=0,0,(D179/(1-D180))/(1+D175))</f>
        <v>0</v>
      </c>
      <c r="E182" s="738">
        <f>IF(E179=0,0,(E179/(1-E180))/(1+E175))</f>
        <v>0</v>
      </c>
      <c r="F182" s="1396"/>
      <c r="G182" s="658"/>
      <c r="H182" s="658"/>
      <c r="I182" s="811"/>
      <c r="K182" s="663"/>
      <c r="L182" s="664"/>
      <c r="M182" s="664"/>
      <c r="N182" s="664"/>
      <c r="O182" s="664"/>
      <c r="P182" s="664"/>
      <c r="Q182" s="664"/>
      <c r="R182" s="664"/>
      <c r="S182" s="664"/>
      <c r="T182" s="1401"/>
    </row>
    <row r="183" spans="2:20" ht="12" customHeight="1">
      <c r="B183" s="593" t="s">
        <v>493</v>
      </c>
      <c r="C183" s="725">
        <f>C182*C177</f>
        <v>0</v>
      </c>
      <c r="D183" s="725">
        <f>D182*D177</f>
        <v>0</v>
      </c>
      <c r="E183" s="729">
        <f>E182*E177</f>
        <v>0</v>
      </c>
      <c r="F183" s="1396" t="s">
        <v>0</v>
      </c>
      <c r="G183" s="658"/>
      <c r="H183" s="658"/>
      <c r="I183" s="811"/>
      <c r="K183" s="663"/>
      <c r="L183" s="664"/>
      <c r="M183" s="664"/>
      <c r="N183" s="664"/>
      <c r="O183" s="664"/>
      <c r="P183" s="664"/>
      <c r="Q183" s="664"/>
      <c r="R183" s="664"/>
      <c r="S183" s="664"/>
      <c r="T183" s="1401"/>
    </row>
    <row r="184" spans="2:20" s="53" customFormat="1" ht="4.5" customHeight="1">
      <c r="B184" s="596"/>
      <c r="C184" s="940"/>
      <c r="D184" s="940"/>
      <c r="E184" s="940"/>
      <c r="F184" s="972"/>
      <c r="G184" s="833"/>
      <c r="H184" s="833"/>
      <c r="I184" s="970"/>
      <c r="K184" s="1403"/>
      <c r="L184" s="354"/>
      <c r="M184" s="354"/>
      <c r="N184" s="354"/>
      <c r="O184" s="354"/>
      <c r="P184" s="354"/>
      <c r="Q184" s="354"/>
      <c r="R184" s="354"/>
      <c r="S184" s="354"/>
      <c r="T184" s="1404"/>
    </row>
    <row r="185" spans="2:20" ht="12" customHeight="1">
      <c r="B185" s="634"/>
      <c r="C185" s="298">
        <v>0.24</v>
      </c>
      <c r="D185" s="297">
        <f>C185</f>
        <v>0.24</v>
      </c>
      <c r="E185" s="297">
        <f>D185</f>
        <v>0.24</v>
      </c>
      <c r="F185" s="1397"/>
      <c r="G185" s="1579"/>
      <c r="H185" s="1579"/>
      <c r="I185" s="971"/>
      <c r="K185" s="663"/>
      <c r="L185" s="664"/>
      <c r="M185" s="664"/>
      <c r="N185" s="664"/>
      <c r="O185" s="664"/>
      <c r="P185" s="664"/>
      <c r="Q185" s="664"/>
      <c r="R185" s="664"/>
      <c r="S185" s="664"/>
      <c r="T185" s="1401"/>
    </row>
    <row r="186" spans="2:20" ht="12" customHeight="1">
      <c r="B186" s="595" t="s">
        <v>642</v>
      </c>
      <c r="C186" s="721">
        <v>0</v>
      </c>
      <c r="D186" s="732">
        <f>C186*(1+G186)</f>
        <v>0</v>
      </c>
      <c r="E186" s="732">
        <f>D186*(1+H186)</f>
        <v>0</v>
      </c>
      <c r="F186" s="808"/>
      <c r="G186" s="967">
        <v>0.03</v>
      </c>
      <c r="H186" s="968">
        <f>G186</f>
        <v>0.03</v>
      </c>
      <c r="I186" s="817" t="s">
        <v>346</v>
      </c>
      <c r="K186" s="663"/>
      <c r="L186" s="664"/>
      <c r="M186" s="664"/>
      <c r="N186" s="664"/>
      <c r="O186" s="664"/>
      <c r="P186" s="664"/>
      <c r="Q186" s="664"/>
      <c r="R186" s="664"/>
      <c r="S186" s="664"/>
      <c r="T186" s="1401"/>
    </row>
    <row r="187" spans="2:20" ht="12" customHeight="1">
      <c r="B187" s="593" t="s">
        <v>9</v>
      </c>
      <c r="C187" s="723">
        <v>0</v>
      </c>
      <c r="D187" s="731">
        <f>C187*(1+G187)</f>
        <v>0</v>
      </c>
      <c r="E187" s="731">
        <f>D187*(1+H187)</f>
        <v>0</v>
      </c>
      <c r="F187" s="808"/>
      <c r="G187" s="967">
        <v>0</v>
      </c>
      <c r="H187" s="968">
        <f>G187</f>
        <v>0</v>
      </c>
      <c r="I187" s="817" t="s">
        <v>347</v>
      </c>
      <c r="K187" s="663"/>
      <c r="L187" s="664"/>
      <c r="M187" s="664"/>
      <c r="N187" s="664"/>
      <c r="O187" s="664"/>
      <c r="P187" s="664"/>
      <c r="Q187" s="664"/>
      <c r="R187" s="664"/>
      <c r="S187" s="664"/>
      <c r="T187" s="1401"/>
    </row>
    <row r="188" spans="2:20" ht="12" customHeight="1">
      <c r="B188" s="593" t="s">
        <v>64</v>
      </c>
      <c r="C188" s="725">
        <f>IF(C186=0,0,C187*C186/(1+C185))</f>
        <v>0</v>
      </c>
      <c r="D188" s="725">
        <f>IF(D186=0,0,D187*D186/(1+D185))</f>
        <v>0</v>
      </c>
      <c r="E188" s="729">
        <f>IF(E186=0,0,E187*E186/(1+E185))</f>
        <v>0</v>
      </c>
      <c r="F188" s="1396"/>
      <c r="G188" s="658"/>
      <c r="H188" s="658"/>
      <c r="I188" s="811"/>
      <c r="K188" s="663"/>
      <c r="L188" s="664"/>
      <c r="M188" s="664"/>
      <c r="N188" s="664"/>
      <c r="O188" s="664"/>
      <c r="P188" s="664"/>
      <c r="Q188" s="664"/>
      <c r="R188" s="664"/>
      <c r="S188" s="664"/>
      <c r="T188" s="1401"/>
    </row>
    <row r="189" spans="2:20" ht="12" customHeight="1">
      <c r="B189" s="593" t="s">
        <v>643</v>
      </c>
      <c r="C189" s="721">
        <v>0</v>
      </c>
      <c r="D189" s="722">
        <f>C189*(1+G189)</f>
        <v>0</v>
      </c>
      <c r="E189" s="722">
        <f>D189*(1+H189)</f>
        <v>0</v>
      </c>
      <c r="F189" s="808"/>
      <c r="G189" s="967">
        <v>0.03</v>
      </c>
      <c r="H189" s="968">
        <f>G189</f>
        <v>0.03</v>
      </c>
      <c r="I189" s="817" t="s">
        <v>346</v>
      </c>
      <c r="K189" s="663"/>
      <c r="L189" s="664"/>
      <c r="M189" s="664"/>
      <c r="N189" s="664"/>
      <c r="O189" s="664"/>
      <c r="P189" s="664"/>
      <c r="Q189" s="664"/>
      <c r="R189" s="664"/>
      <c r="S189" s="664"/>
      <c r="T189" s="1401"/>
    </row>
    <row r="190" spans="2:20" ht="12" customHeight="1">
      <c r="B190" s="593" t="s">
        <v>492</v>
      </c>
      <c r="C190" s="298">
        <v>0</v>
      </c>
      <c r="D190" s="297">
        <f>C190</f>
        <v>0</v>
      </c>
      <c r="E190" s="297">
        <f>D190</f>
        <v>0</v>
      </c>
      <c r="F190" s="1396"/>
      <c r="G190" s="658"/>
      <c r="H190" s="658"/>
      <c r="I190" s="811"/>
      <c r="K190" s="663"/>
      <c r="L190" s="664"/>
      <c r="M190" s="664"/>
      <c r="N190" s="664"/>
      <c r="O190" s="664"/>
      <c r="P190" s="664"/>
      <c r="Q190" s="664"/>
      <c r="R190" s="664"/>
      <c r="S190" s="664"/>
      <c r="T190" s="1401"/>
    </row>
    <row r="191" spans="2:20" ht="12" customHeight="1">
      <c r="B191" s="593" t="s">
        <v>10</v>
      </c>
      <c r="C191" s="726">
        <f>IF(C186=0,0,(C186-(C189+(C189*C190)))/C186)</f>
        <v>0</v>
      </c>
      <c r="D191" s="726">
        <f>IF(D186=0,0,(D186-(D189+(D189*D190)))/D186)</f>
        <v>0</v>
      </c>
      <c r="E191" s="727">
        <f>IF(E186=0,0,(E186-(E189+(E189*E190)))/E186)</f>
        <v>0</v>
      </c>
      <c r="F191" s="1396"/>
      <c r="G191" s="658"/>
      <c r="H191" s="658"/>
      <c r="I191" s="811"/>
      <c r="K191" s="663"/>
      <c r="L191" s="664"/>
      <c r="M191" s="664"/>
      <c r="N191" s="664"/>
      <c r="O191" s="664"/>
      <c r="P191" s="664"/>
      <c r="Q191" s="664"/>
      <c r="R191" s="664"/>
      <c r="S191" s="664"/>
      <c r="T191" s="1401"/>
    </row>
    <row r="192" spans="2:20" ht="12" customHeight="1">
      <c r="B192" s="593" t="s">
        <v>644</v>
      </c>
      <c r="C192" s="728">
        <f>IF(C189=0,0,(C189/(1-C190))/(1+C185))</f>
        <v>0</v>
      </c>
      <c r="D192" s="728">
        <f>IF(D189=0,0,(D189/(1-D190))/(1+D185))</f>
        <v>0</v>
      </c>
      <c r="E192" s="738">
        <f>IF(E189=0,0,(E189/(1-E190))/(1+E185))</f>
        <v>0</v>
      </c>
      <c r="F192" s="1396"/>
      <c r="G192" s="658"/>
      <c r="H192" s="658"/>
      <c r="I192" s="811"/>
      <c r="K192" s="663"/>
      <c r="L192" s="664"/>
      <c r="M192" s="664"/>
      <c r="N192" s="664"/>
      <c r="O192" s="664"/>
      <c r="P192" s="664"/>
      <c r="Q192" s="664"/>
      <c r="R192" s="664"/>
      <c r="S192" s="664"/>
      <c r="T192" s="1401"/>
    </row>
    <row r="193" spans="2:20" ht="12" customHeight="1">
      <c r="B193" s="593" t="s">
        <v>493</v>
      </c>
      <c r="C193" s="725">
        <f>C192*C187</f>
        <v>0</v>
      </c>
      <c r="D193" s="725">
        <f>D192*D187</f>
        <v>0</v>
      </c>
      <c r="E193" s="729">
        <f>E192*E187</f>
        <v>0</v>
      </c>
      <c r="F193" s="1396" t="s">
        <v>0</v>
      </c>
      <c r="G193" s="658"/>
      <c r="H193" s="658"/>
      <c r="I193" s="811"/>
      <c r="K193" s="663"/>
      <c r="L193" s="664"/>
      <c r="M193" s="664"/>
      <c r="N193" s="664"/>
      <c r="O193" s="664"/>
      <c r="P193" s="664"/>
      <c r="Q193" s="664"/>
      <c r="R193" s="664"/>
      <c r="S193" s="664"/>
      <c r="T193" s="1401"/>
    </row>
    <row r="194" spans="2:20" s="53" customFormat="1" ht="4.5" customHeight="1">
      <c r="B194" s="597"/>
      <c r="C194" s="941"/>
      <c r="D194" s="941"/>
      <c r="E194" s="941"/>
      <c r="F194" s="972"/>
      <c r="G194" s="833"/>
      <c r="H194" s="833"/>
      <c r="I194" s="970"/>
      <c r="K194" s="1403"/>
      <c r="L194" s="354"/>
      <c r="M194" s="354"/>
      <c r="N194" s="354"/>
      <c r="O194" s="354"/>
      <c r="P194" s="354"/>
      <c r="Q194" s="354"/>
      <c r="R194" s="354"/>
      <c r="S194" s="354"/>
      <c r="T194" s="1404"/>
    </row>
    <row r="195" spans="2:20" ht="12" customHeight="1">
      <c r="B195" s="634" t="s">
        <v>868</v>
      </c>
      <c r="C195" s="298">
        <v>0.24</v>
      </c>
      <c r="D195" s="297">
        <f>C195</f>
        <v>0.24</v>
      </c>
      <c r="E195" s="297">
        <f>D195</f>
        <v>0.24</v>
      </c>
      <c r="F195" s="1397"/>
      <c r="G195" s="1579"/>
      <c r="H195" s="1579"/>
      <c r="I195" s="971"/>
      <c r="K195" s="663"/>
      <c r="L195" s="664"/>
      <c r="M195" s="664"/>
      <c r="N195" s="664"/>
      <c r="O195" s="664"/>
      <c r="P195" s="664"/>
      <c r="Q195" s="664"/>
      <c r="R195" s="664"/>
      <c r="S195" s="664"/>
      <c r="T195" s="1401"/>
    </row>
    <row r="196" spans="2:20" ht="12" customHeight="1">
      <c r="B196" s="595" t="s">
        <v>642</v>
      </c>
      <c r="C196" s="721">
        <v>0</v>
      </c>
      <c r="D196" s="722">
        <f>C196*(1+G196)</f>
        <v>0</v>
      </c>
      <c r="E196" s="722">
        <f>D196*(1+H196)</f>
        <v>0</v>
      </c>
      <c r="F196" s="808"/>
      <c r="G196" s="967">
        <v>0.03</v>
      </c>
      <c r="H196" s="968">
        <f>G196</f>
        <v>0.03</v>
      </c>
      <c r="I196" s="817" t="s">
        <v>346</v>
      </c>
      <c r="K196" s="663"/>
      <c r="L196" s="664"/>
      <c r="M196" s="664"/>
      <c r="N196" s="664"/>
      <c r="O196" s="664"/>
      <c r="P196" s="664"/>
      <c r="Q196" s="664"/>
      <c r="R196" s="664"/>
      <c r="S196" s="664"/>
      <c r="T196" s="1401"/>
    </row>
    <row r="197" spans="2:20" ht="12" customHeight="1">
      <c r="B197" s="593" t="s">
        <v>9</v>
      </c>
      <c r="C197" s="723">
        <v>0</v>
      </c>
      <c r="D197" s="731">
        <f>C197*12/C$13+G197*C197*12/C$13</f>
        <v>0</v>
      </c>
      <c r="E197" s="731">
        <f>D197*(1+H197)</f>
        <v>0</v>
      </c>
      <c r="F197" s="808"/>
      <c r="G197" s="967">
        <v>0</v>
      </c>
      <c r="H197" s="968">
        <f>G197</f>
        <v>0</v>
      </c>
      <c r="I197" s="817" t="s">
        <v>347</v>
      </c>
      <c r="K197" s="663"/>
      <c r="L197" s="664"/>
      <c r="M197" s="664"/>
      <c r="N197" s="664"/>
      <c r="O197" s="664"/>
      <c r="P197" s="664"/>
      <c r="Q197" s="664"/>
      <c r="R197" s="664"/>
      <c r="S197" s="664"/>
      <c r="T197" s="1401"/>
    </row>
    <row r="198" spans="2:20" ht="12" customHeight="1">
      <c r="B198" s="593" t="s">
        <v>739</v>
      </c>
      <c r="C198" s="723">
        <v>0</v>
      </c>
      <c r="D198" s="722">
        <f>C198*(1+G198)</f>
        <v>0</v>
      </c>
      <c r="E198" s="722">
        <f>D198*(1+H198)</f>
        <v>0</v>
      </c>
      <c r="F198" s="1396"/>
      <c r="G198" s="967">
        <v>0.03</v>
      </c>
      <c r="H198" s="968">
        <f>G198</f>
        <v>0.03</v>
      </c>
      <c r="I198" s="817" t="s">
        <v>346</v>
      </c>
      <c r="K198" s="663"/>
      <c r="L198" s="664"/>
      <c r="M198" s="664"/>
      <c r="N198" s="664"/>
      <c r="O198" s="664"/>
      <c r="P198" s="664"/>
      <c r="Q198" s="664"/>
      <c r="R198" s="664"/>
      <c r="S198" s="664"/>
      <c r="T198" s="1401"/>
    </row>
    <row r="199" spans="2:20" ht="12" customHeight="1">
      <c r="B199" s="593" t="s">
        <v>492</v>
      </c>
      <c r="C199" s="298">
        <v>0</v>
      </c>
      <c r="D199" s="297">
        <f>C199</f>
        <v>0</v>
      </c>
      <c r="E199" s="297">
        <f>D199</f>
        <v>0</v>
      </c>
      <c r="F199" s="808"/>
      <c r="G199" s="658"/>
      <c r="H199" s="658"/>
      <c r="I199" s="811"/>
      <c r="K199" s="663"/>
      <c r="L199" s="664"/>
      <c r="M199" s="664"/>
      <c r="N199" s="664"/>
      <c r="O199" s="664"/>
      <c r="P199" s="664"/>
      <c r="Q199" s="664"/>
      <c r="R199" s="664"/>
      <c r="S199" s="664"/>
      <c r="T199" s="1401"/>
    </row>
    <row r="200" spans="2:20" ht="12" customHeight="1">
      <c r="B200" s="593" t="s">
        <v>647</v>
      </c>
      <c r="C200" s="725">
        <f>IF(C196=0,0,C197*C196-'4 AT  Myynnin alv'!B26)</f>
        <v>0</v>
      </c>
      <c r="D200" s="725">
        <f>IF(D196=0,0,D197*D196-'4 AT  Myynnin alv'!C26)</f>
        <v>0</v>
      </c>
      <c r="E200" s="729">
        <f>IF(E196=0,0,E197*E196-'4 AT  Myynnin alv'!D26)</f>
        <v>0</v>
      </c>
      <c r="F200" s="1396"/>
      <c r="G200" s="658"/>
      <c r="H200" s="658"/>
      <c r="I200" s="811"/>
      <c r="K200" s="663"/>
      <c r="L200" s="664"/>
      <c r="M200" s="664"/>
      <c r="N200" s="664"/>
      <c r="O200" s="664"/>
      <c r="P200" s="664"/>
      <c r="Q200" s="664"/>
      <c r="R200" s="664"/>
      <c r="S200" s="664"/>
      <c r="T200" s="1401"/>
    </row>
    <row r="201" spans="2:20" ht="12" customHeight="1">
      <c r="B201" s="593" t="s">
        <v>10</v>
      </c>
      <c r="C201" s="769">
        <f>IF(C196=0,0,(C200-C203)/C200)</f>
        <v>0</v>
      </c>
      <c r="D201" s="769">
        <f t="shared" ref="D201:E201" si="11">IF(D196=0,0,(D200-D203)/D200)</f>
        <v>0</v>
      </c>
      <c r="E201" s="769">
        <f t="shared" si="11"/>
        <v>0</v>
      </c>
      <c r="F201" s="1396"/>
      <c r="G201" s="658"/>
      <c r="H201" s="658"/>
      <c r="I201" s="811"/>
      <c r="K201" s="663"/>
      <c r="L201" s="664"/>
      <c r="M201" s="664"/>
      <c r="N201" s="664"/>
      <c r="O201" s="664"/>
      <c r="P201" s="664"/>
      <c r="Q201" s="664"/>
      <c r="R201" s="664"/>
      <c r="S201" s="664"/>
      <c r="T201" s="1401"/>
    </row>
    <row r="202" spans="2:20" ht="12" customHeight="1">
      <c r="B202" s="593" t="s">
        <v>644</v>
      </c>
      <c r="C202" s="728">
        <f>IF(C198=0,0,(C198/(1-C199)))</f>
        <v>0</v>
      </c>
      <c r="D202" s="728">
        <f t="shared" ref="D202:E202" si="12">IF(D198=0,0,(D198/(1-D199)))</f>
        <v>0</v>
      </c>
      <c r="E202" s="738">
        <f t="shared" si="12"/>
        <v>0</v>
      </c>
      <c r="F202" s="1396">
        <v>0</v>
      </c>
      <c r="G202" s="658"/>
      <c r="H202" s="658"/>
      <c r="I202" s="811"/>
      <c r="K202" s="663"/>
      <c r="L202" s="664"/>
      <c r="M202" s="664"/>
      <c r="N202" s="664"/>
      <c r="O202" s="664"/>
      <c r="P202" s="664"/>
      <c r="Q202" s="664"/>
      <c r="R202" s="664"/>
      <c r="S202" s="664"/>
      <c r="T202" s="1401"/>
    </row>
    <row r="203" spans="2:20" ht="12" customHeight="1">
      <c r="B203" s="593" t="s">
        <v>646</v>
      </c>
      <c r="C203" s="725">
        <f>C202*C197</f>
        <v>0</v>
      </c>
      <c r="D203" s="725">
        <f>D202*D197</f>
        <v>0</v>
      </c>
      <c r="E203" s="729">
        <f>E202*E197</f>
        <v>0</v>
      </c>
      <c r="F203" s="1398" t="s">
        <v>0</v>
      </c>
      <c r="G203" s="819"/>
      <c r="H203" s="819"/>
      <c r="I203" s="820"/>
      <c r="K203" s="665"/>
      <c r="L203" s="666"/>
      <c r="M203" s="666"/>
      <c r="N203" s="666"/>
      <c r="O203" s="666"/>
      <c r="P203" s="666"/>
      <c r="Q203" s="666"/>
      <c r="R203" s="666"/>
      <c r="S203" s="666"/>
      <c r="T203" s="1402"/>
    </row>
    <row r="204" spans="2:20" ht="4.5" customHeight="1">
      <c r="B204" s="154"/>
      <c r="C204" s="345"/>
      <c r="D204" s="345"/>
      <c r="E204" s="345"/>
      <c r="F204" s="154"/>
      <c r="G204" s="154"/>
      <c r="H204" s="154"/>
      <c r="I204" s="154"/>
    </row>
    <row r="205" spans="2:20" ht="12.75" customHeight="1">
      <c r="B205" s="799" t="s">
        <v>229</v>
      </c>
      <c r="C205" s="734">
        <f>C146*C147+C156*C157+C166*C167+C176*C177+C186*C187+C196*C197+C135</f>
        <v>0</v>
      </c>
      <c r="D205" s="734">
        <f>D146*D147+D156*D157+D166*D167+D176*D177+D186*D187+D196*D197+D135</f>
        <v>0</v>
      </c>
      <c r="E205" s="734">
        <f>E146*E147+E156*E157+E166*E167+E176*E177+E186*E187+E196*E197+E135</f>
        <v>0</v>
      </c>
    </row>
    <row r="206" spans="2:20" ht="12" customHeight="1">
      <c r="B206" s="800" t="s">
        <v>230</v>
      </c>
      <c r="C206" s="734">
        <f>C136+C148+C158+C168+C178+C188+C200</f>
        <v>0</v>
      </c>
      <c r="D206" s="734">
        <f>D136+D148+D158+D168+D178+D188+D200</f>
        <v>0</v>
      </c>
      <c r="E206" s="734">
        <f>E136+E148+E158+E168+E178+E188+E200</f>
        <v>0</v>
      </c>
      <c r="G206" s="345"/>
      <c r="H206" s="345"/>
    </row>
    <row r="207" spans="2:20" ht="12" customHeight="1">
      <c r="B207" s="800" t="s">
        <v>766</v>
      </c>
      <c r="C207" s="734">
        <f>C193+C193*C185+C183+C183*C175+C173+C173*C165+C163+C163*C155+C153+C153*C145+C137</f>
        <v>0</v>
      </c>
      <c r="D207" s="734">
        <f t="shared" ref="D207:E207" si="13">D193+D193*D185+D183+D183*D175+D173+D173*D165+D163+D163*D155+D153+D153*D145+D137</f>
        <v>0</v>
      </c>
      <c r="E207" s="734">
        <f t="shared" si="13"/>
        <v>0</v>
      </c>
      <c r="G207" s="345"/>
      <c r="H207" s="345"/>
    </row>
    <row r="208" spans="2:20" ht="12" customHeight="1">
      <c r="B208" s="800" t="s">
        <v>767</v>
      </c>
      <c r="C208" s="734">
        <f>C138+C153+C163+C173+C183+C193+C203</f>
        <v>0</v>
      </c>
      <c r="D208" s="734">
        <f>D138+D153+D163+D173+D183+D193+D203</f>
        <v>0</v>
      </c>
      <c r="E208" s="734">
        <f>E138+E153+E163+E173+E183+E193+E203</f>
        <v>0</v>
      </c>
    </row>
    <row r="209" spans="2:7" ht="12" customHeight="1">
      <c r="B209" s="800" t="s">
        <v>648</v>
      </c>
      <c r="C209" s="735">
        <f>IF(C206=0,0,(C206-C208)/C206)</f>
        <v>0</v>
      </c>
      <c r="D209" s="735">
        <f>IF(D206=0,0,(D206-D208)/D206)</f>
        <v>0</v>
      </c>
      <c r="E209" s="735">
        <f>IF(E206=0,0,(E206-E208)/E206)</f>
        <v>0</v>
      </c>
    </row>
    <row r="211" spans="2:7">
      <c r="B211" s="312" t="s">
        <v>331</v>
      </c>
      <c r="G211" s="1394"/>
    </row>
    <row r="212" spans="2:7">
      <c r="B212" s="100" t="s">
        <v>332</v>
      </c>
    </row>
    <row r="213" spans="2:7">
      <c r="B213" s="100" t="s">
        <v>333</v>
      </c>
    </row>
    <row r="215" spans="2:7" hidden="1">
      <c r="B215" s="998" t="s">
        <v>754</v>
      </c>
      <c r="C215" s="997">
        <f>C196*C197+C126*C127+C56*C57</f>
        <v>0</v>
      </c>
      <c r="D215" s="997">
        <f t="shared" ref="D215:E215" si="14">D196*D197+D126*D127+D56*D57</f>
        <v>0</v>
      </c>
      <c r="E215" s="997">
        <f t="shared" si="14"/>
        <v>0</v>
      </c>
    </row>
    <row r="216" spans="2:7" hidden="1">
      <c r="B216" s="998" t="s">
        <v>751</v>
      </c>
      <c r="C216" s="996">
        <f>C200+C130+C60</f>
        <v>0</v>
      </c>
      <c r="D216" s="996">
        <f t="shared" ref="D216:E216" si="15">D200+D130+D60</f>
        <v>0</v>
      </c>
      <c r="E216" s="996">
        <f t="shared" si="15"/>
        <v>0</v>
      </c>
    </row>
    <row r="217" spans="2:7" ht="14.25" hidden="1" customHeight="1">
      <c r="B217" s="994" t="s">
        <v>747</v>
      </c>
      <c r="C217" s="996">
        <f>C205-C215</f>
        <v>0</v>
      </c>
      <c r="D217" s="996">
        <f t="shared" ref="D217:E217" si="16">D205-D215</f>
        <v>0</v>
      </c>
      <c r="E217" s="996">
        <f t="shared" si="16"/>
        <v>0</v>
      </c>
    </row>
    <row r="218" spans="2:7" ht="14.25" hidden="1" customHeight="1">
      <c r="B218" s="995" t="s">
        <v>752</v>
      </c>
      <c r="C218" s="996">
        <f>C206-C216</f>
        <v>0</v>
      </c>
      <c r="D218" s="996">
        <f t="shared" ref="D218:E218" si="17">D206-D216</f>
        <v>0</v>
      </c>
      <c r="E218" s="996">
        <f t="shared" si="17"/>
        <v>0</v>
      </c>
      <c r="G218">
        <v>0</v>
      </c>
    </row>
    <row r="219" spans="2:7" ht="26.25" hidden="1" customHeight="1">
      <c r="B219" s="993" t="s">
        <v>753</v>
      </c>
      <c r="C219" s="996">
        <f>C193+C183+C173+C163+C153+C123+C113+C103+C93+C83+C53+C43+C33+C23</f>
        <v>0</v>
      </c>
      <c r="D219" s="996">
        <f t="shared" ref="D219:E219" si="18">D193+D183+D173+D163+D153+D123+D113+D103+D93+D83+D53+D43+D33+D23</f>
        <v>0</v>
      </c>
      <c r="E219" s="996">
        <f t="shared" si="18"/>
        <v>0</v>
      </c>
    </row>
    <row r="220" spans="2:7" ht="25.5" hidden="1" customHeight="1">
      <c r="B220" s="993" t="s">
        <v>748</v>
      </c>
      <c r="C220" s="999" t="e">
        <f>C219/C218</f>
        <v>#DIV/0!</v>
      </c>
      <c r="D220" s="999" t="e">
        <f t="shared" ref="D220:E220" si="19">D219/D218</f>
        <v>#DIV/0!</v>
      </c>
      <c r="E220" s="999" t="e">
        <f t="shared" si="19"/>
        <v>#DIV/0!</v>
      </c>
    </row>
    <row r="221" spans="2:7" ht="14.25" hidden="1" customHeight="1">
      <c r="B221" s="993" t="s">
        <v>755</v>
      </c>
      <c r="C221" s="996">
        <f>C207</f>
        <v>0</v>
      </c>
      <c r="D221" s="996">
        <f t="shared" ref="D221:E221" si="20">D207</f>
        <v>0</v>
      </c>
      <c r="E221" s="996">
        <f t="shared" si="20"/>
        <v>0</v>
      </c>
    </row>
    <row r="222" spans="2:7" ht="25.5" hidden="1" customHeight="1">
      <c r="B222" s="992" t="s">
        <v>746</v>
      </c>
      <c r="C222" s="996">
        <f>C203+C133+C63</f>
        <v>0</v>
      </c>
      <c r="D222" s="996">
        <f t="shared" ref="D222:E222" si="21">D203+D133+D63</f>
        <v>0</v>
      </c>
      <c r="E222" s="996">
        <f t="shared" si="21"/>
        <v>0</v>
      </c>
    </row>
    <row r="223" spans="2:7" ht="15.75" hidden="1" customHeight="1">
      <c r="B223" s="998" t="s">
        <v>750</v>
      </c>
      <c r="C223" s="997"/>
      <c r="D223" s="997"/>
      <c r="E223" s="997"/>
    </row>
    <row r="224" spans="2:7" ht="14.25" hidden="1" customHeight="1">
      <c r="B224" s="993" t="s">
        <v>749</v>
      </c>
      <c r="C224" s="997" t="e">
        <f>C223/C205</f>
        <v>#DIV/0!</v>
      </c>
      <c r="D224" s="997" t="e">
        <f t="shared" ref="D224:E224" si="22">D223/D205</f>
        <v>#DIV/0!</v>
      </c>
      <c r="E224" s="997" t="e">
        <f t="shared" si="22"/>
        <v>#DIV/0!</v>
      </c>
    </row>
  </sheetData>
  <sheetProtection algorithmName="SHA-512" hashValue="acJ2rxC8z+0APvAFNcLff0Y6Y1/oeOLWDrZGodNhPxVO5I922jSa7uGwdwQ98i7xRImqcYwud3lPDCVU+wVLWg==" saltValue="k2vXeK6pizro8uLwyH3vkA==" spinCount="100000" sheet="1" objects="1" scenarios="1"/>
  <mergeCells count="12">
    <mergeCell ref="K2:L2"/>
    <mergeCell ref="N2:P2"/>
    <mergeCell ref="B1:H1"/>
    <mergeCell ref="B2:I2"/>
    <mergeCell ref="D3:G3"/>
    <mergeCell ref="B141:B142"/>
    <mergeCell ref="F9:I9"/>
    <mergeCell ref="B4:I4"/>
    <mergeCell ref="B11:B12"/>
    <mergeCell ref="B71:B72"/>
    <mergeCell ref="B9:D9"/>
    <mergeCell ref="G13:H13"/>
  </mergeCells>
  <phoneticPr fontId="8" type="noConversion"/>
  <printOptions horizontalCentered="1"/>
  <pageMargins left="0.23622047244094491" right="0.23622047244094491" top="0.74803149606299213" bottom="0.74803149606299213" header="0.31496062992125984" footer="0.31496062992125984"/>
  <pageSetup paperSize="9" scale="91" orientation="portrait" r:id="rId1"/>
  <headerFooter alignWithMargins="0">
    <oddFooter>&amp;C&amp;8YT5 ALOITTAVAN YRITYKSEN TALOUSSUUNNITELMA</oddFooter>
  </headerFooter>
  <rowBreaks count="2" manualBreakCount="2">
    <brk id="69" min="1" max="18" man="1"/>
    <brk id="139" min="1" max="19" man="1"/>
  </rowBreaks>
  <colBreaks count="1" manualBreakCount="1">
    <brk id="9" min="3" max="211"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ul2">
    <tabColor rgb="FFFFFF00"/>
  </sheetPr>
  <dimension ref="A2:AH174"/>
  <sheetViews>
    <sheetView showGridLines="0" showZeros="0" zoomScaleNormal="100" workbookViewId="0">
      <selection activeCell="E17" sqref="E17"/>
    </sheetView>
  </sheetViews>
  <sheetFormatPr defaultRowHeight="12.45"/>
  <cols>
    <col min="1" max="1" width="9.53515625" customWidth="1"/>
    <col min="2" max="2" width="2.84375" customWidth="1"/>
    <col min="3" max="3" width="26.07421875" customWidth="1"/>
    <col min="4" max="4" width="7.53515625" customWidth="1"/>
    <col min="5" max="5" width="13.07421875" customWidth="1"/>
    <col min="6" max="6" width="11" customWidth="1"/>
    <col min="7" max="7" width="5.07421875" customWidth="1"/>
    <col min="8" max="8" width="6.84375" customWidth="1"/>
    <col min="9" max="9" width="4.84375" customWidth="1"/>
    <col min="10" max="10" width="5.07421875" customWidth="1"/>
    <col min="11" max="11" width="11.07421875" customWidth="1"/>
    <col min="12" max="12" width="5.07421875" customWidth="1"/>
    <col min="13" max="13" width="6.84375" customWidth="1"/>
    <col min="14" max="14" width="9.84375" customWidth="1"/>
    <col min="15" max="15" width="12.84375" customWidth="1"/>
    <col min="16" max="22" width="10.84375" customWidth="1"/>
    <col min="35" max="35" width="10.3046875" bestFit="1" customWidth="1"/>
    <col min="36" max="36" width="12.53515625" customWidth="1"/>
    <col min="37" max="38" width="9.84375" bestFit="1" customWidth="1"/>
  </cols>
  <sheetData>
    <row r="2" spans="2:22" ht="15" customHeight="1">
      <c r="B2" s="1681" t="s">
        <v>357</v>
      </c>
      <c r="C2" s="1682"/>
      <c r="D2" s="1682"/>
      <c r="E2" s="1682"/>
      <c r="F2" s="1682"/>
      <c r="G2" s="1682"/>
      <c r="H2" s="1682"/>
      <c r="I2" s="1682"/>
      <c r="J2" s="1682"/>
      <c r="K2" s="1682"/>
      <c r="L2" s="1682"/>
      <c r="N2" s="1694" t="s">
        <v>348</v>
      </c>
      <c r="O2" s="1694"/>
      <c r="Q2" s="1680"/>
      <c r="R2" s="1680"/>
    </row>
    <row r="3" spans="2:22" ht="15" customHeight="1"/>
    <row r="4" spans="2:22" ht="15" customHeight="1">
      <c r="B4" s="1683"/>
      <c r="C4" s="1683"/>
      <c r="D4" s="1683"/>
      <c r="E4" s="1683"/>
      <c r="F4" s="1683"/>
      <c r="G4" s="1683"/>
      <c r="H4" s="1683"/>
      <c r="I4" s="1683"/>
      <c r="J4" s="1683"/>
      <c r="K4" s="1683"/>
      <c r="L4" s="1683"/>
    </row>
    <row r="5" spans="2:22" ht="12" customHeight="1">
      <c r="B5" s="99" t="str">
        <f>'Kustannukset K1'!C5</f>
        <v>Yritystulkin tarjoavat</v>
      </c>
    </row>
    <row r="6" spans="2:22" ht="12" customHeight="1">
      <c r="B6" s="295" t="str">
        <f>Aloitussivu!J34</f>
        <v>Iisalmi, Lapinlahti, Sonkajärvi, Vieremä</v>
      </c>
      <c r="C6" s="631"/>
      <c r="D6" s="631"/>
      <c r="E6" s="631"/>
      <c r="F6" s="631"/>
      <c r="G6" s="632"/>
      <c r="H6" s="632"/>
      <c r="I6" s="53"/>
      <c r="J6" s="53"/>
      <c r="K6" s="1792"/>
      <c r="L6" s="1792"/>
    </row>
    <row r="7" spans="2:22" ht="24" customHeight="1">
      <c r="B7" s="424"/>
      <c r="C7" s="255"/>
      <c r="D7" s="255"/>
      <c r="E7" s="255"/>
      <c r="F7" s="255"/>
      <c r="G7" s="53"/>
      <c r="H7" s="53"/>
      <c r="I7" s="53"/>
      <c r="J7" s="53"/>
      <c r="K7" s="425"/>
      <c r="L7" s="425"/>
    </row>
    <row r="8" spans="2:22" ht="12" customHeight="1">
      <c r="B8" s="99" t="s">
        <v>22</v>
      </c>
      <c r="C8" s="259"/>
      <c r="D8" s="352"/>
      <c r="E8" s="54"/>
      <c r="F8" s="72"/>
      <c r="G8" s="1801" t="s">
        <v>546</v>
      </c>
      <c r="H8" s="1801"/>
      <c r="I8" s="1801"/>
      <c r="J8" s="1801"/>
      <c r="K8" s="1801"/>
      <c r="L8" s="1801"/>
    </row>
    <row r="9" spans="2:22" ht="13.5" customHeight="1">
      <c r="B9" s="1687">
        <f>'Kustannukset K1'!C9</f>
        <v>0</v>
      </c>
      <c r="C9" s="1687"/>
      <c r="D9" s="1687"/>
      <c r="E9" s="1687"/>
      <c r="F9" s="257"/>
      <c r="G9" s="1799"/>
      <c r="H9" s="1800"/>
      <c r="I9" s="1800"/>
      <c r="J9" s="1800"/>
      <c r="K9" s="1800"/>
      <c r="L9" s="1800"/>
      <c r="Q9" s="652"/>
    </row>
    <row r="10" spans="2:22" ht="6" customHeight="1">
      <c r="N10" s="1775"/>
      <c r="O10" s="1678"/>
    </row>
    <row r="11" spans="2:22" ht="6" customHeight="1">
      <c r="B11" s="53"/>
      <c r="G11" s="1780"/>
      <c r="H11" s="1780"/>
      <c r="I11" s="1780"/>
      <c r="J11" s="1780"/>
      <c r="K11" s="1780"/>
      <c r="L11" s="1780"/>
      <c r="N11" s="1687"/>
      <c r="O11" s="1687"/>
      <c r="P11" s="1687"/>
      <c r="Q11" s="1687"/>
      <c r="R11" s="1687"/>
      <c r="S11" s="1687"/>
    </row>
    <row r="12" spans="2:22" ht="6" customHeight="1">
      <c r="B12" s="53"/>
      <c r="C12" s="7"/>
      <c r="D12" s="7"/>
      <c r="E12" s="7"/>
      <c r="N12" s="1687"/>
      <c r="O12" s="1687"/>
      <c r="P12" s="1687"/>
      <c r="Q12" s="1687"/>
      <c r="R12" s="1687"/>
      <c r="S12" s="1687"/>
    </row>
    <row r="13" spans="2:22" ht="12.75" customHeight="1">
      <c r="B13" s="1773" t="s">
        <v>549</v>
      </c>
      <c r="C13" s="1774"/>
      <c r="D13" s="1774"/>
      <c r="E13" s="1774"/>
      <c r="F13" s="1774"/>
      <c r="G13" s="1774"/>
      <c r="H13" s="1774"/>
      <c r="I13" s="1774"/>
      <c r="J13" s="1774"/>
      <c r="K13" s="1774"/>
      <c r="L13" s="1774"/>
      <c r="N13" s="2"/>
    </row>
    <row r="14" spans="2:22" ht="9" customHeight="1">
      <c r="B14" s="1774"/>
      <c r="C14" s="1774"/>
      <c r="D14" s="1774"/>
      <c r="E14" s="1774"/>
      <c r="F14" s="1774"/>
      <c r="G14" s="1774"/>
      <c r="H14" s="1774"/>
      <c r="I14" s="1774"/>
      <c r="J14" s="1774"/>
      <c r="K14" s="1774"/>
      <c r="L14" s="1774"/>
      <c r="N14" s="314"/>
      <c r="O14" s="314"/>
      <c r="P14" s="314"/>
      <c r="Q14" s="314"/>
      <c r="R14" s="314"/>
      <c r="S14" s="314"/>
      <c r="T14" s="314"/>
      <c r="U14" s="314"/>
      <c r="V14" s="314"/>
    </row>
    <row r="15" spans="2:22" ht="15" customHeight="1">
      <c r="B15" s="913" t="s">
        <v>692</v>
      </c>
      <c r="C15" s="913"/>
      <c r="D15" s="914"/>
      <c r="E15" s="1182" t="s">
        <v>33</v>
      </c>
      <c r="F15" s="924" t="s">
        <v>488</v>
      </c>
      <c r="G15" s="927"/>
      <c r="H15" s="927"/>
      <c r="I15" s="927"/>
      <c r="J15" s="927"/>
      <c r="K15" s="1797" t="s">
        <v>33</v>
      </c>
      <c r="L15" s="1797"/>
      <c r="N15" s="1412" t="s">
        <v>773</v>
      </c>
      <c r="O15" s="1413"/>
      <c r="P15" s="1413"/>
      <c r="Q15" s="1413"/>
      <c r="R15" s="1414"/>
      <c r="S15" s="1414"/>
      <c r="T15" s="1414"/>
      <c r="U15" s="1414"/>
      <c r="V15" s="1415"/>
    </row>
    <row r="16" spans="2:22">
      <c r="B16" s="1791" t="s">
        <v>792</v>
      </c>
      <c r="C16" s="1791"/>
      <c r="D16" s="1168" t="s">
        <v>61</v>
      </c>
      <c r="E16" s="1164">
        <f>E17+E18+E19</f>
        <v>0</v>
      </c>
      <c r="F16" s="1181" t="s">
        <v>541</v>
      </c>
      <c r="G16" s="1165"/>
      <c r="H16" s="1166"/>
      <c r="I16" s="1167"/>
      <c r="J16" s="1167"/>
      <c r="K16" s="1815">
        <f>SUM(K18:K20)</f>
        <v>0</v>
      </c>
      <c r="L16" s="1816"/>
      <c r="N16" s="1416"/>
      <c r="O16" s="354"/>
      <c r="P16" s="354"/>
      <c r="Q16" s="354"/>
      <c r="R16" s="309"/>
      <c r="S16" s="309"/>
      <c r="T16" s="309"/>
      <c r="U16" s="309"/>
      <c r="V16" s="1417"/>
    </row>
    <row r="17" spans="1:25">
      <c r="B17" s="1769" t="s">
        <v>861</v>
      </c>
      <c r="C17" s="1769"/>
      <c r="D17" s="1169">
        <v>0</v>
      </c>
      <c r="E17" s="1163">
        <v>0</v>
      </c>
      <c r="F17" s="1784" t="s">
        <v>526</v>
      </c>
      <c r="G17" s="1785"/>
      <c r="H17" s="1172" t="s">
        <v>42</v>
      </c>
      <c r="I17" s="1762" t="s">
        <v>45</v>
      </c>
      <c r="J17" s="1762"/>
      <c r="K17" s="1765" t="s">
        <v>43</v>
      </c>
      <c r="L17" s="1766"/>
      <c r="N17" s="1416"/>
      <c r="O17" s="354"/>
      <c r="P17" s="354"/>
      <c r="Q17" s="354"/>
      <c r="R17" s="309"/>
      <c r="S17" s="1042" t="s">
        <v>772</v>
      </c>
      <c r="T17" s="309"/>
      <c r="U17" s="309"/>
      <c r="V17" s="1417"/>
    </row>
    <row r="18" spans="1:25">
      <c r="B18" s="1769" t="s">
        <v>862</v>
      </c>
      <c r="C18" s="1769"/>
      <c r="D18" s="1169">
        <v>0</v>
      </c>
      <c r="E18" s="1159">
        <v>0</v>
      </c>
      <c r="F18" s="1763" t="s">
        <v>487</v>
      </c>
      <c r="G18" s="1764"/>
      <c r="H18" s="1178">
        <v>0</v>
      </c>
      <c r="I18" s="1176">
        <v>0</v>
      </c>
      <c r="J18" s="1101">
        <v>0</v>
      </c>
      <c r="K18" s="1795">
        <v>0</v>
      </c>
      <c r="L18" s="1796"/>
      <c r="N18" s="921" t="s">
        <v>0</v>
      </c>
      <c r="O18" s="664"/>
      <c r="P18" s="664"/>
      <c r="Q18" s="664"/>
      <c r="R18" s="664"/>
      <c r="S18" s="664"/>
      <c r="T18" s="664"/>
      <c r="U18" s="664"/>
      <c r="V18" s="922"/>
      <c r="Y18" s="260">
        <v>0</v>
      </c>
    </row>
    <row r="19" spans="1:25">
      <c r="A19" s="154"/>
      <c r="B19" s="1769" t="s">
        <v>860</v>
      </c>
      <c r="C19" s="1769"/>
      <c r="D19" s="1169">
        <v>0</v>
      </c>
      <c r="E19" s="1159">
        <v>0</v>
      </c>
      <c r="F19" s="1786" t="s">
        <v>486</v>
      </c>
      <c r="G19" s="1787"/>
      <c r="H19" s="1174">
        <v>0</v>
      </c>
      <c r="I19" s="1179">
        <v>0</v>
      </c>
      <c r="J19" s="1180">
        <v>0</v>
      </c>
      <c r="K19" s="1781">
        <v>0</v>
      </c>
      <c r="L19" s="1781"/>
      <c r="N19" s="921"/>
      <c r="O19" s="664"/>
      <c r="P19" s="664"/>
      <c r="Q19" s="664"/>
      <c r="R19" s="664"/>
      <c r="S19" s="664"/>
      <c r="T19" s="664"/>
      <c r="U19" s="664"/>
      <c r="V19" s="922"/>
    </row>
    <row r="20" spans="1:25">
      <c r="B20" s="1788" t="s">
        <v>536</v>
      </c>
      <c r="C20" s="1788"/>
      <c r="D20" s="1170" t="s">
        <v>61</v>
      </c>
      <c r="E20" s="1160">
        <f>SUM(E21:E26)</f>
        <v>0</v>
      </c>
      <c r="F20" s="1767" t="s">
        <v>0</v>
      </c>
      <c r="G20" s="1768"/>
      <c r="H20" s="1175">
        <v>0</v>
      </c>
      <c r="I20" s="1176">
        <v>0</v>
      </c>
      <c r="J20" s="1101">
        <v>0</v>
      </c>
      <c r="K20" s="1778">
        <v>0</v>
      </c>
      <c r="L20" s="1779"/>
      <c r="M20">
        <v>0</v>
      </c>
      <c r="N20" s="921"/>
      <c r="O20" s="664"/>
      <c r="P20" s="664"/>
      <c r="Q20" s="664"/>
      <c r="R20" s="664"/>
      <c r="S20" s="664"/>
      <c r="T20" s="664"/>
      <c r="U20" s="664"/>
      <c r="V20" s="922"/>
    </row>
    <row r="21" spans="1:25">
      <c r="A21" s="154"/>
      <c r="B21" s="1771">
        <v>0</v>
      </c>
      <c r="C21" s="1771"/>
      <c r="D21" s="1169">
        <v>0</v>
      </c>
      <c r="E21" s="1159">
        <v>0</v>
      </c>
      <c r="F21" s="1789" t="s">
        <v>548</v>
      </c>
      <c r="G21" s="1790"/>
      <c r="H21" s="1175">
        <v>0</v>
      </c>
      <c r="I21" s="1778">
        <v>0</v>
      </c>
      <c r="J21" s="1779"/>
      <c r="K21" s="1778">
        <v>0</v>
      </c>
      <c r="L21" s="1779"/>
      <c r="N21" s="921"/>
      <c r="O21" s="664"/>
      <c r="P21" s="664"/>
      <c r="Q21" s="664"/>
      <c r="R21" s="664"/>
      <c r="S21" s="664"/>
      <c r="T21" s="664"/>
      <c r="U21" s="664"/>
      <c r="V21" s="922"/>
    </row>
    <row r="22" spans="1:25">
      <c r="A22" s="2"/>
      <c r="B22" s="1771">
        <v>0</v>
      </c>
      <c r="C22" s="1771"/>
      <c r="D22" s="1169">
        <v>0</v>
      </c>
      <c r="E22" s="1159">
        <v>0</v>
      </c>
      <c r="F22" s="1789" t="s">
        <v>547</v>
      </c>
      <c r="G22" s="1790"/>
      <c r="H22" s="1175">
        <v>0</v>
      </c>
      <c r="I22" s="1778">
        <v>0</v>
      </c>
      <c r="J22" s="1779"/>
      <c r="K22" s="1778">
        <v>0</v>
      </c>
      <c r="L22" s="1779"/>
      <c r="N22" s="921"/>
      <c r="O22" s="664"/>
      <c r="P22" s="664"/>
      <c r="Q22" s="664"/>
      <c r="R22" s="664"/>
      <c r="S22" s="664"/>
      <c r="T22" s="664"/>
      <c r="U22" s="664"/>
      <c r="V22" s="922"/>
    </row>
    <row r="23" spans="1:25">
      <c r="A23" s="154"/>
      <c r="B23" s="1771">
        <v>0</v>
      </c>
      <c r="C23" s="1771"/>
      <c r="D23" s="1169">
        <v>0</v>
      </c>
      <c r="E23" s="1159">
        <v>0</v>
      </c>
      <c r="F23" s="1789" t="s">
        <v>538</v>
      </c>
      <c r="G23" s="1789"/>
      <c r="H23" s="1789"/>
      <c r="I23" s="1789"/>
      <c r="J23" s="1790"/>
      <c r="K23" s="1761">
        <f>SUM(K24:K26)</f>
        <v>0</v>
      </c>
      <c r="L23" s="1761"/>
      <c r="N23" s="921"/>
      <c r="O23" s="664"/>
      <c r="P23" s="664"/>
      <c r="Q23" s="664"/>
      <c r="R23" s="664"/>
      <c r="S23" s="664"/>
      <c r="T23" s="664"/>
      <c r="U23" s="664"/>
      <c r="V23" s="922"/>
    </row>
    <row r="24" spans="1:25">
      <c r="B24" s="1769" t="s">
        <v>175</v>
      </c>
      <c r="C24" s="1770"/>
      <c r="D24" s="1171">
        <v>0</v>
      </c>
      <c r="E24" s="1159">
        <v>0</v>
      </c>
      <c r="F24" s="1767" t="s">
        <v>591</v>
      </c>
      <c r="G24" s="1767"/>
      <c r="H24" s="1767"/>
      <c r="I24" s="1767"/>
      <c r="J24" s="1768"/>
      <c r="K24" s="1782">
        <f>IF('1Kauppa AT lainat ja avustukset'!E60&lt;0,0,'1Kauppa AT lainat ja avustukset'!E60)</f>
        <v>0</v>
      </c>
      <c r="L24" s="1783"/>
      <c r="N24" s="921"/>
      <c r="O24" s="664"/>
      <c r="P24" s="664"/>
      <c r="Q24" s="664"/>
      <c r="R24" s="664"/>
      <c r="S24" s="664"/>
      <c r="T24" s="664"/>
      <c r="U24" s="664"/>
      <c r="V24" s="922"/>
    </row>
    <row r="25" spans="1:25">
      <c r="A25" s="154"/>
      <c r="B25" s="1769" t="s">
        <v>525</v>
      </c>
      <c r="C25" s="1770"/>
      <c r="D25" s="1171"/>
      <c r="E25" s="1161">
        <v>0</v>
      </c>
      <c r="F25" s="1732" t="s">
        <v>507</v>
      </c>
      <c r="G25" s="1732"/>
      <c r="H25" s="1732"/>
      <c r="I25" s="1732"/>
      <c r="J25" s="1733"/>
      <c r="K25" s="1742">
        <v>0</v>
      </c>
      <c r="L25" s="1742"/>
      <c r="N25" s="921"/>
      <c r="O25" s="664"/>
      <c r="P25" s="664"/>
      <c r="Q25" s="664"/>
      <c r="R25" s="664"/>
      <c r="S25" s="664"/>
      <c r="T25" s="664"/>
      <c r="U25" s="664"/>
      <c r="V25" s="922"/>
    </row>
    <row r="26" spans="1:25">
      <c r="B26" s="1769" t="s">
        <v>812</v>
      </c>
      <c r="C26" s="1769"/>
      <c r="D26" s="1169">
        <v>0</v>
      </c>
      <c r="E26" s="1159">
        <v>0</v>
      </c>
      <c r="F26" s="1732"/>
      <c r="G26" s="1732"/>
      <c r="H26" s="1732"/>
      <c r="I26" s="1732"/>
      <c r="J26" s="1733"/>
      <c r="K26" s="1742">
        <v>0</v>
      </c>
      <c r="L26" s="1742"/>
      <c r="N26" s="921"/>
      <c r="O26" s="664">
        <v>0</v>
      </c>
      <c r="P26" s="664"/>
      <c r="Q26" s="664"/>
      <c r="R26" s="664"/>
      <c r="S26" s="664"/>
      <c r="T26" s="664"/>
      <c r="U26" s="664"/>
      <c r="V26" s="922"/>
    </row>
    <row r="27" spans="1:25">
      <c r="A27" s="154"/>
      <c r="B27" s="1753" t="s">
        <v>537</v>
      </c>
      <c r="C27" s="1776"/>
      <c r="D27" s="1777"/>
      <c r="E27" s="1160">
        <f>E28+E29</f>
        <v>0</v>
      </c>
      <c r="F27" s="1748" t="s">
        <v>539</v>
      </c>
      <c r="G27" s="1748"/>
      <c r="H27" s="1748"/>
      <c r="I27" s="1748"/>
      <c r="J27" s="1749"/>
      <c r="K27" s="1761">
        <f>IF((E19+E20+E27-E26-K21-E24)*0.19355&lt;0,0,(E19+E20+E27-E26-K21-E24)*0.19355)</f>
        <v>0</v>
      </c>
      <c r="L27" s="1761"/>
      <c r="N27" s="921"/>
      <c r="O27" s="664"/>
      <c r="P27" s="664"/>
      <c r="Q27" s="664"/>
      <c r="R27" s="664"/>
      <c r="S27" s="664"/>
      <c r="T27" s="664"/>
      <c r="U27" s="664"/>
      <c r="V27" s="922"/>
    </row>
    <row r="28" spans="1:25">
      <c r="A28" s="2"/>
      <c r="B28" s="1771">
        <v>0</v>
      </c>
      <c r="C28" s="1771"/>
      <c r="D28" s="1772"/>
      <c r="E28" s="1159">
        <v>0</v>
      </c>
      <c r="F28" s="1748" t="s">
        <v>540</v>
      </c>
      <c r="G28" s="1748"/>
      <c r="H28" s="1748"/>
      <c r="I28" s="1748"/>
      <c r="J28" s="1749"/>
      <c r="K28" s="1761">
        <f>SUM(K29:K32)</f>
        <v>0</v>
      </c>
      <c r="L28" s="1761"/>
      <c r="N28" s="921"/>
      <c r="O28" s="664"/>
      <c r="P28" s="664"/>
      <c r="Q28" s="664"/>
      <c r="R28" s="664"/>
      <c r="S28" s="664"/>
      <c r="T28" s="664"/>
      <c r="U28" s="664"/>
      <c r="V28" s="922"/>
    </row>
    <row r="29" spans="1:25">
      <c r="B29" s="1771"/>
      <c r="C29" s="1771"/>
      <c r="D29" s="1772"/>
      <c r="E29" s="1159">
        <v>0</v>
      </c>
      <c r="F29" s="1743" t="s">
        <v>44</v>
      </c>
      <c r="G29" s="1743"/>
      <c r="H29" s="1743"/>
      <c r="I29" s="1743"/>
      <c r="J29" s="1744"/>
      <c r="K29" s="1742">
        <v>0</v>
      </c>
      <c r="L29" s="1742"/>
      <c r="N29" s="921"/>
      <c r="O29" s="664"/>
      <c r="P29" s="664"/>
      <c r="Q29" s="664"/>
      <c r="R29" s="664"/>
      <c r="S29" s="664"/>
      <c r="T29" s="664"/>
      <c r="U29" s="664"/>
      <c r="V29" s="922"/>
    </row>
    <row r="30" spans="1:25">
      <c r="B30" s="1753" t="s">
        <v>542</v>
      </c>
      <c r="C30" s="1753"/>
      <c r="D30" s="1754"/>
      <c r="E30" s="1158">
        <v>0</v>
      </c>
      <c r="F30" s="1732" t="s">
        <v>544</v>
      </c>
      <c r="G30" s="1732"/>
      <c r="H30" s="1732"/>
      <c r="I30" s="1732"/>
      <c r="J30" s="1733"/>
      <c r="K30" s="1742">
        <v>0</v>
      </c>
      <c r="L30" s="1742"/>
      <c r="N30" s="921"/>
      <c r="O30" s="664"/>
      <c r="P30" s="664"/>
      <c r="Q30" s="664"/>
      <c r="R30" s="664"/>
      <c r="S30" s="664"/>
      <c r="T30" s="664"/>
      <c r="U30" s="664"/>
      <c r="V30" s="922"/>
    </row>
    <row r="31" spans="1:25">
      <c r="B31" s="1753" t="s">
        <v>559</v>
      </c>
      <c r="C31" s="1753"/>
      <c r="D31" s="1754"/>
      <c r="E31" s="1158">
        <v>0</v>
      </c>
      <c r="F31" s="1757"/>
      <c r="G31" s="1757"/>
      <c r="H31" s="1757"/>
      <c r="I31" s="1757"/>
      <c r="J31" s="1757"/>
      <c r="K31" s="1742">
        <v>0</v>
      </c>
      <c r="L31" s="1742"/>
      <c r="N31" s="921"/>
      <c r="O31" s="664"/>
      <c r="P31" s="664"/>
      <c r="Q31" s="664"/>
      <c r="R31" s="664">
        <v>0</v>
      </c>
      <c r="S31" s="664"/>
      <c r="T31" s="664"/>
      <c r="U31" s="664"/>
      <c r="V31" s="922"/>
    </row>
    <row r="32" spans="1:25">
      <c r="B32" s="1754" t="s">
        <v>567</v>
      </c>
      <c r="C32" s="1756"/>
      <c r="D32" s="1756"/>
      <c r="E32" s="1158">
        <v>0</v>
      </c>
      <c r="F32" s="1732"/>
      <c r="G32" s="1732"/>
      <c r="H32" s="1732"/>
      <c r="I32" s="1732"/>
      <c r="J32" s="1733"/>
      <c r="K32" s="1742">
        <v>0</v>
      </c>
      <c r="L32" s="1742"/>
      <c r="N32" s="921"/>
      <c r="O32" s="664"/>
      <c r="P32" s="664"/>
      <c r="Q32" s="664"/>
      <c r="R32" s="664"/>
      <c r="S32" s="664"/>
      <c r="T32" s="664"/>
      <c r="U32" s="664"/>
      <c r="V32" s="922"/>
    </row>
    <row r="33" spans="1:22">
      <c r="B33" s="9"/>
      <c r="C33" s="1745" t="s">
        <v>35</v>
      </c>
      <c r="D33" s="1745"/>
      <c r="E33" s="1157">
        <f>E16+E20+E27+E31+E32+E30</f>
        <v>0</v>
      </c>
      <c r="F33" s="1758"/>
      <c r="G33" s="1758"/>
      <c r="H33" s="1745" t="s">
        <v>174</v>
      </c>
      <c r="I33" s="1745"/>
      <c r="J33" s="1745"/>
      <c r="K33" s="1759">
        <f>K16+K21+K23+K27+K28+K22</f>
        <v>0</v>
      </c>
      <c r="L33" s="1760"/>
      <c r="N33" s="921"/>
      <c r="O33" s="664"/>
      <c r="P33" s="664"/>
      <c r="Q33" s="664"/>
      <c r="R33" s="664"/>
      <c r="S33" s="664"/>
      <c r="T33" s="664"/>
      <c r="U33" s="664"/>
      <c r="V33" s="922"/>
    </row>
    <row r="34" spans="1:22" ht="3.75" customHeight="1">
      <c r="B34" s="9"/>
      <c r="C34" s="261"/>
      <c r="D34" s="261"/>
      <c r="E34" s="349"/>
      <c r="F34" s="261"/>
      <c r="G34" s="261"/>
      <c r="H34" s="261"/>
      <c r="I34" s="261"/>
      <c r="J34" s="63"/>
      <c r="K34" s="360"/>
      <c r="L34" s="651"/>
      <c r="N34" s="1416"/>
      <c r="O34" s="354"/>
      <c r="P34" s="354"/>
      <c r="Q34" s="354"/>
      <c r="R34" s="354"/>
      <c r="S34" s="354"/>
      <c r="T34" s="354"/>
      <c r="U34" s="354"/>
      <c r="V34" s="1433"/>
    </row>
    <row r="35" spans="1:22" ht="12.75" customHeight="1">
      <c r="B35" s="1731" t="s">
        <v>508</v>
      </c>
      <c r="C35" s="1731"/>
      <c r="D35" s="1731"/>
      <c r="E35" s="1156">
        <f>ROUND(E33-K33,0)</f>
        <v>0</v>
      </c>
      <c r="F35" s="1794" t="s">
        <v>494</v>
      </c>
      <c r="G35" s="1794"/>
      <c r="H35" s="1794"/>
      <c r="I35" s="1794"/>
      <c r="J35" s="1794"/>
      <c r="K35" s="1798">
        <f>K23+K27</f>
        <v>0</v>
      </c>
      <c r="L35" s="1798"/>
      <c r="N35" s="921"/>
      <c r="O35" s="664"/>
      <c r="P35" s="664"/>
      <c r="Q35" s="664"/>
      <c r="R35" s="664"/>
      <c r="S35" s="664"/>
      <c r="T35" s="664"/>
      <c r="U35" s="664"/>
      <c r="V35" s="922"/>
    </row>
    <row r="36" spans="1:22" ht="12" customHeight="1">
      <c r="B36" s="53"/>
      <c r="C36" s="918" t="str">
        <f>IF( E35&lt;&gt;0,"VARMISTA, ETTÄ Rahoitustarve - Rahoitussuunnitelma, erotus = 0!","")</f>
        <v/>
      </c>
      <c r="E36" s="7"/>
      <c r="G36" s="86"/>
      <c r="H36" s="86"/>
      <c r="I36" s="86"/>
      <c r="J36" s="86"/>
      <c r="K36" s="87"/>
      <c r="N36" s="921"/>
      <c r="O36" s="664"/>
      <c r="P36" s="664"/>
      <c r="Q36" s="664"/>
      <c r="R36" s="664"/>
      <c r="S36" s="664"/>
      <c r="T36" s="664"/>
      <c r="U36" s="664"/>
      <c r="V36" s="922"/>
    </row>
    <row r="37" spans="1:22" ht="13.5" customHeight="1">
      <c r="B37" s="926" t="s">
        <v>0</v>
      </c>
      <c r="C37" s="1746" t="s">
        <v>34</v>
      </c>
      <c r="D37" s="916"/>
      <c r="E37" s="916"/>
      <c r="F37" s="1755" t="str">
        <f>'Kustannukset K1'!F11</f>
        <v>1. TILIKAUSI</v>
      </c>
      <c r="G37" s="1755"/>
      <c r="H37" s="1755" t="s">
        <v>401</v>
      </c>
      <c r="I37" s="1755"/>
      <c r="J37" s="1755"/>
      <c r="K37" s="1755" t="s">
        <v>454</v>
      </c>
      <c r="L37" s="1755"/>
      <c r="N37" s="921"/>
      <c r="O37" s="664"/>
      <c r="P37" s="664"/>
      <c r="Q37" s="664"/>
      <c r="R37" s="664"/>
      <c r="S37" s="664"/>
      <c r="T37" s="664"/>
      <c r="U37" s="664"/>
      <c r="V37" s="922"/>
    </row>
    <row r="38" spans="1:22">
      <c r="B38" s="926" t="s">
        <v>0</v>
      </c>
      <c r="C38" s="1747"/>
      <c r="D38" s="916"/>
      <c r="E38" s="916"/>
      <c r="F38" s="1793">
        <f>'Kustannukset K1'!F12</f>
        <v>2025</v>
      </c>
      <c r="G38" s="1793"/>
      <c r="H38" s="1752">
        <f>'Kustannukset K1'!G12</f>
        <v>2026</v>
      </c>
      <c r="I38" s="1752"/>
      <c r="J38" s="1752"/>
      <c r="K38" s="1752">
        <f>'Kustannukset K1'!H12</f>
        <v>2027</v>
      </c>
      <c r="L38" s="1752"/>
      <c r="N38" s="921"/>
      <c r="O38" s="664"/>
      <c r="P38" s="664"/>
      <c r="Q38" s="664"/>
      <c r="R38" s="664"/>
      <c r="S38" s="664"/>
      <c r="T38" s="664"/>
      <c r="U38" s="664"/>
      <c r="V38" s="922"/>
    </row>
    <row r="39" spans="1:22">
      <c r="B39" s="1218"/>
      <c r="C39" s="1215" t="s">
        <v>523</v>
      </c>
      <c r="D39" s="1224"/>
      <c r="E39" s="1223"/>
      <c r="F39" s="1698">
        <f>'Kustannukset K1'!F13</f>
        <v>12</v>
      </c>
      <c r="G39" s="1698"/>
      <c r="H39" s="1750">
        <f>'Kustannukset K1'!G13</f>
        <v>12</v>
      </c>
      <c r="I39" s="1750"/>
      <c r="J39" s="1750"/>
      <c r="K39" s="1750">
        <f>'Kustannukset K1'!H13</f>
        <v>12</v>
      </c>
      <c r="L39" s="1750"/>
      <c r="N39" s="921"/>
      <c r="O39" s="664"/>
      <c r="P39" s="664"/>
      <c r="Q39" s="664"/>
      <c r="R39" s="664"/>
      <c r="S39" s="664"/>
      <c r="T39" s="664"/>
      <c r="U39" s="664"/>
      <c r="V39" s="922"/>
    </row>
    <row r="40" spans="1:22">
      <c r="B40" s="1192"/>
      <c r="C40" s="1220" t="s">
        <v>25</v>
      </c>
      <c r="D40" s="1221"/>
      <c r="E40" s="1222"/>
      <c r="F40" s="1214">
        <f>'Palkat '!C11+'Kustannukset K1'!F19</f>
        <v>2</v>
      </c>
      <c r="G40" s="1184" t="s">
        <v>100</v>
      </c>
      <c r="H40" s="1751">
        <f>'Palkat '!D11+'Kustannukset K1'!G19</f>
        <v>2</v>
      </c>
      <c r="I40" s="1751"/>
      <c r="J40" s="1183" t="s">
        <v>100</v>
      </c>
      <c r="K40" s="1183">
        <f>'Palkat '!E11+'Kustannukset K1'!H19</f>
        <v>2</v>
      </c>
      <c r="L40" s="1185" t="s">
        <v>100</v>
      </c>
      <c r="N40" s="921"/>
      <c r="O40" s="664"/>
      <c r="P40" s="664"/>
      <c r="Q40" s="664"/>
      <c r="R40" s="664"/>
      <c r="S40" s="664"/>
      <c r="T40" s="664"/>
      <c r="U40" s="664"/>
      <c r="V40" s="922"/>
    </row>
    <row r="41" spans="1:22">
      <c r="B41" s="1219" t="s">
        <v>12</v>
      </c>
      <c r="C41" s="1216" t="s">
        <v>159</v>
      </c>
      <c r="D41" s="1216"/>
      <c r="E41" s="1217"/>
      <c r="F41" s="1160">
        <f>'Myynti K2'!C205</f>
        <v>0</v>
      </c>
      <c r="G41" s="1160"/>
      <c r="H41" s="1699">
        <f>'Myynti K2'!D205</f>
        <v>0</v>
      </c>
      <c r="I41" s="1699"/>
      <c r="J41" s="1160"/>
      <c r="K41" s="1160">
        <f>'Myynti K2'!E205</f>
        <v>0</v>
      </c>
      <c r="L41" s="1160"/>
      <c r="N41" s="921"/>
      <c r="O41" s="664"/>
      <c r="P41" s="664"/>
      <c r="Q41" s="664"/>
      <c r="R41" s="664"/>
      <c r="S41" s="664"/>
      <c r="T41" s="664"/>
      <c r="U41" s="664"/>
      <c r="V41" s="922"/>
    </row>
    <row r="42" spans="1:22">
      <c r="B42" s="1195"/>
      <c r="C42" s="1193" t="s">
        <v>29</v>
      </c>
      <c r="D42" s="1193"/>
      <c r="E42" s="1194"/>
      <c r="F42" s="1186">
        <f>-(F41-F43)</f>
        <v>0</v>
      </c>
      <c r="G42" s="1186"/>
      <c r="H42" s="1713">
        <f>-(H41-H43)</f>
        <v>0</v>
      </c>
      <c r="I42" s="1713"/>
      <c r="J42" s="1186"/>
      <c r="K42" s="1186">
        <f>-(K41-K43)</f>
        <v>0</v>
      </c>
      <c r="L42" s="1186"/>
      <c r="N42" s="921"/>
      <c r="O42" s="664"/>
      <c r="P42" s="664"/>
      <c r="Q42" s="664"/>
      <c r="R42" s="664"/>
      <c r="S42" s="664"/>
      <c r="T42" s="664"/>
      <c r="U42" s="664"/>
      <c r="V42" s="922"/>
    </row>
    <row r="43" spans="1:22">
      <c r="B43" s="1195" t="s">
        <v>13</v>
      </c>
      <c r="C43" s="1196" t="s">
        <v>160</v>
      </c>
      <c r="D43" s="1196"/>
      <c r="E43" s="1197"/>
      <c r="F43" s="1160">
        <f>'Myynti K2'!C206</f>
        <v>0</v>
      </c>
      <c r="G43" s="1183">
        <v>100</v>
      </c>
      <c r="H43" s="1699">
        <f>'Myynti K2'!D206</f>
        <v>0</v>
      </c>
      <c r="I43" s="1699"/>
      <c r="J43" s="1183">
        <v>100</v>
      </c>
      <c r="K43" s="1160">
        <f>'Myynti K2'!E206</f>
        <v>0</v>
      </c>
      <c r="L43" s="1183">
        <v>100</v>
      </c>
      <c r="N43" s="921"/>
      <c r="O43" s="664"/>
      <c r="P43" s="664"/>
      <c r="Q43" s="664"/>
      <c r="R43" s="664"/>
      <c r="S43" s="664"/>
      <c r="T43" s="664"/>
      <c r="U43" s="664"/>
      <c r="V43" s="922"/>
    </row>
    <row r="44" spans="1:22">
      <c r="B44" s="1195" t="s">
        <v>14</v>
      </c>
      <c r="C44" s="1193" t="s">
        <v>276</v>
      </c>
      <c r="D44" s="1193"/>
      <c r="E44" s="1194"/>
      <c r="F44" s="1186">
        <f>-'Myynti K2'!C208</f>
        <v>0</v>
      </c>
      <c r="G44" s="1187">
        <f>IF(F$43=0,0,F44/F$43)*-100</f>
        <v>0</v>
      </c>
      <c r="H44" s="1713">
        <f>-'Myynti K2'!D208</f>
        <v>0</v>
      </c>
      <c r="I44" s="1713"/>
      <c r="J44" s="1187">
        <f>IF(H$43=0,0,H44/H$43)*-100</f>
        <v>0</v>
      </c>
      <c r="K44" s="1186">
        <f>-'Myynti K2'!E208</f>
        <v>0</v>
      </c>
      <c r="L44" s="1187">
        <f>IF(K$43=0,0,K44/K$43)*-100</f>
        <v>0</v>
      </c>
      <c r="N44" s="921"/>
      <c r="O44" s="664"/>
      <c r="P44" s="664"/>
      <c r="Q44" s="664"/>
      <c r="R44" s="664"/>
      <c r="S44" s="664"/>
      <c r="T44" s="664"/>
      <c r="U44" s="664"/>
      <c r="V44" s="922"/>
    </row>
    <row r="45" spans="1:22">
      <c r="B45" s="1195" t="s">
        <v>15</v>
      </c>
      <c r="C45" s="1193" t="s">
        <v>161</v>
      </c>
      <c r="D45" s="1193"/>
      <c r="E45" s="1194"/>
      <c r="F45" s="1186">
        <f>-('Kustannukset K1'!F14+'Kustannukset K1'!F28+'Kustannukset K1'!F29+'Kustannukset K1'!F36+'2 AT Palkat, alv'!E20+'2 AT Palkat, alv'!E36)</f>
        <v>0</v>
      </c>
      <c r="G45" s="1187">
        <f>IF(F$43=0,0,F45/F$43)*-100</f>
        <v>0</v>
      </c>
      <c r="H45" s="1713">
        <f>-('Kustannukset K1'!G14+'Kustannukset K1'!G28+'Kustannukset K1'!G29+'Kustannukset K1'!G36+'2 AT Palkat, alv'!R20+'2 AT Palkat, alv'!R36)</f>
        <v>0</v>
      </c>
      <c r="I45" s="1713"/>
      <c r="J45" s="1187">
        <f>IF(H$43=0,0,H45/H$43)*-100</f>
        <v>0</v>
      </c>
      <c r="K45" s="1186">
        <f>-('Kustannukset K1'!H14+'Kustannukset K1'!H28+'Kustannukset K1'!H29+'Kustannukset K1'!H36+'2 AT Palkat, alv'!T20+'2 AT Palkat, alv'!T36)</f>
        <v>0</v>
      </c>
      <c r="L45" s="1187">
        <f>IF(K$43=0,0,K45/K$43)*-100</f>
        <v>0</v>
      </c>
      <c r="N45" s="921"/>
      <c r="O45" s="664"/>
      <c r="P45" s="664"/>
      <c r="Q45" s="664"/>
      <c r="R45" s="664"/>
      <c r="S45" s="664"/>
      <c r="T45" s="664"/>
      <c r="U45" s="664"/>
      <c r="V45" s="922"/>
    </row>
    <row r="46" spans="1:22" s="9" customFormat="1">
      <c r="A46"/>
      <c r="B46" s="1195" t="s">
        <v>16</v>
      </c>
      <c r="C46" s="1193" t="s">
        <v>162</v>
      </c>
      <c r="D46" s="1193"/>
      <c r="E46" s="1194"/>
      <c r="F46" s="1188">
        <f>-('Kustannukset K1'!F48+'Kustannukset K1'!F59)</f>
        <v>0</v>
      </c>
      <c r="G46" s="1187">
        <f>IF(F$43=0,0,F46/F$43)*-100</f>
        <v>0</v>
      </c>
      <c r="H46" s="1697">
        <f>-('Kustannukset K1'!G48++'Kustannukset K1'!G59)</f>
        <v>0</v>
      </c>
      <c r="I46" s="1697"/>
      <c r="J46" s="1187">
        <f>IF(H$43=0,0,H46/H$43)*-100</f>
        <v>0</v>
      </c>
      <c r="K46" s="1188">
        <f>-('Kustannukset K1'!H48++'Kustannukset K1'!H59)</f>
        <v>0</v>
      </c>
      <c r="L46" s="1187">
        <f>IF(K$43=0,0,K46/K$43)*-100</f>
        <v>0</v>
      </c>
      <c r="N46" s="921"/>
      <c r="O46" s="664"/>
      <c r="P46" s="664"/>
      <c r="Q46" s="664"/>
      <c r="R46" s="664"/>
      <c r="S46" s="664"/>
      <c r="T46" s="664"/>
      <c r="U46" s="664"/>
      <c r="V46" s="922"/>
    </row>
    <row r="47" spans="1:22">
      <c r="B47" s="1195" t="s">
        <v>17</v>
      </c>
      <c r="C47" s="1193" t="s">
        <v>163</v>
      </c>
      <c r="D47" s="1193"/>
      <c r="E47" s="1194"/>
      <c r="F47" s="1188">
        <f>-'Kustannukset K1'!F89</f>
        <v>0</v>
      </c>
      <c r="G47" s="1187">
        <f>IF(F$43=0,0,F47/F$43)*-100</f>
        <v>0</v>
      </c>
      <c r="H47" s="1697">
        <f>-('Kustannukset K1'!G89)</f>
        <v>0</v>
      </c>
      <c r="I47" s="1697"/>
      <c r="J47" s="1187">
        <f>IF(H$43=0,0,H47/H$43)*-100</f>
        <v>0</v>
      </c>
      <c r="K47" s="1188">
        <f>-'Kustannukset K1'!H89</f>
        <v>0</v>
      </c>
      <c r="L47" s="1187">
        <f>IF(K$43=0,0,K47/K$43)*-100</f>
        <v>0</v>
      </c>
      <c r="N47" s="921"/>
      <c r="O47" s="664"/>
      <c r="P47" s="664"/>
      <c r="Q47" s="664"/>
      <c r="R47" s="664"/>
      <c r="S47" s="664"/>
      <c r="T47" s="664"/>
      <c r="U47" s="664"/>
      <c r="V47" s="922"/>
    </row>
    <row r="48" spans="1:22">
      <c r="B48" s="1195" t="s">
        <v>18</v>
      </c>
      <c r="C48" s="1193" t="s">
        <v>164</v>
      </c>
      <c r="D48" s="1193"/>
      <c r="E48" s="1194"/>
      <c r="F48" s="1188">
        <f>-('Kustannukset K1'!F41+'Kustannukset K1'!F47-'Kustannukset K1'!F48+'Kustannukset K1'!F61+'Kustannukset K1'!F69+'Kustannukset K1'!F74+'Kustannukset K1'!F79+'Kustannukset K1'!F83+'Kustannukset K1'!F88+'Kustannukset K1'!F95+'Kustannukset K1'!F98+'Kustannukset K1'!F102+'Kustannukset K1'!F106+'Kustannukset K1'!F111+'Kustannukset K1'!F114+'Kustannukset K1'!F115+'Kustannukset K1'!F116+'Kustannukset K1'!F117+'Kustannukset K1'!F118)</f>
        <v>0</v>
      </c>
      <c r="G48" s="1187">
        <f>IF(F$43=0,0,F48/F$43)*-100</f>
        <v>0</v>
      </c>
      <c r="H48" s="1697">
        <f>-('Kustannukset K1'!G41+'Kustannukset K1'!G47-'Kustannukset K1'!G48+'Kustannukset K1'!G61+'Kustannukset K1'!G69+'Kustannukset K1'!G74+'Kustannukset K1'!G79+'Kustannukset K1'!G83+'Kustannukset K1'!G88+'Kustannukset K1'!G95+'Kustannukset K1'!G98+'Kustannukset K1'!G102+'Kustannukset K1'!G106+'Kustannukset K1'!G111+'Kustannukset K1'!G114+'Kustannukset K1'!G115+'Kustannukset K1'!G116+'Kustannukset K1'!G117+'Kustannukset K1'!G118)</f>
        <v>0</v>
      </c>
      <c r="I48" s="1697"/>
      <c r="J48" s="1187">
        <f>IF(H$43=0,0,H48/H$43)*-100</f>
        <v>0</v>
      </c>
      <c r="K48" s="1188">
        <f>-('Kustannukset K1'!H41+'Kustannukset K1'!H47-'Kustannukset K1'!H48+'Kustannukset K1'!H61+'Kustannukset K1'!H69+'Kustannukset K1'!H74+'Kustannukset K1'!H79+'Kustannukset K1'!H83+'Kustannukset K1'!H88+'Kustannukset K1'!H95+'Kustannukset K1'!H98+'Kustannukset K1'!H102+'Kustannukset K1'!H106+'Kustannukset K1'!H111+'Kustannukset K1'!H114+'Kustannukset K1'!H115+'Kustannukset K1'!H116+'Kustannukset K1'!H117+'Kustannukset K1'!H118)</f>
        <v>0</v>
      </c>
      <c r="L48" s="1187">
        <f>IF(K$43=0,0,K48/K$43)*-100</f>
        <v>0</v>
      </c>
      <c r="N48" s="921"/>
      <c r="O48" s="664"/>
      <c r="P48" s="664"/>
      <c r="Q48" s="664"/>
      <c r="R48" s="664"/>
      <c r="S48" s="664"/>
      <c r="T48" s="664"/>
      <c r="U48" s="664"/>
      <c r="V48" s="922"/>
    </row>
    <row r="49" spans="2:34" ht="12.75" customHeight="1">
      <c r="B49" s="1195" t="s">
        <v>19</v>
      </c>
      <c r="C49" s="1700" t="s">
        <v>165</v>
      </c>
      <c r="D49" s="1701"/>
      <c r="E49" s="1701"/>
      <c r="F49" s="1160">
        <f>F43+F44+F45+F46+F47+F48</f>
        <v>0</v>
      </c>
      <c r="G49" s="1183">
        <f>IF(F$43=0,0,F49/F$43)*100</f>
        <v>0</v>
      </c>
      <c r="H49" s="1699">
        <f>H43+H44+H45+H46+H47+H48</f>
        <v>0</v>
      </c>
      <c r="I49" s="1699">
        <f>I43+I44+I45+I46+I47+I48</f>
        <v>0</v>
      </c>
      <c r="J49" s="1183">
        <f>IF(H$43=0,0,H49/H$43)*100</f>
        <v>0</v>
      </c>
      <c r="K49" s="1160">
        <f>K43+K44+K45+K46+K47+K48</f>
        <v>0</v>
      </c>
      <c r="L49" s="1183">
        <f>IF(K$43=0,0,K49/K$43)*100</f>
        <v>0</v>
      </c>
      <c r="N49" s="921"/>
      <c r="O49" s="664"/>
      <c r="P49" s="664"/>
      <c r="Q49" s="664"/>
      <c r="R49" s="664"/>
      <c r="S49" s="664"/>
      <c r="T49" s="664"/>
      <c r="U49" s="664"/>
      <c r="V49" s="922"/>
    </row>
    <row r="50" spans="2:34">
      <c r="B50" s="1195" t="s">
        <v>20</v>
      </c>
      <c r="C50" s="1193" t="s">
        <v>166</v>
      </c>
      <c r="D50" s="1193"/>
      <c r="E50" s="1194"/>
      <c r="F50" s="1186">
        <f>-IF($F39=6,'1Kauppa AT lainat ja avustukset'!B194,IF($F39=7,'1Kauppa AT lainat ja avustukset'!C195,IF($F39=8,'1Kauppa AT lainat ja avustukset'!D196,IF($F39=9,'1Kauppa AT lainat ja avustukset'!E197,IF($F39=10,'1Kauppa AT lainat ja avustukset'!F198,IF($F39=11,'1Kauppa AT lainat ja avustukset'!G199,IF($F39=12,'1Kauppa AT lainat ja avustukset'!H200,IF($F39=13,'1Kauppa AT lainat ja avustukset'!I201,IF($F39=14,'1Kauppa AT lainat ja avustukset'!J202,IF($F39=15,'1Kauppa AT lainat ja avustukset'!K203,IF($F39=16,'1Kauppa AT lainat ja avustukset'!L204,IF($F39=17,'1Kauppa AT lainat ja avustukset'!M205,'1Kauppa AT lainat ja avustukset'!N206))))))))))))</f>
        <v>0</v>
      </c>
      <c r="G50" s="1187">
        <f>IF(F$43=0,0,F50/F$43)*-100</f>
        <v>0</v>
      </c>
      <c r="H50" s="1713">
        <f>-IF($F39=6,'1Kauppa AT lainat ja avustukset'!N194,IF($F39=7,'1Kauppa AT lainat ja avustukset'!O195,IF($F39=8,'1Kauppa AT lainat ja avustukset'!P196,IF($F39=9,'1Kauppa AT lainat ja avustukset'!Q197,IF($F39=10,'1Kauppa AT lainat ja avustukset'!R198,IF($F39=11,'1Kauppa AT lainat ja avustukset'!S199,IF($F39=12,'1Kauppa AT lainat ja avustukset'!T200,IF($F39=13,'1Kauppa AT lainat ja avustukset'!U201,IF($F39=14,'1Kauppa AT lainat ja avustukset'!V202,IF($F39=15,'1Kauppa AT lainat ja avustukset'!W203,IF($F39=16,'1Kauppa AT lainat ja avustukset'!X204,IF($F39=17,'1Kauppa AT lainat ja avustukset'!Y205,'1Kauppa AT lainat ja avustukset'!Z206))))))))))))</f>
        <v>0</v>
      </c>
      <c r="I50" s="1713">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187">
        <f>IF(H$43=0,0,H50/H$43)*-100</f>
        <v>0</v>
      </c>
      <c r="K50" s="1186">
        <f>-IF($F39=6,'1Kauppa AT lainat ja avustukset'!Z194,IF($F39=7,'1Kauppa AT lainat ja avustukset'!AA195,IF($F39=8,'1Kauppa AT lainat ja avustukset'!AB196,IF($F39=9,'1Kauppa AT lainat ja avustukset'!AC197,IF($F39=10,'1Kauppa AT lainat ja avustukset'!AD198,IF($F39=11,'1Kauppa AT lainat ja avustukset'!AE199,IF($F39=12,'1Kauppa AT lainat ja avustukset'!AF200,IF($F39=13,'1Kauppa AT lainat ja avustukset'!AG201,IF($F39=14,'1Kauppa AT lainat ja avustukset'!AH202,IF($F39=15,'1Kauppa AT lainat ja avustukset'!AI203,IF($F39=16,'1Kauppa AT lainat ja avustukset'!AJ204,IF($F39=17,'1Kauppa AT lainat ja avustukset'!AK205,'1Kauppa AT lainat ja avustukset'!AL206))))))))))))</f>
        <v>0</v>
      </c>
      <c r="L50" s="1187">
        <f>IF(K$43=0,0,K50/K$43)*-100</f>
        <v>0</v>
      </c>
      <c r="M50" s="23"/>
      <c r="N50" s="921"/>
      <c r="O50" s="664"/>
      <c r="P50" s="664"/>
      <c r="Q50" s="664"/>
      <c r="R50" s="664"/>
      <c r="S50" s="664"/>
      <c r="T50" s="664"/>
      <c r="U50" s="664"/>
      <c r="V50" s="922"/>
    </row>
    <row r="51" spans="2:34">
      <c r="B51" s="1195" t="s">
        <v>21</v>
      </c>
      <c r="C51" s="1193" t="s">
        <v>113</v>
      </c>
      <c r="D51" s="1193"/>
      <c r="E51" s="1194"/>
      <c r="F51" s="1186">
        <f>-IF(F52*(F49+F50+F54+0.5*'Kustannukset K1'!F88)&lt;0,0,F52*(F49+F50+F54+0.5*'Kustannukset K1'!F88))</f>
        <v>0</v>
      </c>
      <c r="G51" s="1187">
        <f>IF(F$43=0,0,F51/F$43)*-100</f>
        <v>0</v>
      </c>
      <c r="H51" s="1713">
        <f>-IF(H52*(H49+H50+H54+0.5*'Kustannukset K1'!G88)&lt;0,0,H52*(H49+H50+H54+0.5*'Kustannukset K1'!G88))</f>
        <v>0</v>
      </c>
      <c r="I51" s="1713"/>
      <c r="J51" s="1187">
        <f>IF(H$43=0,0,H51/H$43)*-100</f>
        <v>0</v>
      </c>
      <c r="K51" s="1186">
        <f>-IF(K52*(K49+K50+K54+0.5*'Kustannukset K1'!H88)&lt;0,0,K52*(K49+K50+K54+0.5*'Kustannukset K1'!H88))</f>
        <v>0</v>
      </c>
      <c r="L51" s="1187">
        <f>IF(K$43=0,0,K51/K$43)*-100</f>
        <v>0</v>
      </c>
      <c r="M51" s="35"/>
      <c r="N51" s="921"/>
      <c r="O51" s="664"/>
      <c r="P51" s="664"/>
      <c r="Q51" s="664"/>
      <c r="R51" s="664"/>
      <c r="S51" s="664"/>
      <c r="T51" s="664"/>
      <c r="U51" s="664"/>
      <c r="V51" s="922"/>
    </row>
    <row r="52" spans="2:34">
      <c r="B52" s="1195"/>
      <c r="C52" s="1199" t="s">
        <v>604</v>
      </c>
      <c r="D52" s="1200"/>
      <c r="E52" s="1201"/>
      <c r="F52" s="1189">
        <v>0.2</v>
      </c>
      <c r="G52" s="1190"/>
      <c r="H52" s="1712">
        <f>F52</f>
        <v>0.2</v>
      </c>
      <c r="I52" s="1712"/>
      <c r="J52" s="1190"/>
      <c r="K52" s="1189">
        <f>H52</f>
        <v>0.2</v>
      </c>
      <c r="L52" s="1190"/>
      <c r="M52" s="35"/>
      <c r="N52" s="921"/>
      <c r="O52" s="664"/>
      <c r="P52" s="664"/>
      <c r="Q52" s="664"/>
      <c r="R52" s="664"/>
      <c r="S52" s="664"/>
      <c r="T52" s="664"/>
      <c r="U52" s="664"/>
      <c r="V52" s="922"/>
    </row>
    <row r="53" spans="2:34">
      <c r="B53" s="1195" t="s">
        <v>606</v>
      </c>
      <c r="C53" s="1700" t="s">
        <v>167</v>
      </c>
      <c r="D53" s="1701"/>
      <c r="E53" s="1701"/>
      <c r="F53" s="1160">
        <f>SUM(F49:F51)</f>
        <v>0</v>
      </c>
      <c r="G53" s="1183">
        <f>IF(F$43=0,0,F53/F$43)*100</f>
        <v>0</v>
      </c>
      <c r="H53" s="1699">
        <f>SUM(H49:H51)</f>
        <v>0</v>
      </c>
      <c r="I53" s="1699"/>
      <c r="J53" s="1183">
        <f>IF(H$43=0,0,H53/H$43)*100</f>
        <v>0</v>
      </c>
      <c r="K53" s="1160">
        <f>SUM(K49:K51)</f>
        <v>0</v>
      </c>
      <c r="L53" s="1183">
        <f>IF(K$43=0,0,K53/K$43)*100</f>
        <v>0</v>
      </c>
      <c r="M53" s="73"/>
      <c r="N53" s="921"/>
      <c r="O53" s="664"/>
      <c r="P53" s="664"/>
      <c r="Q53" s="664"/>
      <c r="R53" s="664"/>
      <c r="S53" s="664"/>
      <c r="T53" s="664"/>
      <c r="U53" s="664"/>
      <c r="V53" s="922"/>
    </row>
    <row r="54" spans="2:34">
      <c r="B54" s="1195" t="s">
        <v>607</v>
      </c>
      <c r="C54" s="1193" t="s">
        <v>168</v>
      </c>
      <c r="D54" s="1196"/>
      <c r="E54" s="1197"/>
      <c r="F54" s="1186">
        <f>IF($E33=0,0,-'1Kauppa AT lainat ja avustukset'!F2)</f>
        <v>0</v>
      </c>
      <c r="G54" s="1187">
        <f>IF(F$43=0,0,F54/F$43)*-100</f>
        <v>0</v>
      </c>
      <c r="H54" s="1713">
        <f>IF($E33=0,0,-'1Kauppa AT lainat ja avustukset'!G2)</f>
        <v>0</v>
      </c>
      <c r="I54" s="1713"/>
      <c r="J54" s="1187">
        <f>IF(H$43=0,0,H54/H$43)*-100</f>
        <v>0</v>
      </c>
      <c r="K54" s="1186">
        <f>IF($E33=0,0,-'1Kauppa AT lainat ja avustukset'!H2)</f>
        <v>0</v>
      </c>
      <c r="L54" s="1187">
        <f>IF(K$43=0,0,K54/K$43)*-100</f>
        <v>0</v>
      </c>
      <c r="M54" s="31"/>
      <c r="N54" s="921"/>
      <c r="O54" s="664"/>
      <c r="P54" s="664"/>
      <c r="Q54" s="664"/>
      <c r="R54" s="664"/>
      <c r="S54" s="664"/>
      <c r="T54" s="664"/>
      <c r="U54" s="664"/>
      <c r="V54" s="922"/>
    </row>
    <row r="55" spans="2:34">
      <c r="B55" s="1195"/>
      <c r="C55" s="1193" t="s">
        <v>31</v>
      </c>
      <c r="D55" s="1196"/>
      <c r="E55" s="1197"/>
      <c r="F55" s="1173">
        <v>7.0000000000000007E-2</v>
      </c>
      <c r="G55" s="1198"/>
      <c r="H55" s="1711">
        <v>7.0000000000000007E-2</v>
      </c>
      <c r="I55" s="1711"/>
      <c r="J55" s="1198"/>
      <c r="K55" s="1173">
        <v>7.0000000000000007E-2</v>
      </c>
      <c r="L55" s="1198"/>
      <c r="M55" s="73"/>
      <c r="N55" s="921"/>
      <c r="O55" s="664"/>
      <c r="P55" s="664"/>
      <c r="Q55" s="664"/>
      <c r="R55" s="664"/>
      <c r="S55" s="664"/>
      <c r="T55" s="664"/>
      <c r="U55" s="664"/>
      <c r="V55" s="922"/>
    </row>
    <row r="56" spans="2:34">
      <c r="B56" s="1195"/>
      <c r="C56" s="1193" t="s">
        <v>32</v>
      </c>
      <c r="D56" s="1196"/>
      <c r="E56" s="1197"/>
      <c r="F56" s="1173">
        <v>0.2</v>
      </c>
      <c r="G56" s="1198"/>
      <c r="H56" s="1711">
        <v>0.2</v>
      </c>
      <c r="I56" s="1711"/>
      <c r="J56" s="1198"/>
      <c r="K56" s="1173">
        <v>0.2</v>
      </c>
      <c r="L56" s="1198"/>
      <c r="M56" s="37"/>
      <c r="N56" s="921"/>
      <c r="O56" s="664"/>
      <c r="P56" s="664"/>
      <c r="Q56" s="664"/>
      <c r="R56" s="664"/>
      <c r="S56" s="664"/>
      <c r="T56" s="664"/>
      <c r="U56" s="664"/>
      <c r="V56" s="922"/>
    </row>
    <row r="57" spans="2:34">
      <c r="B57" s="1195"/>
      <c r="C57" s="1194" t="s">
        <v>813</v>
      </c>
      <c r="D57" s="1191"/>
      <c r="E57" s="1191"/>
      <c r="F57" s="1173">
        <v>0.2</v>
      </c>
      <c r="G57" s="1198"/>
      <c r="H57" s="1711">
        <v>0.2</v>
      </c>
      <c r="I57" s="1711"/>
      <c r="J57" s="1198"/>
      <c r="K57" s="1173">
        <v>0.2</v>
      </c>
      <c r="L57" s="1198"/>
      <c r="M57" s="37"/>
      <c r="N57" s="921"/>
      <c r="O57" s="664"/>
      <c r="P57" s="664"/>
      <c r="Q57" s="664"/>
      <c r="R57" s="664"/>
      <c r="S57" s="664"/>
      <c r="T57" s="664"/>
      <c r="U57" s="664"/>
      <c r="V57" s="922"/>
    </row>
    <row r="58" spans="2:34">
      <c r="B58" s="1195"/>
      <c r="C58" s="1193" t="s">
        <v>800</v>
      </c>
      <c r="D58" s="1196"/>
      <c r="E58" s="1197"/>
      <c r="F58" s="1173">
        <v>0.2</v>
      </c>
      <c r="G58" s="1198"/>
      <c r="H58" s="1711">
        <v>0.2</v>
      </c>
      <c r="I58" s="1711"/>
      <c r="J58" s="1198"/>
      <c r="K58" s="1173">
        <v>0.2</v>
      </c>
      <c r="L58" s="1198"/>
      <c r="M58" s="37"/>
      <c r="N58" s="921"/>
      <c r="O58" s="664"/>
      <c r="P58" s="664"/>
      <c r="Q58" s="664"/>
      <c r="R58" s="664"/>
      <c r="S58" s="664"/>
      <c r="T58" s="664"/>
      <c r="U58" s="664"/>
      <c r="V58" s="922"/>
    </row>
    <row r="59" spans="2:34">
      <c r="B59" s="1195" t="s">
        <v>608</v>
      </c>
      <c r="C59" s="1700" t="s">
        <v>169</v>
      </c>
      <c r="D59" s="1701"/>
      <c r="E59" s="1701"/>
      <c r="F59" s="1160">
        <f>F53+F54</f>
        <v>0</v>
      </c>
      <c r="G59" s="1183">
        <f>IF(F$43=0,0,F59/F$43)*100</f>
        <v>0</v>
      </c>
      <c r="H59" s="1699">
        <f>H53+H54</f>
        <v>0</v>
      </c>
      <c r="I59" s="1699"/>
      <c r="J59" s="1183">
        <f>IF(H$43=0,0,H59/H$43)*100</f>
        <v>0</v>
      </c>
      <c r="K59" s="1160">
        <f>K53+K54</f>
        <v>0</v>
      </c>
      <c r="L59" s="1183">
        <f>IF(K$43=0,0,K59/K$43)*100</f>
        <v>0</v>
      </c>
      <c r="M59" s="37"/>
      <c r="N59" s="921"/>
      <c r="O59" s="664"/>
      <c r="P59" s="664"/>
      <c r="Q59" s="664"/>
      <c r="R59" s="664"/>
      <c r="S59" s="664"/>
      <c r="T59" s="664"/>
      <c r="U59" s="664"/>
      <c r="V59" s="922"/>
      <c r="AH59" s="5"/>
    </row>
    <row r="60" spans="2:34">
      <c r="B60" s="1195" t="s">
        <v>609</v>
      </c>
      <c r="C60" s="1196" t="s">
        <v>170</v>
      </c>
      <c r="D60" s="1196"/>
      <c r="E60" s="1197"/>
      <c r="F60" s="1160">
        <f>F59</f>
        <v>0</v>
      </c>
      <c r="G60" s="1183">
        <f>IF(F$43=0,0,F60/F$43)*100</f>
        <v>0</v>
      </c>
      <c r="H60" s="1699">
        <f t="shared" ref="H60:I60" si="0">H59</f>
        <v>0</v>
      </c>
      <c r="I60" s="1699">
        <f t="shared" si="0"/>
        <v>0</v>
      </c>
      <c r="J60" s="1183">
        <f>IF(H$43=0,0,H60/H$43)*100</f>
        <v>0</v>
      </c>
      <c r="K60" s="1160">
        <f>K59</f>
        <v>0</v>
      </c>
      <c r="L60" s="1183">
        <f>IF(K$43=0,0,K60/K$43)*100</f>
        <v>0</v>
      </c>
      <c r="M60" s="37"/>
      <c r="N60" s="921"/>
      <c r="O60" s="664"/>
      <c r="P60" s="664"/>
      <c r="Q60" s="664"/>
      <c r="R60" s="664"/>
      <c r="S60" s="664"/>
      <c r="T60" s="664"/>
      <c r="U60" s="664"/>
      <c r="V60" s="922"/>
    </row>
    <row r="61" spans="2:34" ht="6" customHeight="1">
      <c r="B61" s="61"/>
      <c r="C61" s="62"/>
      <c r="D61" s="62"/>
      <c r="E61" s="62"/>
      <c r="F61" s="62"/>
      <c r="G61" s="40"/>
      <c r="H61" s="110"/>
      <c r="I61" s="110"/>
      <c r="J61" s="40"/>
      <c r="K61" s="40"/>
      <c r="L61" s="40"/>
      <c r="M61" s="37"/>
      <c r="N61" s="1437"/>
      <c r="O61" s="675"/>
      <c r="P61" s="675"/>
      <c r="Q61" s="354"/>
      <c r="R61" s="354"/>
      <c r="S61" s="354"/>
      <c r="T61" s="354"/>
      <c r="U61" s="354"/>
      <c r="V61" s="1433"/>
    </row>
    <row r="62" spans="2:34" ht="25.5" customHeight="1">
      <c r="B62" s="1195" t="s">
        <v>610</v>
      </c>
      <c r="C62" s="1740" t="s">
        <v>708</v>
      </c>
      <c r="D62" s="1741"/>
      <c r="E62" s="1741"/>
      <c r="F62" s="1699">
        <f>IF($F39=6,'1Kauppa AT lainat ja avustukset'!B181,IF($F39=7,'1Kauppa AT lainat ja avustukset'!C182,IF($F39=8,'1Kauppa AT lainat ja avustukset'!D183,IF($F39=9,'1Kauppa AT lainat ja avustukset'!E184,IF($F39=10,'1Kauppa AT lainat ja avustukset'!F185,IF($F39=11,'1Kauppa AT lainat ja avustukset'!G186,IF($F39=12,'1Kauppa AT lainat ja avustukset'!H187,IF($F39=13,'1Kauppa AT lainat ja avustukset'!I188,IF($F39=14,'1Kauppa AT lainat ja avustukset'!J189,IF($F39=15,'1Kauppa AT lainat ja avustukset'!K190,IF($F39=16,'1Kauppa AT lainat ja avustukset'!L191,IF($F39=17,'1Kauppa AT lainat ja avustukset'!M192,'1Kauppa AT lainat ja avustukset'!N193))))))))))))</f>
        <v>0</v>
      </c>
      <c r="G62" s="1699"/>
      <c r="H62" s="1699">
        <f>IF($F39=6,'1Kauppa AT lainat ja avustukset'!N181,IF($F39=7,'1Kauppa AT lainat ja avustukset'!O182,IF($F39=8,'1Kauppa AT lainat ja avustukset'!P183,IF($F39=9,'1Kauppa AT lainat ja avustukset'!Q184,IF($F39=10,'1Kauppa AT lainat ja avustukset'!R185,IF($F39=11,'1Kauppa AT lainat ja avustukset'!S186,IF($F39=12,'1Kauppa AT lainat ja avustukset'!T187,IF($F39=13,'1Kauppa AT lainat ja avustukset'!U188,IF($F39=14,'1Kauppa AT lainat ja avustukset'!V189,IF($F39=15,'1Kauppa AT lainat ja avustukset'!W190,IF($F39=16,'1Kauppa AT lainat ja avustukset'!X191,IF($F39=17,'1Kauppa AT lainat ja avustukset'!Y192,'1Kauppa AT lainat ja avustukset'!Z193))))))))))))</f>
        <v>0</v>
      </c>
      <c r="I62" s="1699"/>
      <c r="J62" s="1699"/>
      <c r="K62" s="1699">
        <f>IF($F39=6,'1Kauppa AT lainat ja avustukset'!Z181,IF($F39=7,'1Kauppa AT lainat ja avustukset'!AA182,IF($F39=8,'1Kauppa AT lainat ja avustukset'!AB183,IF($F39=9,'1Kauppa AT lainat ja avustukset'!AC184,IF($F39=10,'1Kauppa AT lainat ja avustukset'!AD185,IF($F39=11,'1Kauppa AT lainat ja avustukset'!AE186,IF($F39=12,'1Kauppa AT lainat ja avustukset'!AF187,IF($F39=13,'1Kauppa AT lainat ja avustukset'!AG188,IF($F39=14,'1Kauppa AT lainat ja avustukset'!AH189,IF($F39=15,'1Kauppa AT lainat ja avustukset'!AI190,IF($F39=16,'1Kauppa AT lainat ja avustukset'!AJ191,IF($F39=17,'1Kauppa AT lainat ja avustukset'!AK192,'1Kauppa AT lainat ja avustukset'!AL193))))))))))))</f>
        <v>0</v>
      </c>
      <c r="L62" s="1699"/>
      <c r="M62" s="667"/>
      <c r="N62" s="1429"/>
      <c r="O62" s="661"/>
      <c r="P62" s="661"/>
      <c r="Q62" s="664"/>
      <c r="R62" s="664"/>
      <c r="S62" s="664"/>
      <c r="T62" s="664"/>
      <c r="U62" s="664"/>
      <c r="V62" s="922"/>
    </row>
    <row r="63" spans="2:34" ht="6" customHeight="1">
      <c r="B63" s="61"/>
      <c r="C63" s="62"/>
      <c r="D63" s="62"/>
      <c r="E63" s="62"/>
      <c r="F63" s="40"/>
      <c r="G63" s="40"/>
      <c r="H63" s="40"/>
      <c r="I63" s="40"/>
      <c r="J63" s="40"/>
      <c r="K63" s="40"/>
      <c r="L63" s="326"/>
      <c r="M63" s="37"/>
      <c r="N63" s="1437"/>
      <c r="O63" s="675"/>
      <c r="P63" s="675"/>
      <c r="Q63" s="354"/>
      <c r="R63" s="354"/>
      <c r="S63" s="354"/>
      <c r="T63" s="354"/>
      <c r="U63" s="354"/>
      <c r="V63" s="1433"/>
    </row>
    <row r="64" spans="2:34">
      <c r="B64" s="1209" t="s">
        <v>446</v>
      </c>
      <c r="C64" s="1209"/>
      <c r="D64" s="1209"/>
      <c r="E64" s="1209"/>
      <c r="F64" s="1210" t="s">
        <v>0</v>
      </c>
      <c r="G64" s="1210"/>
      <c r="H64" s="1210"/>
      <c r="I64" s="1210"/>
      <c r="J64" s="1211"/>
      <c r="K64" s="1211"/>
      <c r="L64" s="1211"/>
      <c r="M64" s="37"/>
      <c r="N64" s="1429"/>
      <c r="O64" s="661"/>
      <c r="P64" s="661"/>
      <c r="Q64" s="664"/>
      <c r="R64" s="664"/>
      <c r="S64" s="664"/>
      <c r="T64" s="664"/>
      <c r="U64" s="664"/>
      <c r="V64" s="922"/>
    </row>
    <row r="65" spans="2:22" ht="14.15" customHeight="1">
      <c r="B65" s="1702" t="s">
        <v>638</v>
      </c>
      <c r="C65" s="1703"/>
      <c r="D65" s="1704"/>
      <c r="E65" s="1202">
        <f>'Kustannukset K1'!F$47-'Kustannukset K1'!F$48</f>
        <v>0</v>
      </c>
      <c r="F65" s="1203" t="s">
        <v>633</v>
      </c>
      <c r="G65" s="1204"/>
      <c r="H65" s="1204"/>
      <c r="I65" s="1204"/>
      <c r="J65" s="1205"/>
      <c r="K65" s="1807">
        <f>'Kustannukset K1'!F$79+'Kustannukset K1'!F$83</f>
        <v>0</v>
      </c>
      <c r="L65" s="1808"/>
      <c r="N65" s="921"/>
      <c r="O65" s="664"/>
      <c r="P65" s="664"/>
      <c r="Q65" s="664"/>
      <c r="R65" s="664"/>
      <c r="S65" s="664"/>
      <c r="T65" s="664"/>
      <c r="U65" s="664"/>
      <c r="V65" s="922"/>
    </row>
    <row r="66" spans="2:22" ht="14.15" customHeight="1">
      <c r="B66" s="1705" t="s">
        <v>639</v>
      </c>
      <c r="C66" s="1706"/>
      <c r="D66" s="1707"/>
      <c r="E66" s="1188">
        <f>'Kustannukset K1'!F$41</f>
        <v>0</v>
      </c>
      <c r="F66" s="1206" t="s">
        <v>634</v>
      </c>
      <c r="G66" s="1207"/>
      <c r="H66" s="1207"/>
      <c r="I66" s="1207"/>
      <c r="J66" s="1208"/>
      <c r="K66" s="1804">
        <f>'Kustannukset K1'!F$98+'Kustannukset K1'!F$111+'Kustannukset K1'!F$114</f>
        <v>0</v>
      </c>
      <c r="L66" s="1805"/>
      <c r="N66" s="921"/>
      <c r="O66" s="664"/>
      <c r="P66" s="664"/>
      <c r="Q66" s="664"/>
      <c r="R66" s="664"/>
      <c r="S66" s="664"/>
      <c r="T66" s="664"/>
      <c r="U66" s="664"/>
      <c r="V66" s="922"/>
    </row>
    <row r="67" spans="2:22" ht="14.15" customHeight="1">
      <c r="B67" s="1705" t="s">
        <v>667</v>
      </c>
      <c r="C67" s="1706"/>
      <c r="D67" s="1707"/>
      <c r="E67" s="1188">
        <f>'Kustannukset K1'!F$61</f>
        <v>0</v>
      </c>
      <c r="F67" s="1714" t="s">
        <v>635</v>
      </c>
      <c r="G67" s="1715"/>
      <c r="H67" s="1715"/>
      <c r="I67" s="1715"/>
      <c r="J67" s="1716"/>
      <c r="K67" s="1804">
        <f>'Kustannukset K1'!F$102</f>
        <v>0</v>
      </c>
      <c r="L67" s="1805"/>
      <c r="N67" s="921"/>
      <c r="O67" s="664"/>
      <c r="P67" s="664"/>
      <c r="Q67" s="664"/>
      <c r="R67" s="664"/>
      <c r="S67" s="664"/>
      <c r="T67" s="664"/>
      <c r="U67" s="664"/>
      <c r="V67" s="922"/>
    </row>
    <row r="68" spans="2:22" ht="14.15" customHeight="1">
      <c r="B68" s="1705" t="s">
        <v>668</v>
      </c>
      <c r="C68" s="1706"/>
      <c r="D68" s="1707"/>
      <c r="E68" s="1188">
        <f>'Kustannukset K1'!F$69</f>
        <v>0</v>
      </c>
      <c r="F68" s="1714" t="s">
        <v>666</v>
      </c>
      <c r="G68" s="1715"/>
      <c r="H68" s="1715"/>
      <c r="I68" s="1715"/>
      <c r="J68" s="1716"/>
      <c r="K68" s="1804">
        <f>'Kustannukset K1'!F$106</f>
        <v>0</v>
      </c>
      <c r="L68" s="1805"/>
      <c r="N68" s="921">
        <v>0</v>
      </c>
      <c r="O68" s="664"/>
      <c r="P68" s="664"/>
      <c r="Q68" s="664"/>
      <c r="R68" s="664"/>
      <c r="S68" s="664"/>
      <c r="T68" s="664"/>
      <c r="U68" s="664"/>
      <c r="V68" s="922"/>
    </row>
    <row r="69" spans="2:22" ht="14.15" customHeight="1">
      <c r="B69" s="1705" t="s">
        <v>641</v>
      </c>
      <c r="C69" s="1706"/>
      <c r="D69" s="1707"/>
      <c r="E69" s="1188">
        <f>'Kustannukset K1'!F$74</f>
        <v>0</v>
      </c>
      <c r="F69" s="1708" t="s">
        <v>637</v>
      </c>
      <c r="G69" s="1709"/>
      <c r="H69" s="1709"/>
      <c r="I69" s="1709"/>
      <c r="J69" s="1710"/>
      <c r="K69" s="1804">
        <f>'Kustannukset K1'!F$88+'Kustannukset K1'!F$95+'Kustannukset K1'!F$115+'Kustannukset K1'!F$116+'Kustannukset K1'!F117+'Kustannukset K1'!F118</f>
        <v>0</v>
      </c>
      <c r="L69" s="1805"/>
      <c r="N69" s="1430"/>
      <c r="O69" s="1431"/>
      <c r="P69" s="1431"/>
      <c r="Q69" s="1431"/>
      <c r="R69" s="1431"/>
      <c r="S69" s="1431"/>
      <c r="T69" s="1431"/>
      <c r="U69" s="1431"/>
      <c r="V69" s="1432"/>
    </row>
    <row r="70" spans="2:22" ht="12" customHeight="1">
      <c r="B70" s="61"/>
      <c r="C70" s="9"/>
      <c r="D70" s="153"/>
      <c r="E70" s="285"/>
      <c r="F70" s="283"/>
      <c r="G70" s="153"/>
      <c r="H70" s="153"/>
      <c r="I70" s="153"/>
      <c r="J70" s="286"/>
      <c r="K70" s="287"/>
      <c r="L70" s="287"/>
      <c r="N70" s="354"/>
      <c r="O70" s="354"/>
      <c r="P70" s="354"/>
      <c r="Q70" s="354"/>
      <c r="R70" s="354"/>
      <c r="S70" s="354"/>
      <c r="T70" s="354"/>
      <c r="U70" s="354"/>
      <c r="V70" s="354"/>
    </row>
    <row r="71" spans="2:22" ht="12.75" customHeight="1">
      <c r="B71" s="61"/>
      <c r="C71" s="62"/>
      <c r="D71" s="62"/>
      <c r="E71" s="40"/>
      <c r="F71" s="61"/>
      <c r="G71" s="61"/>
      <c r="H71" s="61"/>
      <c r="I71" s="61"/>
      <c r="J71" s="40"/>
      <c r="K71" s="40"/>
      <c r="M71" s="52"/>
      <c r="N71" s="1456" t="s">
        <v>545</v>
      </c>
      <c r="O71" s="1413"/>
      <c r="P71" s="1413"/>
      <c r="Q71" s="1413"/>
      <c r="R71" s="1413"/>
      <c r="S71" s="1413"/>
      <c r="T71" s="1413"/>
      <c r="U71" s="1413"/>
      <c r="V71" s="1438"/>
    </row>
    <row r="72" spans="2:22" ht="6" customHeight="1">
      <c r="B72" s="61"/>
      <c r="C72" s="62"/>
      <c r="D72" s="62"/>
      <c r="E72" s="40"/>
      <c r="F72" s="61"/>
      <c r="G72" s="61"/>
      <c r="H72" s="61"/>
      <c r="I72" s="61"/>
      <c r="J72" s="40"/>
      <c r="K72" s="40"/>
      <c r="M72" s="52"/>
      <c r="N72" s="1416"/>
      <c r="O72" s="354"/>
      <c r="P72" s="354"/>
      <c r="Q72" s="354"/>
      <c r="R72" s="354"/>
      <c r="S72" s="354"/>
      <c r="T72" s="354"/>
      <c r="U72" s="354"/>
      <c r="V72" s="1433"/>
    </row>
    <row r="73" spans="2:22" ht="19.5" customHeight="1">
      <c r="B73" s="1722" t="s">
        <v>22</v>
      </c>
      <c r="C73" s="1813"/>
      <c r="F73" s="54"/>
      <c r="G73" s="1801"/>
      <c r="H73" s="1801"/>
      <c r="I73" s="1801"/>
      <c r="J73" s="1801"/>
      <c r="K73" s="1801"/>
      <c r="L73" s="1801"/>
      <c r="M73" s="52"/>
      <c r="N73" s="921"/>
      <c r="O73" s="664"/>
      <c r="P73" s="664"/>
      <c r="Q73" s="664"/>
      <c r="R73" s="664"/>
      <c r="S73" s="664"/>
      <c r="T73" s="664"/>
      <c r="U73" s="664"/>
      <c r="V73" s="922"/>
    </row>
    <row r="74" spans="2:22">
      <c r="B74" s="1814">
        <f>B9</f>
        <v>0</v>
      </c>
      <c r="C74" s="1814"/>
      <c r="D74" s="1814"/>
      <c r="E74" s="1814"/>
      <c r="F74" s="243">
        <f>F9</f>
        <v>0</v>
      </c>
      <c r="G74" s="1802"/>
      <c r="H74" s="1802"/>
      <c r="I74" s="1802"/>
      <c r="J74" s="1802"/>
      <c r="K74" s="1802"/>
      <c r="L74" s="1802"/>
      <c r="M74" s="52"/>
      <c r="N74" s="921"/>
      <c r="O74" s="664"/>
      <c r="P74" s="664"/>
      <c r="Q74" s="664"/>
      <c r="R74" s="664"/>
      <c r="S74" s="664"/>
      <c r="T74" s="664"/>
      <c r="U74" s="664"/>
      <c r="V74" s="922"/>
    </row>
    <row r="75" spans="2:22" ht="6" customHeight="1">
      <c r="B75" s="256"/>
      <c r="C75" s="256"/>
      <c r="D75" s="256"/>
      <c r="E75" s="256"/>
      <c r="F75" s="257"/>
      <c r="G75" s="257"/>
      <c r="H75" s="257"/>
      <c r="I75" s="257"/>
      <c r="J75" s="257"/>
      <c r="K75" s="258"/>
      <c r="L75" s="258"/>
      <c r="M75" s="52"/>
      <c r="N75" s="1416"/>
      <c r="O75" s="354"/>
      <c r="P75" s="354"/>
      <c r="Q75" s="354"/>
      <c r="R75" s="354"/>
      <c r="S75" s="354"/>
      <c r="T75" s="354"/>
      <c r="U75" s="354"/>
      <c r="V75" s="1433"/>
    </row>
    <row r="76" spans="2:22" ht="15.75" customHeight="1">
      <c r="B76" s="256"/>
      <c r="C76" s="639" t="s">
        <v>814</v>
      </c>
      <c r="D76" s="256"/>
      <c r="E76" s="256"/>
      <c r="F76" s="256"/>
      <c r="G76" s="256"/>
      <c r="H76" s="256"/>
      <c r="I76" s="256"/>
      <c r="J76" s="256"/>
      <c r="K76" s="258"/>
      <c r="L76" s="258"/>
      <c r="M76" s="52"/>
      <c r="N76" s="921"/>
      <c r="O76" s="664"/>
      <c r="P76" s="664"/>
      <c r="Q76" s="664"/>
      <c r="R76" s="664"/>
      <c r="S76" s="664"/>
      <c r="T76" s="664"/>
      <c r="U76" s="664"/>
      <c r="V76" s="922"/>
    </row>
    <row r="77" spans="2:22" ht="13.5" customHeight="1">
      <c r="B77" s="256"/>
      <c r="C77" s="256"/>
      <c r="D77" s="256"/>
      <c r="E77" s="1231">
        <f>E86</f>
        <v>2025</v>
      </c>
      <c r="F77" s="1231">
        <f>F86</f>
        <v>2026</v>
      </c>
      <c r="G77" s="1738">
        <f>G86</f>
        <v>2027</v>
      </c>
      <c r="H77" s="1738"/>
      <c r="I77" s="257"/>
      <c r="J77" s="257"/>
      <c r="K77" s="258"/>
      <c r="L77" s="258"/>
      <c r="M77" s="52"/>
      <c r="N77" s="921"/>
      <c r="O77" s="664"/>
      <c r="P77" s="664"/>
      <c r="Q77" s="664"/>
      <c r="R77" s="664"/>
      <c r="S77" s="664"/>
      <c r="T77" s="664"/>
      <c r="U77" s="664"/>
      <c r="V77" s="922"/>
    </row>
    <row r="78" spans="2:22" ht="13.5" customHeight="1">
      <c r="B78" s="256"/>
      <c r="C78" s="1811" t="s">
        <v>353</v>
      </c>
      <c r="D78" s="1811"/>
      <c r="E78" s="1230">
        <f>'Kustannukset K1'!F124</f>
        <v>0</v>
      </c>
      <c r="F78" s="1230">
        <f>'Kustannukset K1'!G124</f>
        <v>0</v>
      </c>
      <c r="G78" s="1806">
        <f>'Kustannukset K1'!H124</f>
        <v>0</v>
      </c>
      <c r="H78" s="1806"/>
      <c r="I78" s="257"/>
      <c r="J78" s="257"/>
      <c r="K78" s="258"/>
      <c r="L78" s="258"/>
      <c r="M78" s="52"/>
      <c r="N78" s="921"/>
      <c r="O78" s="664"/>
      <c r="P78" s="664"/>
      <c r="Q78" s="664"/>
      <c r="R78" s="664"/>
      <c r="S78" s="664"/>
      <c r="T78" s="664"/>
      <c r="U78" s="664"/>
      <c r="V78" s="922"/>
    </row>
    <row r="79" spans="2:22" ht="13.5" customHeight="1">
      <c r="B79" s="256"/>
      <c r="C79" s="1809" t="s">
        <v>351</v>
      </c>
      <c r="D79" s="1810"/>
      <c r="E79" s="1225">
        <f>'Kustannukset K1'!F125</f>
        <v>0</v>
      </c>
      <c r="F79" s="1225">
        <f>'Kustannukset K1'!G125</f>
        <v>0</v>
      </c>
      <c r="G79" s="1739">
        <f>'Kustannukset K1'!H125</f>
        <v>0</v>
      </c>
      <c r="H79" s="1739"/>
      <c r="I79" s="257"/>
      <c r="J79" s="257"/>
      <c r="K79" s="258"/>
      <c r="L79" s="258"/>
      <c r="M79" s="52"/>
      <c r="N79" s="921"/>
      <c r="O79" s="664"/>
      <c r="P79" s="664"/>
      <c r="Q79" s="664"/>
      <c r="R79" s="664"/>
      <c r="S79" s="664"/>
      <c r="T79" s="664"/>
      <c r="U79" s="664"/>
      <c r="V79" s="922"/>
    </row>
    <row r="80" spans="2:22" ht="13.5" customHeight="1">
      <c r="B80" s="256"/>
      <c r="C80" s="1212" t="s">
        <v>354</v>
      </c>
      <c r="D80" s="1213"/>
      <c r="E80" s="1226">
        <f>'Kustannukset K1'!F126</f>
        <v>0</v>
      </c>
      <c r="F80" s="1226">
        <f>'Kustannukset K1'!G126</f>
        <v>0</v>
      </c>
      <c r="G80" s="1812">
        <f>'Kustannukset K1'!H126</f>
        <v>0</v>
      </c>
      <c r="H80" s="1812"/>
      <c r="I80" s="257"/>
      <c r="J80" s="257"/>
      <c r="K80" s="258"/>
      <c r="L80" s="258"/>
      <c r="M80" s="52"/>
      <c r="N80" s="921"/>
      <c r="O80" s="664"/>
      <c r="P80" s="664"/>
      <c r="Q80" s="664"/>
      <c r="R80" s="664"/>
      <c r="S80" s="664"/>
      <c r="T80" s="664"/>
      <c r="U80" s="664"/>
      <c r="V80" s="922"/>
    </row>
    <row r="81" spans="1:22" ht="13.5" customHeight="1">
      <c r="B81" s="256"/>
      <c r="C81" s="1809" t="s">
        <v>352</v>
      </c>
      <c r="D81" s="1810"/>
      <c r="E81" s="1225">
        <f>'Kustannukset K1'!F128</f>
        <v>0</v>
      </c>
      <c r="F81" s="1225">
        <f>'Kustannukset K1'!G128</f>
        <v>0</v>
      </c>
      <c r="G81" s="1739">
        <f>'Kustannukset K1'!H128</f>
        <v>0</v>
      </c>
      <c r="H81" s="1739"/>
      <c r="I81" s="257"/>
      <c r="J81" s="257"/>
      <c r="K81" s="258"/>
      <c r="L81" s="258"/>
      <c r="M81" s="52"/>
      <c r="N81" s="921"/>
      <c r="O81" s="664"/>
      <c r="P81" s="664"/>
      <c r="Q81" s="664"/>
      <c r="R81" s="664"/>
      <c r="S81" s="664"/>
      <c r="T81" s="664"/>
      <c r="U81" s="664"/>
      <c r="V81" s="922"/>
    </row>
    <row r="82" spans="1:22" ht="12.75" customHeight="1">
      <c r="B82" s="256"/>
      <c r="C82" s="1803" t="s">
        <v>158</v>
      </c>
      <c r="D82" s="1803"/>
      <c r="E82" s="1225">
        <f>F43/F40</f>
        <v>0</v>
      </c>
      <c r="F82" s="1225">
        <f>H43/H40</f>
        <v>0</v>
      </c>
      <c r="G82" s="1739">
        <f>K43/K40</f>
        <v>0</v>
      </c>
      <c r="H82" s="1739"/>
      <c r="I82" s="257"/>
      <c r="J82" s="257"/>
      <c r="K82" s="258"/>
      <c r="L82" s="258"/>
      <c r="M82" s="52"/>
      <c r="N82" s="921"/>
      <c r="O82" s="664"/>
      <c r="P82" s="664"/>
      <c r="Q82" s="664"/>
      <c r="R82" s="664"/>
      <c r="S82" s="664"/>
      <c r="T82" s="664"/>
      <c r="U82" s="664"/>
      <c r="V82" s="922"/>
    </row>
    <row r="83" spans="1:22" ht="12.75" customHeight="1">
      <c r="B83" s="256"/>
      <c r="C83" s="1803" t="s">
        <v>171</v>
      </c>
      <c r="D83" s="1803"/>
      <c r="E83" s="1225">
        <f>-F45/F40</f>
        <v>0</v>
      </c>
      <c r="F83" s="1225">
        <f>-H45/H40</f>
        <v>0</v>
      </c>
      <c r="G83" s="1739">
        <f>-K45/K40</f>
        <v>0</v>
      </c>
      <c r="H83" s="1739"/>
      <c r="I83" s="257"/>
      <c r="J83" s="257"/>
      <c r="K83" s="258"/>
      <c r="L83" s="258"/>
      <c r="M83" s="52"/>
      <c r="N83" s="921"/>
      <c r="O83" s="664"/>
      <c r="P83" s="664"/>
      <c r="Q83" s="664"/>
      <c r="R83" s="664"/>
      <c r="S83" s="664"/>
      <c r="T83" s="664"/>
      <c r="U83" s="664"/>
      <c r="V83" s="922"/>
    </row>
    <row r="84" spans="1:22" ht="6" customHeight="1">
      <c r="B84" s="256"/>
      <c r="C84" s="343"/>
      <c r="D84" s="343"/>
      <c r="E84" s="256"/>
      <c r="F84" s="257"/>
      <c r="G84" s="257"/>
      <c r="H84" s="257"/>
      <c r="I84" s="257"/>
      <c r="J84" s="257"/>
      <c r="K84" s="258"/>
      <c r="L84" s="258"/>
      <c r="M84" s="52"/>
      <c r="N84" s="1416"/>
      <c r="O84" s="354"/>
      <c r="P84" s="354"/>
      <c r="Q84" s="354"/>
      <c r="R84" s="354"/>
      <c r="S84" s="354"/>
      <c r="T84" s="354"/>
      <c r="U84" s="354"/>
      <c r="V84" s="1433"/>
    </row>
    <row r="85" spans="1:22" s="427" customFormat="1" ht="15.75" customHeight="1">
      <c r="B85" s="428"/>
      <c r="C85" s="640" t="s">
        <v>524</v>
      </c>
      <c r="D85" s="428"/>
      <c r="E85" s="429"/>
      <c r="F85" s="430"/>
      <c r="G85" s="428"/>
      <c r="H85" s="428"/>
      <c r="I85" s="428"/>
      <c r="J85" s="431"/>
      <c r="K85" s="432"/>
      <c r="L85" s="432"/>
      <c r="N85" s="921"/>
      <c r="O85" s="664"/>
      <c r="P85" s="664"/>
      <c r="Q85" s="664"/>
      <c r="R85" s="664"/>
      <c r="S85" s="664"/>
      <c r="T85" s="664"/>
      <c r="U85" s="664"/>
      <c r="V85" s="922"/>
    </row>
    <row r="86" spans="1:22" ht="13.5" customHeight="1">
      <c r="B86" s="61"/>
      <c r="C86" s="99" t="s">
        <v>280</v>
      </c>
      <c r="D86" s="153"/>
      <c r="E86" s="1233">
        <f>F38</f>
        <v>2025</v>
      </c>
      <c r="F86" s="1233">
        <f>H38</f>
        <v>2026</v>
      </c>
      <c r="G86" s="1738">
        <f>K38</f>
        <v>2027</v>
      </c>
      <c r="H86" s="1738"/>
      <c r="I86" s="153"/>
      <c r="J86" s="286"/>
      <c r="K86" s="287"/>
      <c r="L86" s="287"/>
      <c r="N86" s="921"/>
      <c r="O86" s="664"/>
      <c r="P86" s="664"/>
      <c r="Q86" s="664"/>
      <c r="R86" s="664"/>
      <c r="S86" s="664"/>
      <c r="T86" s="664"/>
      <c r="U86" s="664"/>
      <c r="V86" s="922"/>
    </row>
    <row r="87" spans="1:22" ht="12" customHeight="1">
      <c r="A87" s="154"/>
      <c r="B87" s="61"/>
      <c r="C87" s="9" t="s">
        <v>281</v>
      </c>
      <c r="D87" s="153"/>
      <c r="E87" s="1232">
        <v>1</v>
      </c>
      <c r="F87" s="1232">
        <v>1</v>
      </c>
      <c r="G87" s="1736">
        <v>1</v>
      </c>
      <c r="H87" s="1736"/>
      <c r="I87" s="153"/>
      <c r="J87" s="286"/>
      <c r="K87" s="287"/>
      <c r="L87" s="287"/>
      <c r="N87" s="921"/>
      <c r="O87" s="664"/>
      <c r="P87" s="664"/>
      <c r="Q87" s="664"/>
      <c r="R87" s="664"/>
      <c r="S87" s="664"/>
      <c r="T87" s="664"/>
      <c r="U87" s="664"/>
      <c r="V87" s="922"/>
    </row>
    <row r="88" spans="1:22" ht="12" customHeight="1">
      <c r="A88" s="2"/>
      <c r="B88" s="61"/>
      <c r="C88" s="9" t="s">
        <v>282</v>
      </c>
      <c r="D88" s="153"/>
      <c r="E88" s="1227">
        <v>1</v>
      </c>
      <c r="F88" s="1227">
        <v>1</v>
      </c>
      <c r="G88" s="1737">
        <v>1</v>
      </c>
      <c r="H88" s="1737"/>
      <c r="I88" s="153"/>
      <c r="J88" s="286"/>
      <c r="K88" s="287"/>
      <c r="L88" s="287"/>
      <c r="N88" s="921"/>
      <c r="O88" s="664"/>
      <c r="P88" s="664"/>
      <c r="Q88" s="664"/>
      <c r="R88" s="664"/>
      <c r="S88" s="664"/>
      <c r="T88" s="664"/>
      <c r="U88" s="664"/>
      <c r="V88" s="922"/>
    </row>
    <row r="89" spans="1:22" ht="12" customHeight="1">
      <c r="A89" s="154"/>
      <c r="B89" s="61"/>
      <c r="C89" s="9" t="s">
        <v>284</v>
      </c>
      <c r="D89" s="153"/>
      <c r="E89" s="1188">
        <f>E$87*F$43+E$88*(F$44+F$45+F$46+F$47+F$48)+F$50+F51</f>
        <v>0</v>
      </c>
      <c r="F89" s="1188">
        <f>F87*H$43+F88*(H$44+H$45+H$46+H$47+H$48)+H$50+H51</f>
        <v>0</v>
      </c>
      <c r="G89" s="1697">
        <f>G$87*K$43+G$88*(K$44+K$45+K$46+K$47+K$48)+K$50+K51</f>
        <v>0</v>
      </c>
      <c r="H89" s="1697"/>
      <c r="I89" s="153"/>
      <c r="J89" s="286"/>
      <c r="K89" s="287"/>
      <c r="L89" s="287"/>
      <c r="N89" s="921"/>
      <c r="O89" s="664"/>
      <c r="P89" s="664"/>
      <c r="Q89" s="664"/>
      <c r="R89" s="664">
        <v>0</v>
      </c>
      <c r="S89" s="664"/>
      <c r="T89" s="664"/>
      <c r="U89" s="664"/>
      <c r="V89" s="922"/>
    </row>
    <row r="90" spans="1:22" ht="17.149999999999999" customHeight="1">
      <c r="B90" s="61"/>
      <c r="C90" s="99" t="s">
        <v>283</v>
      </c>
      <c r="D90" s="153"/>
      <c r="E90" s="69"/>
      <c r="F90" s="319"/>
      <c r="G90" s="153"/>
      <c r="H90" s="153"/>
      <c r="I90" s="153"/>
      <c r="J90" s="286"/>
      <c r="K90" s="287"/>
      <c r="L90" s="287"/>
      <c r="N90" s="921"/>
      <c r="O90" s="664"/>
      <c r="P90" s="664"/>
      <c r="Q90" s="664"/>
      <c r="R90" s="664"/>
      <c r="S90" s="664"/>
      <c r="T90" s="664"/>
      <c r="U90" s="664"/>
      <c r="V90" s="922"/>
    </row>
    <row r="91" spans="1:22" ht="12" customHeight="1">
      <c r="A91" s="154"/>
      <c r="B91" s="61"/>
      <c r="C91" s="9" t="s">
        <v>281</v>
      </c>
      <c r="D91" s="153"/>
      <c r="E91" s="1228">
        <v>1</v>
      </c>
      <c r="F91" s="1228">
        <v>1</v>
      </c>
      <c r="G91" s="1723">
        <v>1</v>
      </c>
      <c r="H91" s="1723"/>
      <c r="I91" s="153"/>
      <c r="J91" s="286"/>
      <c r="K91" s="287"/>
      <c r="L91" s="287"/>
      <c r="N91" s="921"/>
      <c r="O91" s="664"/>
      <c r="P91" s="664"/>
      <c r="Q91" s="664"/>
      <c r="R91" s="664"/>
      <c r="S91" s="664"/>
      <c r="T91" s="664"/>
      <c r="U91" s="664"/>
      <c r="V91" s="922"/>
    </row>
    <row r="92" spans="1:22" ht="12" customHeight="1">
      <c r="B92" s="61"/>
      <c r="C92" s="9" t="s">
        <v>282</v>
      </c>
      <c r="D92" s="153"/>
      <c r="E92" s="1228">
        <v>1</v>
      </c>
      <c r="F92" s="1228">
        <v>1</v>
      </c>
      <c r="G92" s="1723">
        <v>1</v>
      </c>
      <c r="H92" s="1723"/>
      <c r="I92" s="153"/>
      <c r="J92" s="286"/>
      <c r="K92" s="287"/>
      <c r="L92" s="287"/>
      <c r="N92" s="921"/>
      <c r="O92" s="664"/>
      <c r="P92" s="664"/>
      <c r="Q92" s="664"/>
      <c r="R92" s="664"/>
      <c r="S92" s="664"/>
      <c r="T92" s="664"/>
      <c r="U92" s="664"/>
      <c r="V92" s="922"/>
    </row>
    <row r="93" spans="1:22" ht="12" customHeight="1">
      <c r="A93" s="154"/>
      <c r="B93" s="61"/>
      <c r="C93" s="9" t="s">
        <v>284</v>
      </c>
      <c r="D93" s="153"/>
      <c r="E93" s="1229">
        <f>E91*F$43+E$92*(F$44+F$45+F$46+F$47+F$48)+F$50+F51</f>
        <v>0</v>
      </c>
      <c r="F93" s="1229">
        <f>F91*H$43+F92*(H$44+H$45+H$46+H$47+H$48)+H$50+H51</f>
        <v>0</v>
      </c>
      <c r="G93" s="1697">
        <f>G$91*K$43+G$92*(K$44+K$45+K$46+K$47+K$48)+K$50+K51</f>
        <v>0</v>
      </c>
      <c r="H93" s="1697"/>
      <c r="I93" s="153"/>
      <c r="J93" s="286"/>
      <c r="K93" s="287"/>
      <c r="L93" s="287"/>
      <c r="N93" s="921"/>
      <c r="O93" s="664"/>
      <c r="P93" s="664"/>
      <c r="Q93" s="664"/>
      <c r="R93" s="664"/>
      <c r="S93" s="664"/>
      <c r="T93" s="664"/>
      <c r="U93" s="664"/>
      <c r="V93" s="922"/>
    </row>
    <row r="94" spans="1:22" ht="6" customHeight="1">
      <c r="B94" s="61"/>
      <c r="C94" s="62"/>
      <c r="D94" s="62"/>
      <c r="E94" s="40"/>
      <c r="F94" s="61"/>
      <c r="G94" s="61"/>
      <c r="H94" s="61"/>
      <c r="I94" s="61"/>
      <c r="J94" s="40"/>
      <c r="K94" s="40"/>
      <c r="M94" s="52"/>
      <c r="N94" s="1416"/>
      <c r="O94" s="354"/>
      <c r="P94" s="354"/>
      <c r="Q94" s="354"/>
      <c r="R94" s="354"/>
      <c r="S94" s="354"/>
      <c r="T94" s="354"/>
      <c r="U94" s="354"/>
      <c r="V94" s="1433"/>
    </row>
    <row r="95" spans="1:22" ht="15.75" customHeight="1">
      <c r="B95" s="61"/>
      <c r="C95" s="641" t="s">
        <v>350</v>
      </c>
      <c r="D95" s="62"/>
      <c r="E95" s="40"/>
      <c r="F95" s="419"/>
      <c r="G95" s="420"/>
      <c r="M95" s="52"/>
      <c r="N95" s="921"/>
      <c r="O95" s="664"/>
      <c r="P95" s="664"/>
      <c r="Q95" s="664"/>
      <c r="R95" s="664"/>
      <c r="S95" s="664"/>
      <c r="T95" s="664"/>
      <c r="U95" s="664"/>
      <c r="V95" s="922"/>
    </row>
    <row r="96" spans="1:22" ht="26.25" customHeight="1">
      <c r="B96" s="1722" t="s">
        <v>226</v>
      </c>
      <c r="C96" s="1722"/>
      <c r="D96" s="62"/>
      <c r="E96" s="40"/>
      <c r="F96" s="1730" t="s">
        <v>228</v>
      </c>
      <c r="G96" s="1730"/>
      <c r="H96" s="1724"/>
      <c r="I96" s="1724"/>
      <c r="J96" s="1724"/>
      <c r="K96" s="1724"/>
      <c r="L96" s="1725"/>
      <c r="M96" s="52"/>
      <c r="N96" s="921"/>
      <c r="O96" s="664"/>
      <c r="P96" s="664"/>
      <c r="Q96" s="664"/>
      <c r="R96" s="664"/>
      <c r="S96" s="664"/>
      <c r="T96" s="664"/>
      <c r="U96" s="664"/>
      <c r="V96" s="922"/>
    </row>
    <row r="97" spans="2:22" ht="12.75" customHeight="1">
      <c r="B97" s="1717" t="s">
        <v>561</v>
      </c>
      <c r="C97" s="1718"/>
      <c r="D97" s="1718"/>
      <c r="E97" s="1719"/>
      <c r="F97" s="1726">
        <v>0</v>
      </c>
      <c r="G97" s="1727"/>
      <c r="H97" s="1734">
        <f>IF($F97=0,0,LOOKUP($F97,Toimialatiedot!$B$8:$B$77,Toimialatiedot!$C$8:$C$71))</f>
        <v>0</v>
      </c>
      <c r="I97" s="1734"/>
      <c r="J97" s="1734"/>
      <c r="K97" s="1734"/>
      <c r="L97" s="917"/>
      <c r="M97" s="52"/>
      <c r="N97" s="921"/>
      <c r="O97" s="664"/>
      <c r="P97" s="664"/>
      <c r="Q97" s="664"/>
      <c r="R97" s="664"/>
      <c r="S97" s="664"/>
      <c r="T97" s="664"/>
      <c r="U97" s="664"/>
      <c r="V97" s="922"/>
    </row>
    <row r="98" spans="2:22">
      <c r="B98" s="1720"/>
      <c r="C98" s="1720"/>
      <c r="D98" s="1720"/>
      <c r="E98" s="1721"/>
      <c r="F98" s="1728"/>
      <c r="G98" s="1729"/>
      <c r="H98" s="1735"/>
      <c r="I98" s="1735"/>
      <c r="J98" s="1735"/>
      <c r="K98" s="1735"/>
      <c r="L98" s="917"/>
      <c r="M98" s="52"/>
      <c r="N98" s="921"/>
      <c r="O98" s="664"/>
      <c r="P98" s="664"/>
      <c r="Q98" s="664"/>
      <c r="R98" s="664"/>
      <c r="S98" s="664"/>
      <c r="T98" s="664"/>
      <c r="U98" s="664"/>
      <c r="V98" s="922"/>
    </row>
    <row r="99" spans="2:22" ht="13.4" customHeight="1">
      <c r="C99" s="1"/>
      <c r="D99" s="1"/>
      <c r="E99" s="1"/>
      <c r="F99" s="1"/>
      <c r="G99" s="1"/>
      <c r="H99" s="1"/>
      <c r="I99" s="1"/>
      <c r="J99" s="1"/>
      <c r="K99" s="1"/>
      <c r="L99" s="1"/>
      <c r="N99" s="921"/>
      <c r="O99" s="664"/>
      <c r="P99" s="664"/>
      <c r="Q99" s="664"/>
      <c r="R99" s="664"/>
      <c r="S99" s="664"/>
      <c r="T99" s="664"/>
      <c r="U99" s="664"/>
      <c r="V99" s="922"/>
    </row>
    <row r="100" spans="2:22">
      <c r="C100" s="1"/>
      <c r="D100" s="1"/>
      <c r="E100" s="1"/>
      <c r="F100" s="1"/>
      <c r="G100" s="1"/>
      <c r="H100" s="1"/>
      <c r="I100" s="1"/>
      <c r="J100" s="1"/>
      <c r="K100" s="1"/>
      <c r="L100" s="1"/>
      <c r="N100" s="921"/>
      <c r="O100" s="664"/>
      <c r="P100" s="664"/>
      <c r="Q100" s="664"/>
      <c r="R100" s="664"/>
      <c r="S100" s="664"/>
      <c r="T100" s="664"/>
      <c r="U100" s="664"/>
      <c r="V100" s="922"/>
    </row>
    <row r="101" spans="2:22">
      <c r="C101" s="1"/>
      <c r="D101" s="1"/>
      <c r="E101" s="1"/>
      <c r="F101" s="1"/>
      <c r="G101" s="1"/>
      <c r="H101" s="1"/>
      <c r="I101" s="1"/>
      <c r="J101" s="1"/>
      <c r="K101" s="1"/>
      <c r="L101" s="1"/>
      <c r="N101" s="921"/>
      <c r="O101" s="664"/>
      <c r="P101" s="664"/>
      <c r="Q101" s="664"/>
      <c r="R101" s="664"/>
      <c r="S101" s="664"/>
      <c r="T101" s="664"/>
      <c r="U101" s="664"/>
      <c r="V101" s="922"/>
    </row>
    <row r="102" spans="2:22">
      <c r="C102" s="9"/>
      <c r="D102" s="9"/>
      <c r="E102" s="9"/>
      <c r="F102" s="63"/>
      <c r="G102" s="9"/>
      <c r="H102" s="9"/>
      <c r="I102" s="9"/>
      <c r="J102" s="9"/>
      <c r="K102" s="9"/>
      <c r="N102" s="921"/>
      <c r="O102" s="664"/>
      <c r="P102" s="664"/>
      <c r="Q102" s="664"/>
      <c r="R102" s="664"/>
      <c r="S102" s="664"/>
      <c r="T102" s="664"/>
      <c r="U102" s="664"/>
      <c r="V102" s="922"/>
    </row>
    <row r="103" spans="2:22">
      <c r="N103" s="921"/>
      <c r="O103" s="664"/>
      <c r="P103" s="664"/>
      <c r="Q103" s="664"/>
      <c r="R103" s="664"/>
      <c r="S103" s="664"/>
      <c r="T103" s="664"/>
      <c r="U103" s="664"/>
      <c r="V103" s="922"/>
    </row>
    <row r="104" spans="2:22">
      <c r="N104" s="921"/>
      <c r="O104" s="664"/>
      <c r="P104" s="664"/>
      <c r="Q104" s="664"/>
      <c r="R104" s="664"/>
      <c r="S104" s="664"/>
      <c r="T104" s="664"/>
      <c r="U104" s="664"/>
      <c r="V104" s="922"/>
    </row>
    <row r="105" spans="2:22">
      <c r="N105" s="921"/>
      <c r="O105" s="664"/>
      <c r="P105" s="664"/>
      <c r="Q105" s="664"/>
      <c r="R105" s="664"/>
      <c r="S105" s="664"/>
      <c r="T105" s="664"/>
      <c r="U105" s="664"/>
      <c r="V105" s="922"/>
    </row>
    <row r="106" spans="2:22">
      <c r="N106" s="921"/>
      <c r="O106" s="664"/>
      <c r="P106" s="664"/>
      <c r="Q106" s="664"/>
      <c r="R106" s="664"/>
      <c r="S106" s="664"/>
      <c r="T106" s="664"/>
      <c r="U106" s="664"/>
      <c r="V106" s="922"/>
    </row>
    <row r="107" spans="2:22">
      <c r="N107" s="921"/>
      <c r="O107" s="664"/>
      <c r="P107" s="664"/>
      <c r="Q107" s="664"/>
      <c r="R107" s="664"/>
      <c r="S107" s="664"/>
      <c r="T107" s="664"/>
      <c r="U107" s="664"/>
      <c r="V107" s="922"/>
    </row>
    <row r="108" spans="2:22">
      <c r="N108" s="921"/>
      <c r="O108" s="664"/>
      <c r="P108" s="664"/>
      <c r="Q108" s="664"/>
      <c r="R108" s="664"/>
      <c r="S108" s="664"/>
      <c r="T108" s="664"/>
      <c r="U108" s="664"/>
      <c r="V108" s="922"/>
    </row>
    <row r="109" spans="2:22">
      <c r="N109" s="921"/>
      <c r="O109" s="664"/>
      <c r="P109" s="664"/>
      <c r="Q109" s="664"/>
      <c r="R109" s="664"/>
      <c r="S109" s="664"/>
      <c r="T109" s="664"/>
      <c r="U109" s="664"/>
      <c r="V109" s="922"/>
    </row>
    <row r="110" spans="2:22">
      <c r="N110" s="921"/>
      <c r="O110" s="664"/>
      <c r="P110" s="664"/>
      <c r="Q110" s="664"/>
      <c r="R110" s="664"/>
      <c r="S110" s="664"/>
      <c r="T110" s="664"/>
      <c r="U110" s="664"/>
      <c r="V110" s="922"/>
    </row>
    <row r="111" spans="2:22">
      <c r="N111" s="921"/>
      <c r="O111" s="664"/>
      <c r="P111" s="664"/>
      <c r="Q111" s="664"/>
      <c r="R111" s="664"/>
      <c r="S111" s="664"/>
      <c r="T111" s="664"/>
      <c r="U111" s="664"/>
      <c r="V111" s="922"/>
    </row>
    <row r="112" spans="2:22">
      <c r="N112" s="921"/>
      <c r="O112" s="664"/>
      <c r="P112" s="664"/>
      <c r="Q112" s="664"/>
      <c r="R112" s="664"/>
      <c r="S112" s="664"/>
      <c r="T112" s="664"/>
      <c r="U112" s="664"/>
      <c r="V112" s="922"/>
    </row>
    <row r="113" spans="14:22">
      <c r="N113" s="921"/>
      <c r="O113" s="664"/>
      <c r="P113" s="664"/>
      <c r="Q113" s="664"/>
      <c r="R113" s="664"/>
      <c r="S113" s="664"/>
      <c r="T113" s="664"/>
      <c r="U113" s="664"/>
      <c r="V113" s="922"/>
    </row>
    <row r="114" spans="14:22">
      <c r="N114" s="921"/>
      <c r="O114" s="664"/>
      <c r="P114" s="664"/>
      <c r="Q114" s="664"/>
      <c r="R114" s="664"/>
      <c r="S114" s="664"/>
      <c r="T114" s="664"/>
      <c r="U114" s="664"/>
      <c r="V114" s="922"/>
    </row>
    <row r="115" spans="14:22">
      <c r="N115" s="921"/>
      <c r="O115" s="664"/>
      <c r="P115" s="664"/>
      <c r="Q115" s="664"/>
      <c r="R115" s="664"/>
      <c r="S115" s="664"/>
      <c r="T115" s="664"/>
      <c r="U115" s="664"/>
      <c r="V115" s="922"/>
    </row>
    <row r="116" spans="14:22">
      <c r="N116" s="921"/>
      <c r="O116" s="664"/>
      <c r="P116" s="664"/>
      <c r="Q116" s="664"/>
      <c r="R116" s="664"/>
      <c r="S116" s="664"/>
      <c r="T116" s="664"/>
      <c r="U116" s="664"/>
      <c r="V116" s="922"/>
    </row>
    <row r="117" spans="14:22">
      <c r="N117" s="921"/>
      <c r="O117" s="664"/>
      <c r="P117" s="664"/>
      <c r="Q117" s="664"/>
      <c r="R117" s="664"/>
      <c r="S117" s="664"/>
      <c r="T117" s="664"/>
      <c r="U117" s="664"/>
      <c r="V117" s="922"/>
    </row>
    <row r="118" spans="14:22">
      <c r="N118" s="921"/>
      <c r="O118" s="664"/>
      <c r="P118" s="664"/>
      <c r="Q118" s="664"/>
      <c r="R118" s="664"/>
      <c r="S118" s="664"/>
      <c r="T118" s="664"/>
      <c r="U118" s="664"/>
      <c r="V118" s="922"/>
    </row>
    <row r="119" spans="14:22">
      <c r="N119" s="921"/>
      <c r="O119" s="664"/>
      <c r="P119" s="664"/>
      <c r="Q119" s="664"/>
      <c r="R119" s="664"/>
      <c r="S119" s="664"/>
      <c r="T119" s="664"/>
      <c r="U119" s="664"/>
      <c r="V119" s="922"/>
    </row>
    <row r="120" spans="14:22">
      <c r="N120" s="921"/>
      <c r="O120" s="664"/>
      <c r="P120" s="664"/>
      <c r="Q120" s="664"/>
      <c r="R120" s="664"/>
      <c r="S120" s="664"/>
      <c r="T120" s="664"/>
      <c r="U120" s="664"/>
      <c r="V120" s="922"/>
    </row>
    <row r="121" spans="14:22">
      <c r="N121" s="921"/>
      <c r="O121" s="664"/>
      <c r="P121" s="664"/>
      <c r="Q121" s="664"/>
      <c r="R121" s="664"/>
      <c r="S121" s="664"/>
      <c r="T121" s="664"/>
      <c r="U121" s="664"/>
      <c r="V121" s="922"/>
    </row>
    <row r="122" spans="14:22">
      <c r="N122" s="921"/>
      <c r="O122" s="664"/>
      <c r="P122" s="664"/>
      <c r="Q122" s="664"/>
      <c r="R122" s="664"/>
      <c r="S122" s="664"/>
      <c r="T122" s="664"/>
      <c r="U122" s="664"/>
      <c r="V122" s="922"/>
    </row>
    <row r="123" spans="14:22">
      <c r="N123" s="921"/>
      <c r="O123" s="664"/>
      <c r="P123" s="664"/>
      <c r="Q123" s="664"/>
      <c r="R123" s="664"/>
      <c r="S123" s="664"/>
      <c r="T123" s="664"/>
      <c r="U123" s="664"/>
      <c r="V123" s="922"/>
    </row>
    <row r="124" spans="14:22">
      <c r="N124" s="921"/>
      <c r="O124" s="664"/>
      <c r="P124" s="664"/>
      <c r="Q124" s="664"/>
      <c r="R124" s="664"/>
      <c r="S124" s="664"/>
      <c r="T124" s="664"/>
      <c r="U124" s="664"/>
      <c r="V124" s="922"/>
    </row>
    <row r="125" spans="14:22">
      <c r="N125" s="921"/>
      <c r="O125" s="664"/>
      <c r="P125" s="664"/>
      <c r="Q125" s="664"/>
      <c r="R125" s="664"/>
      <c r="S125" s="664"/>
      <c r="T125" s="664"/>
      <c r="U125" s="664"/>
      <c r="V125" s="922"/>
    </row>
    <row r="126" spans="14:22">
      <c r="N126" s="921"/>
      <c r="O126" s="664"/>
      <c r="P126" s="664"/>
      <c r="Q126" s="664"/>
      <c r="R126" s="664"/>
      <c r="S126" s="664"/>
      <c r="T126" s="664"/>
      <c r="U126" s="664"/>
      <c r="V126" s="922"/>
    </row>
    <row r="127" spans="14:22">
      <c r="N127" s="921"/>
      <c r="O127" s="664"/>
      <c r="P127" s="664"/>
      <c r="Q127" s="664"/>
      <c r="R127" s="664"/>
      <c r="S127" s="664"/>
      <c r="T127" s="664"/>
      <c r="U127" s="664"/>
      <c r="V127" s="922"/>
    </row>
    <row r="128" spans="14:22">
      <c r="N128" s="921"/>
      <c r="O128" s="664"/>
      <c r="P128" s="664"/>
      <c r="Q128" s="664"/>
      <c r="R128" s="664"/>
      <c r="S128" s="664"/>
      <c r="T128" s="664"/>
      <c r="U128" s="664"/>
      <c r="V128" s="922"/>
    </row>
    <row r="129" spans="3:22">
      <c r="N129" s="921"/>
      <c r="O129" s="664"/>
      <c r="P129" s="664"/>
      <c r="Q129" s="664"/>
      <c r="R129" s="664"/>
      <c r="S129" s="664"/>
      <c r="T129" s="664"/>
      <c r="U129" s="664"/>
      <c r="V129" s="922"/>
    </row>
    <row r="130" spans="3:22">
      <c r="N130" s="1416"/>
      <c r="O130" s="354"/>
      <c r="P130" s="354"/>
      <c r="Q130" s="354"/>
      <c r="R130" s="354"/>
      <c r="S130" s="354"/>
      <c r="T130" s="354"/>
      <c r="U130" s="354"/>
      <c r="V130" s="1433"/>
    </row>
    <row r="131" spans="3:22">
      <c r="N131" s="1416"/>
      <c r="O131" s="354"/>
      <c r="P131" s="354"/>
      <c r="Q131" s="354"/>
      <c r="R131" s="354"/>
      <c r="S131" s="354"/>
      <c r="T131" s="354"/>
      <c r="U131" s="354"/>
      <c r="V131" s="1433"/>
    </row>
    <row r="132" spans="3:22">
      <c r="N132" s="1434"/>
      <c r="O132" s="1435"/>
      <c r="P132" s="1435"/>
      <c r="Q132" s="1435"/>
      <c r="R132" s="1435"/>
      <c r="S132" s="1435"/>
      <c r="T132" s="1435"/>
      <c r="U132" s="1435"/>
      <c r="V132" s="1436"/>
    </row>
    <row r="134" spans="3:22">
      <c r="N134" s="63" t="s">
        <v>331</v>
      </c>
    </row>
    <row r="135" spans="3:22" ht="14.25" customHeight="1">
      <c r="N135" t="s">
        <v>332</v>
      </c>
    </row>
    <row r="136" spans="3:22">
      <c r="C136" s="312"/>
      <c r="H136" s="99"/>
      <c r="N136" t="s">
        <v>333</v>
      </c>
    </row>
    <row r="137" spans="3:22">
      <c r="C137" s="100"/>
      <c r="H137" s="100"/>
    </row>
    <row r="138" spans="3:22">
      <c r="C138" s="100"/>
      <c r="H138" s="100"/>
    </row>
    <row r="140" spans="3:22">
      <c r="D140" s="311"/>
      <c r="E140" s="311"/>
      <c r="F140" s="311"/>
    </row>
    <row r="167" spans="2:11">
      <c r="B167" s="61"/>
      <c r="C167" s="61"/>
      <c r="D167" s="61"/>
      <c r="E167" s="61"/>
      <c r="F167" s="69"/>
      <c r="G167" s="64"/>
      <c r="H167" s="64"/>
      <c r="I167" s="64"/>
      <c r="J167" s="64"/>
      <c r="K167" s="64"/>
    </row>
    <row r="168" spans="2:11">
      <c r="B168" s="61"/>
      <c r="C168" s="61"/>
      <c r="D168" s="61"/>
      <c r="E168" s="61"/>
      <c r="F168" s="70"/>
      <c r="G168" s="70"/>
      <c r="H168" s="70"/>
      <c r="I168" s="70"/>
      <c r="J168" s="70"/>
      <c r="K168" s="70"/>
    </row>
    <row r="169" spans="2:11">
      <c r="B169" s="61"/>
      <c r="C169" s="61"/>
      <c r="D169" s="61"/>
      <c r="E169" s="61"/>
      <c r="F169" s="69"/>
      <c r="G169" s="69"/>
      <c r="H169" s="69"/>
      <c r="I169" s="69"/>
      <c r="J169" s="69"/>
      <c r="K169" s="69"/>
    </row>
    <row r="170" spans="2:11">
      <c r="B170" s="61"/>
      <c r="C170" s="61"/>
      <c r="D170" s="61"/>
      <c r="E170" s="61"/>
      <c r="F170" s="69"/>
      <c r="G170" s="69"/>
      <c r="H170" s="69"/>
      <c r="I170" s="69"/>
      <c r="J170" s="69"/>
      <c r="K170" s="69"/>
    </row>
    <row r="171" spans="2:11">
      <c r="B171" s="61"/>
      <c r="C171" s="61"/>
      <c r="D171" s="61"/>
      <c r="E171" s="61"/>
      <c r="F171" s="69"/>
      <c r="G171" s="64"/>
      <c r="H171" s="64"/>
      <c r="I171" s="64"/>
      <c r="J171" s="64"/>
      <c r="K171" s="64"/>
    </row>
    <row r="172" spans="2:11">
      <c r="B172" s="61"/>
      <c r="C172" s="61"/>
      <c r="D172" s="61"/>
      <c r="E172" s="61"/>
      <c r="F172" s="70"/>
      <c r="G172" s="70"/>
      <c r="H172" s="70"/>
      <c r="I172" s="70"/>
      <c r="J172" s="70"/>
      <c r="K172" s="70"/>
    </row>
    <row r="173" spans="2:11">
      <c r="B173" s="61"/>
      <c r="C173" s="61"/>
      <c r="D173" s="61"/>
      <c r="E173" s="61"/>
      <c r="F173" s="69"/>
      <c r="G173" s="69"/>
      <c r="H173" s="69"/>
      <c r="I173" s="69"/>
      <c r="J173" s="69"/>
      <c r="K173" s="69"/>
    </row>
    <row r="174" spans="2:11">
      <c r="B174" s="61"/>
      <c r="C174" s="61"/>
      <c r="D174" s="61"/>
      <c r="E174" s="61"/>
      <c r="F174" s="69"/>
      <c r="G174" s="69"/>
      <c r="H174" s="69"/>
      <c r="I174" s="69"/>
      <c r="J174" s="69"/>
      <c r="K174" s="69"/>
    </row>
  </sheetData>
  <sheetProtection algorithmName="SHA-512" hashValue="ueBvR9+eXpJs1SFWsnq+wu6qerrgvbw8OZxji+8pUIiXTkGBgFBcthDzRK335zPv4wwFeNOA5RNZKvwVDvefyw==" saltValue="QtKA0MczD6xoRT0/yenLuQ==" spinCount="100000" sheet="1" objects="1" scenarios="1"/>
  <mergeCells count="153">
    <mergeCell ref="G9:L9"/>
    <mergeCell ref="G8:L8"/>
    <mergeCell ref="G74:L74"/>
    <mergeCell ref="G73:L73"/>
    <mergeCell ref="C83:D83"/>
    <mergeCell ref="G83:H83"/>
    <mergeCell ref="K68:L68"/>
    <mergeCell ref="G78:H78"/>
    <mergeCell ref="K65:L65"/>
    <mergeCell ref="C81:D81"/>
    <mergeCell ref="C78:D78"/>
    <mergeCell ref="K67:L67"/>
    <mergeCell ref="G80:H80"/>
    <mergeCell ref="G81:H81"/>
    <mergeCell ref="G77:H77"/>
    <mergeCell ref="B73:C73"/>
    <mergeCell ref="K69:L69"/>
    <mergeCell ref="C79:D79"/>
    <mergeCell ref="B74:E74"/>
    <mergeCell ref="K66:L66"/>
    <mergeCell ref="C82:D82"/>
    <mergeCell ref="G82:H82"/>
    <mergeCell ref="B25:C25"/>
    <mergeCell ref="K16:L16"/>
    <mergeCell ref="B4:L4"/>
    <mergeCell ref="B9:E9"/>
    <mergeCell ref="K6:L6"/>
    <mergeCell ref="K38:L38"/>
    <mergeCell ref="H50:I50"/>
    <mergeCell ref="K27:L27"/>
    <mergeCell ref="F20:G20"/>
    <mergeCell ref="I22:J22"/>
    <mergeCell ref="I21:J21"/>
    <mergeCell ref="F22:G22"/>
    <mergeCell ref="F21:G21"/>
    <mergeCell ref="F38:G38"/>
    <mergeCell ref="F35:J35"/>
    <mergeCell ref="H48:I48"/>
    <mergeCell ref="K18:L18"/>
    <mergeCell ref="K15:L15"/>
    <mergeCell ref="K30:L30"/>
    <mergeCell ref="K32:L32"/>
    <mergeCell ref="K31:L31"/>
    <mergeCell ref="K35:L35"/>
    <mergeCell ref="H44:I44"/>
    <mergeCell ref="B29:D29"/>
    <mergeCell ref="K25:L25"/>
    <mergeCell ref="K21:L21"/>
    <mergeCell ref="Q2:R2"/>
    <mergeCell ref="B2:L2"/>
    <mergeCell ref="B21:C21"/>
    <mergeCell ref="B22:C22"/>
    <mergeCell ref="B13:L14"/>
    <mergeCell ref="N2:O2"/>
    <mergeCell ref="N10:O10"/>
    <mergeCell ref="N11:S12"/>
    <mergeCell ref="B27:D27"/>
    <mergeCell ref="B26:C26"/>
    <mergeCell ref="B18:C18"/>
    <mergeCell ref="B19:C19"/>
    <mergeCell ref="K22:L22"/>
    <mergeCell ref="G11:L11"/>
    <mergeCell ref="K19:L19"/>
    <mergeCell ref="K24:L24"/>
    <mergeCell ref="K20:L20"/>
    <mergeCell ref="F17:G17"/>
    <mergeCell ref="B17:C17"/>
    <mergeCell ref="F19:G19"/>
    <mergeCell ref="B20:C20"/>
    <mergeCell ref="F23:J23"/>
    <mergeCell ref="F25:J25"/>
    <mergeCell ref="B16:C16"/>
    <mergeCell ref="K23:L23"/>
    <mergeCell ref="K28:L28"/>
    <mergeCell ref="K26:L26"/>
    <mergeCell ref="I17:J17"/>
    <mergeCell ref="F18:G18"/>
    <mergeCell ref="K17:L17"/>
    <mergeCell ref="F24:J24"/>
    <mergeCell ref="B24:C24"/>
    <mergeCell ref="B28:D28"/>
    <mergeCell ref="B23:C23"/>
    <mergeCell ref="K29:L29"/>
    <mergeCell ref="F29:J29"/>
    <mergeCell ref="H42:I42"/>
    <mergeCell ref="H33:J33"/>
    <mergeCell ref="C37:C38"/>
    <mergeCell ref="F26:J26"/>
    <mergeCell ref="F27:J27"/>
    <mergeCell ref="F28:J28"/>
    <mergeCell ref="K39:L39"/>
    <mergeCell ref="H39:J39"/>
    <mergeCell ref="H41:I41"/>
    <mergeCell ref="H40:I40"/>
    <mergeCell ref="H38:J38"/>
    <mergeCell ref="B30:D30"/>
    <mergeCell ref="F30:J30"/>
    <mergeCell ref="F37:G37"/>
    <mergeCell ref="B32:D32"/>
    <mergeCell ref="F31:J31"/>
    <mergeCell ref="C33:D33"/>
    <mergeCell ref="H37:J37"/>
    <mergeCell ref="F33:G33"/>
    <mergeCell ref="B31:D31"/>
    <mergeCell ref="K33:L33"/>
    <mergeCell ref="K37:L37"/>
    <mergeCell ref="B97:E98"/>
    <mergeCell ref="B96:C96"/>
    <mergeCell ref="G93:H93"/>
    <mergeCell ref="G92:H92"/>
    <mergeCell ref="H96:L96"/>
    <mergeCell ref="F97:G98"/>
    <mergeCell ref="F96:G96"/>
    <mergeCell ref="B35:D35"/>
    <mergeCell ref="F32:J32"/>
    <mergeCell ref="H97:K98"/>
    <mergeCell ref="G87:H87"/>
    <mergeCell ref="G88:H88"/>
    <mergeCell ref="G89:H89"/>
    <mergeCell ref="G91:H91"/>
    <mergeCell ref="H59:I59"/>
    <mergeCell ref="H45:I45"/>
    <mergeCell ref="G86:H86"/>
    <mergeCell ref="G79:H79"/>
    <mergeCell ref="H54:I54"/>
    <mergeCell ref="H60:I60"/>
    <mergeCell ref="F62:G62"/>
    <mergeCell ref="K62:L62"/>
    <mergeCell ref="H62:J62"/>
    <mergeCell ref="C62:E62"/>
    <mergeCell ref="H46:I46"/>
    <mergeCell ref="H47:I47"/>
    <mergeCell ref="F39:G39"/>
    <mergeCell ref="H43:I43"/>
    <mergeCell ref="C59:E59"/>
    <mergeCell ref="B65:D65"/>
    <mergeCell ref="B69:D69"/>
    <mergeCell ref="B68:D68"/>
    <mergeCell ref="B67:D67"/>
    <mergeCell ref="B66:D66"/>
    <mergeCell ref="F69:J69"/>
    <mergeCell ref="H55:I55"/>
    <mergeCell ref="C49:E49"/>
    <mergeCell ref="C53:E53"/>
    <mergeCell ref="H52:I52"/>
    <mergeCell ref="H51:I51"/>
    <mergeCell ref="H53:I53"/>
    <mergeCell ref="H56:I56"/>
    <mergeCell ref="H49:I49"/>
    <mergeCell ref="F67:J67"/>
    <mergeCell ref="F68:J68"/>
    <mergeCell ref="H57:I57"/>
    <mergeCell ref="H58:I58"/>
  </mergeCells>
  <conditionalFormatting sqref="E89">
    <cfRule type="cellIs" dxfId="39" priority="9" operator="lessThan">
      <formula>$F$62</formula>
    </cfRule>
    <cfRule type="cellIs" dxfId="38" priority="12" operator="greaterThan">
      <formula>$F$62</formula>
    </cfRule>
  </conditionalFormatting>
  <conditionalFormatting sqref="E93">
    <cfRule type="cellIs" dxfId="37" priority="3" operator="lessThan">
      <formula>$F$62</formula>
    </cfRule>
    <cfRule type="cellIs" dxfId="36" priority="6" operator="greaterThan">
      <formula>$F$62</formula>
    </cfRule>
  </conditionalFormatting>
  <conditionalFormatting sqref="E80:H80">
    <cfRule type="cellIs" dxfId="35" priority="14" operator="lessThan">
      <formula>0</formula>
    </cfRule>
    <cfRule type="cellIs" dxfId="34" priority="15" operator="greaterThan">
      <formula>0</formula>
    </cfRule>
  </conditionalFormatting>
  <conditionalFormatting sqref="F53">
    <cfRule type="cellIs" dxfId="33" priority="29" operator="greaterThan">
      <formula>$F$62</formula>
    </cfRule>
    <cfRule type="cellIs" dxfId="32" priority="32" operator="lessThan">
      <formula>$F$62</formula>
    </cfRule>
  </conditionalFormatting>
  <conditionalFormatting sqref="F89">
    <cfRule type="cellIs" dxfId="31" priority="8" operator="lessThan">
      <formula>$H$62</formula>
    </cfRule>
    <cfRule type="cellIs" dxfId="30" priority="11" operator="greaterThan">
      <formula>$H$62</formula>
    </cfRule>
  </conditionalFormatting>
  <conditionalFormatting sqref="F93">
    <cfRule type="cellIs" dxfId="29" priority="2" operator="lessThan">
      <formula>$H$62</formula>
    </cfRule>
    <cfRule type="cellIs" dxfId="28" priority="5" operator="greaterThan">
      <formula>$H$62</formula>
    </cfRule>
  </conditionalFormatting>
  <conditionalFormatting sqref="G89">
    <cfRule type="cellIs" dxfId="27" priority="7" operator="lessThan">
      <formula>$K$62</formula>
    </cfRule>
    <cfRule type="cellIs" dxfId="26" priority="10" operator="greaterThan">
      <formula>$K$62</formula>
    </cfRule>
  </conditionalFormatting>
  <conditionalFormatting sqref="G93">
    <cfRule type="cellIs" dxfId="25" priority="1" operator="lessThan">
      <formula>$K$62</formula>
    </cfRule>
    <cfRule type="cellIs" dxfId="24" priority="4" operator="greaterThan">
      <formula>$K$62</formula>
    </cfRule>
  </conditionalFormatting>
  <conditionalFormatting sqref="H53:I53">
    <cfRule type="cellIs" dxfId="23" priority="26" operator="greaterThan">
      <formula>$H$62</formula>
    </cfRule>
    <cfRule type="cellIs" dxfId="22" priority="30" operator="lessThan">
      <formula>$H$62</formula>
    </cfRule>
  </conditionalFormatting>
  <conditionalFormatting sqref="K53">
    <cfRule type="cellIs" dxfId="21" priority="27" operator="greaterThan">
      <formula>$K$62</formula>
    </cfRule>
    <cfRule type="cellIs" dxfId="20" priority="28" operator="lessThan">
      <formula>$K$62</formula>
    </cfRule>
  </conditionalFormatting>
  <printOptions horizontalCentered="1"/>
  <pageMargins left="0.23622047244094491" right="0.23622047244094491" top="0.74803149606299213" bottom="0.74803149606299213" header="0.31496062992125984" footer="0.31496062992125984"/>
  <pageSetup paperSize="9" scale="85" fitToWidth="0" fitToHeight="0" orientation="portrait" verticalDpi="4" r:id="rId1"/>
  <headerFooter>
    <oddFooter>&amp;C&amp;8YT5 ALOITTAVAN YRITYKSEN TALOUSSUUNNITELMA</oddFooter>
  </headerFooter>
  <rowBreaks count="1" manualBreakCount="1">
    <brk id="70" min="1" max="21" man="1"/>
  </rowBreaks>
  <colBreaks count="1" manualBreakCount="1">
    <brk id="12" min="3" max="134"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ul8">
    <tabColor theme="3" tint="-0.249977111117893"/>
  </sheetPr>
  <dimension ref="A1:AH108"/>
  <sheetViews>
    <sheetView showGridLines="0" showZeros="0" zoomScaleNormal="100" workbookViewId="0">
      <selection activeCell="F8" sqref="F8"/>
    </sheetView>
  </sheetViews>
  <sheetFormatPr defaultRowHeight="12.45"/>
  <cols>
    <col min="1" max="1" width="11.84375" customWidth="1"/>
    <col min="2" max="2" width="3.3046875" style="345" customWidth="1"/>
    <col min="3" max="3" width="4.07421875" customWidth="1"/>
    <col min="4" max="4" width="28" customWidth="1"/>
    <col min="5" max="5" width="7.69140625" customWidth="1"/>
    <col min="6" max="6" width="5.69140625" customWidth="1"/>
    <col min="7" max="18" width="9.07421875" customWidth="1"/>
    <col min="19" max="19" width="9.84375" customWidth="1"/>
    <col min="20" max="20" width="9.07421875" customWidth="1"/>
    <col min="21" max="21" width="3.3046875" hidden="1" customWidth="1"/>
    <col min="22" max="22" width="10" hidden="1" customWidth="1"/>
    <col min="23" max="23" width="10" style="9" hidden="1" customWidth="1"/>
    <col min="24" max="24" width="19.53515625" hidden="1" customWidth="1"/>
    <col min="25" max="25" width="8.84375" hidden="1" customWidth="1"/>
    <col min="26" max="26" width="9.53515625" hidden="1" customWidth="1"/>
    <col min="27" max="29" width="8.84375" hidden="1" customWidth="1"/>
    <col min="30" max="34" width="8.84375" customWidth="1"/>
  </cols>
  <sheetData>
    <row r="1" spans="1:34" ht="12.75" customHeight="1">
      <c r="B1" s="910"/>
      <c r="C1" s="910"/>
      <c r="D1" s="423"/>
      <c r="E1" s="423"/>
      <c r="F1" s="423"/>
      <c r="G1" s="423"/>
      <c r="H1" s="423"/>
      <c r="I1" s="423"/>
      <c r="J1" s="423"/>
      <c r="K1" s="423"/>
      <c r="L1" s="423"/>
      <c r="M1" s="423"/>
      <c r="N1" s="423"/>
      <c r="O1" s="423"/>
      <c r="P1" s="244"/>
      <c r="Q1" s="244"/>
      <c r="R1" s="244"/>
      <c r="S1" s="244"/>
      <c r="W1" s="63"/>
    </row>
    <row r="2" spans="1:34" ht="21.45" customHeight="1">
      <c r="B2" s="1850" t="s">
        <v>775</v>
      </c>
      <c r="C2" s="1850"/>
      <c r="D2" s="1850"/>
      <c r="E2" s="241"/>
      <c r="F2" s="241"/>
      <c r="G2" s="1683"/>
      <c r="H2" s="1683"/>
      <c r="I2" s="1683"/>
      <c r="J2" s="1683"/>
      <c r="K2" s="1683"/>
      <c r="L2" s="1683"/>
      <c r="M2" s="1683"/>
      <c r="N2" s="1683"/>
      <c r="O2" s="433"/>
      <c r="P2" s="433"/>
      <c r="Q2" s="433"/>
      <c r="R2" s="410"/>
      <c r="S2" s="410"/>
      <c r="W2" s="291"/>
      <c r="X2" s="243"/>
    </row>
    <row r="3" spans="1:34" ht="12" customHeight="1">
      <c r="B3" s="766"/>
      <c r="C3" s="9"/>
      <c r="D3" s="99" t="s">
        <v>22</v>
      </c>
      <c r="E3" s="9"/>
      <c r="F3" s="9"/>
      <c r="G3" s="9"/>
      <c r="H3" s="9"/>
      <c r="I3" s="9"/>
      <c r="J3" s="9"/>
      <c r="K3" s="9"/>
      <c r="L3" s="9"/>
      <c r="M3" s="9"/>
      <c r="N3" s="9"/>
      <c r="O3" s="9"/>
      <c r="P3" s="9"/>
      <c r="Q3" s="9"/>
      <c r="R3" s="9"/>
      <c r="S3" s="9"/>
      <c r="T3" s="9"/>
      <c r="U3" s="9"/>
      <c r="V3" s="9"/>
      <c r="X3" s="9"/>
      <c r="Y3" s="1080"/>
      <c r="Z3" s="1024"/>
      <c r="AA3" s="1024"/>
      <c r="AB3" s="1021"/>
      <c r="AC3" s="1021"/>
      <c r="AD3" s="1021"/>
      <c r="AE3" s="1021"/>
      <c r="AF3" s="1021"/>
      <c r="AG3" s="1021"/>
      <c r="AH3" s="1021"/>
    </row>
    <row r="4" spans="1:34" ht="17.7" customHeight="1">
      <c r="A4" s="156"/>
      <c r="B4" s="766"/>
      <c r="D4" s="1485">
        <f>IF('Rahoitus K3'!B9&gt;0,'Rahoitus K3'!B9,'Rahoitus Y3'!B9)</f>
        <v>0</v>
      </c>
      <c r="E4" s="655"/>
      <c r="F4" s="655"/>
      <c r="G4" s="654"/>
      <c r="H4" s="1845" t="s">
        <v>173</v>
      </c>
      <c r="I4" s="1846"/>
      <c r="J4" s="1846"/>
      <c r="K4" s="1846"/>
      <c r="L4" s="1846"/>
      <c r="M4" s="1846"/>
      <c r="N4" s="1844"/>
      <c r="O4" s="1844"/>
      <c r="P4" s="1844"/>
      <c r="Q4" s="1844"/>
      <c r="R4" s="156"/>
      <c r="S4" s="156"/>
      <c r="T4" s="216"/>
      <c r="Y4" s="1020"/>
      <c r="Z4" s="1021"/>
      <c r="AA4" s="1021"/>
      <c r="AB4" s="1021"/>
      <c r="AC4" s="1021"/>
      <c r="AD4" s="1021"/>
      <c r="AE4" s="1021"/>
      <c r="AF4" s="1021"/>
      <c r="AG4" s="1021"/>
      <c r="AH4" s="1021"/>
    </row>
    <row r="5" spans="1:34" ht="10.199999999999999" customHeight="1">
      <c r="A5" s="157"/>
      <c r="B5" s="767"/>
      <c r="C5" s="157"/>
      <c r="D5" s="1837"/>
      <c r="E5" s="1837"/>
      <c r="F5" s="1837"/>
      <c r="G5" s="157"/>
      <c r="H5" s="157"/>
      <c r="I5" s="157"/>
      <c r="J5" s="157"/>
      <c r="K5" s="157"/>
      <c r="L5" s="157"/>
      <c r="M5" s="157"/>
      <c r="N5" s="157"/>
      <c r="O5" s="157"/>
      <c r="P5" s="157"/>
      <c r="Q5" s="157"/>
      <c r="R5" s="157"/>
      <c r="S5" s="158"/>
      <c r="T5" s="225"/>
      <c r="V5" s="1835" t="s">
        <v>219</v>
      </c>
      <c r="W5" s="1836"/>
      <c r="X5" s="1830" t="s">
        <v>172</v>
      </c>
      <c r="Y5" s="1020"/>
      <c r="Z5" s="1021"/>
      <c r="AA5" s="1021"/>
      <c r="AB5" s="1021"/>
      <c r="AC5" s="1021"/>
      <c r="AD5" s="1021"/>
      <c r="AE5" s="1021"/>
      <c r="AF5" s="1021"/>
      <c r="AG5" s="1021"/>
      <c r="AH5" s="1021"/>
    </row>
    <row r="6" spans="1:34" ht="18" customHeight="1">
      <c r="A6" s="32"/>
      <c r="B6" s="1461"/>
      <c r="C6" s="1838" t="s">
        <v>102</v>
      </c>
      <c r="D6" s="1838"/>
      <c r="E6" s="1838"/>
      <c r="F6" s="1461"/>
      <c r="G6" s="1462">
        <v>45292</v>
      </c>
      <c r="H6" s="1463">
        <f>G6+31</f>
        <v>45323</v>
      </c>
      <c r="I6" s="1463">
        <f t="shared" ref="I6:R6" si="0">H6+31</f>
        <v>45354</v>
      </c>
      <c r="J6" s="1463">
        <f t="shared" si="0"/>
        <v>45385</v>
      </c>
      <c r="K6" s="1463">
        <f t="shared" si="0"/>
        <v>45416</v>
      </c>
      <c r="L6" s="1463">
        <f t="shared" si="0"/>
        <v>45447</v>
      </c>
      <c r="M6" s="1463">
        <f t="shared" si="0"/>
        <v>45478</v>
      </c>
      <c r="N6" s="1463">
        <f t="shared" si="0"/>
        <v>45509</v>
      </c>
      <c r="O6" s="1463">
        <f t="shared" si="0"/>
        <v>45540</v>
      </c>
      <c r="P6" s="1463">
        <f t="shared" si="0"/>
        <v>45571</v>
      </c>
      <c r="Q6" s="1463">
        <f t="shared" si="0"/>
        <v>45602</v>
      </c>
      <c r="R6" s="1463">
        <f t="shared" si="0"/>
        <v>45633</v>
      </c>
      <c r="S6" s="1464" t="s">
        <v>104</v>
      </c>
      <c r="T6" s="226"/>
      <c r="V6" s="1074" t="s">
        <v>221</v>
      </c>
      <c r="W6" s="1075" t="s">
        <v>220</v>
      </c>
      <c r="X6" s="1831"/>
      <c r="Y6" s="1022"/>
      <c r="Z6" s="1021"/>
      <c r="AA6" s="1021"/>
      <c r="AB6" s="1021"/>
      <c r="AC6" s="1021"/>
      <c r="AD6" s="1021"/>
      <c r="AE6" s="1021"/>
      <c r="AF6" s="1021"/>
      <c r="AG6" s="1021"/>
      <c r="AH6" s="1021"/>
    </row>
    <row r="7" spans="1:34" ht="12.75" customHeight="1">
      <c r="A7" s="32"/>
      <c r="B7" s="911">
        <v>1</v>
      </c>
      <c r="C7" s="1842" t="s">
        <v>799</v>
      </c>
      <c r="D7" s="1842"/>
      <c r="E7" s="1842"/>
      <c r="F7" s="1843"/>
      <c r="G7" s="1083">
        <f>W7</f>
        <v>0</v>
      </c>
      <c r="H7" s="1353">
        <f t="shared" ref="H7:R7" si="1">G57</f>
        <v>0</v>
      </c>
      <c r="I7" s="1353">
        <f t="shared" si="1"/>
        <v>0</v>
      </c>
      <c r="J7" s="1353">
        <f t="shared" si="1"/>
        <v>0</v>
      </c>
      <c r="K7" s="1353">
        <f t="shared" si="1"/>
        <v>0</v>
      </c>
      <c r="L7" s="1353">
        <f t="shared" si="1"/>
        <v>0</v>
      </c>
      <c r="M7" s="1353">
        <f t="shared" si="1"/>
        <v>0</v>
      </c>
      <c r="N7" s="1353">
        <f t="shared" si="1"/>
        <v>0</v>
      </c>
      <c r="O7" s="1353">
        <f t="shared" si="1"/>
        <v>0</v>
      </c>
      <c r="P7" s="1353">
        <f t="shared" si="1"/>
        <v>0</v>
      </c>
      <c r="Q7" s="1353">
        <f t="shared" si="1"/>
        <v>0</v>
      </c>
      <c r="R7" s="1353">
        <f t="shared" si="1"/>
        <v>0</v>
      </c>
      <c r="S7" s="1070"/>
      <c r="T7" s="227"/>
      <c r="U7" s="345"/>
      <c r="V7" s="739"/>
      <c r="W7" s="1079">
        <f>IF('Rahoitus K3'!B9&gt;0,'Rahoitus K3'!K28,'Rahoitus Y3'!K28)</f>
        <v>0</v>
      </c>
      <c r="X7" s="1014" t="s">
        <v>197</v>
      </c>
      <c r="Y7" s="1022"/>
      <c r="Z7" s="1021"/>
      <c r="AA7" s="1021"/>
      <c r="AB7" s="1021"/>
      <c r="AC7" s="1021"/>
      <c r="AD7" s="1021"/>
      <c r="AE7" s="1021"/>
      <c r="AF7" s="1021"/>
      <c r="AG7" s="1021"/>
      <c r="AH7" s="1021"/>
    </row>
    <row r="8" spans="1:34" ht="12.75" customHeight="1">
      <c r="A8" s="32"/>
      <c r="B8" s="854">
        <v>2</v>
      </c>
      <c r="C8" s="1662" t="s">
        <v>339</v>
      </c>
      <c r="D8" s="1662"/>
      <c r="E8" s="1834"/>
      <c r="F8" s="606">
        <v>0.5</v>
      </c>
      <c r="G8" s="755">
        <f>$V8*G9</f>
        <v>0</v>
      </c>
      <c r="H8" s="755">
        <f t="shared" ref="H8:R8" si="2">$V8*H9</f>
        <v>0</v>
      </c>
      <c r="I8" s="755">
        <f t="shared" si="2"/>
        <v>0</v>
      </c>
      <c r="J8" s="755">
        <f t="shared" si="2"/>
        <v>0</v>
      </c>
      <c r="K8" s="755">
        <f t="shared" si="2"/>
        <v>0</v>
      </c>
      <c r="L8" s="755">
        <f t="shared" si="2"/>
        <v>0</v>
      </c>
      <c r="M8" s="755">
        <f t="shared" si="2"/>
        <v>0</v>
      </c>
      <c r="N8" s="755">
        <f t="shared" si="2"/>
        <v>0</v>
      </c>
      <c r="O8" s="755">
        <f t="shared" si="2"/>
        <v>0</v>
      </c>
      <c r="P8" s="755">
        <f t="shared" si="2"/>
        <v>0</v>
      </c>
      <c r="Q8" s="755">
        <f t="shared" si="2"/>
        <v>0</v>
      </c>
      <c r="R8" s="755">
        <f t="shared" si="2"/>
        <v>0</v>
      </c>
      <c r="S8" s="1071">
        <f t="shared" ref="S8:S14" si="3">SUM(G8:R8)</f>
        <v>0</v>
      </c>
      <c r="T8" s="49"/>
      <c r="U8" s="747">
        <f t="shared" ref="U8:U14" si="4">B8</f>
        <v>2</v>
      </c>
      <c r="V8" s="770">
        <f>F8*V11</f>
        <v>0</v>
      </c>
      <c r="W8" s="772"/>
      <c r="X8" s="1015" t="s">
        <v>451</v>
      </c>
      <c r="Y8" s="1020"/>
      <c r="Z8" s="1021"/>
      <c r="AA8" s="1021"/>
      <c r="AB8" s="1021"/>
      <c r="AC8" s="1021"/>
      <c r="AD8" s="1021"/>
      <c r="AE8" s="1021"/>
      <c r="AF8" s="1021"/>
      <c r="AG8" s="1021"/>
      <c r="AH8" s="1021"/>
    </row>
    <row r="9" spans="1:34" ht="12.75" customHeight="1">
      <c r="A9" s="32"/>
      <c r="B9" s="854"/>
      <c r="C9" s="607"/>
      <c r="D9" s="1662" t="s">
        <v>149</v>
      </c>
      <c r="E9" s="1662"/>
      <c r="F9" s="1834"/>
      <c r="G9" s="756">
        <v>0.04</v>
      </c>
      <c r="H9" s="756">
        <v>0.06</v>
      </c>
      <c r="I9" s="756">
        <v>0.06</v>
      </c>
      <c r="J9" s="756">
        <v>7.0000000000000007E-2</v>
      </c>
      <c r="K9" s="756">
        <v>0.08</v>
      </c>
      <c r="L9" s="756">
        <v>0.09</v>
      </c>
      <c r="M9" s="756">
        <v>0.1</v>
      </c>
      <c r="N9" s="756">
        <v>0.1</v>
      </c>
      <c r="O9" s="756">
        <v>0.1</v>
      </c>
      <c r="P9" s="756">
        <v>0.1</v>
      </c>
      <c r="Q9" s="756">
        <v>0.1</v>
      </c>
      <c r="R9" s="756">
        <v>0.1</v>
      </c>
      <c r="S9" s="1072">
        <f t="shared" si="3"/>
        <v>0.99999999999999989</v>
      </c>
      <c r="T9" s="313" t="str">
        <f>IF(F8=0," ",IF(S9=100%," ","VIRHE!"))</f>
        <v xml:space="preserve"> </v>
      </c>
      <c r="U9" s="747">
        <f t="shared" si="4"/>
        <v>0</v>
      </c>
      <c r="V9" s="748"/>
      <c r="W9" s="770"/>
      <c r="X9" s="1015"/>
      <c r="Y9" s="1020"/>
      <c r="Z9" s="1021"/>
      <c r="AA9" s="1021"/>
      <c r="AB9" s="1021"/>
      <c r="AC9" s="1021"/>
      <c r="AD9" s="1021"/>
      <c r="AE9" s="1021"/>
      <c r="AF9" s="1021"/>
      <c r="AG9" s="1021"/>
      <c r="AH9" s="1021"/>
    </row>
    <row r="10" spans="1:34" ht="12.75" customHeight="1">
      <c r="A10" s="32"/>
      <c r="B10" s="854">
        <v>3</v>
      </c>
      <c r="C10" s="1662" t="s">
        <v>117</v>
      </c>
      <c r="D10" s="1662"/>
      <c r="E10" s="1662"/>
      <c r="F10" s="1834"/>
      <c r="G10" s="755">
        <f>$V10*G11</f>
        <v>0</v>
      </c>
      <c r="H10" s="755">
        <f t="shared" ref="H10:R10" si="5">$V10*H11</f>
        <v>0</v>
      </c>
      <c r="I10" s="755">
        <f t="shared" si="5"/>
        <v>0</v>
      </c>
      <c r="J10" s="755">
        <f t="shared" si="5"/>
        <v>0</v>
      </c>
      <c r="K10" s="755">
        <f t="shared" si="5"/>
        <v>0</v>
      </c>
      <c r="L10" s="755">
        <f t="shared" si="5"/>
        <v>0</v>
      </c>
      <c r="M10" s="755">
        <f t="shared" si="5"/>
        <v>0</v>
      </c>
      <c r="N10" s="755">
        <f t="shared" si="5"/>
        <v>0</v>
      </c>
      <c r="O10" s="755">
        <f t="shared" si="5"/>
        <v>0</v>
      </c>
      <c r="P10" s="755">
        <f t="shared" si="5"/>
        <v>0</v>
      </c>
      <c r="Q10" s="755">
        <f t="shared" si="5"/>
        <v>0</v>
      </c>
      <c r="R10" s="755">
        <f t="shared" si="5"/>
        <v>0</v>
      </c>
      <c r="S10" s="1071">
        <f t="shared" si="3"/>
        <v>0</v>
      </c>
      <c r="T10" s="290"/>
      <c r="U10" s="747">
        <f t="shared" si="4"/>
        <v>3</v>
      </c>
      <c r="V10" s="770">
        <f>V11-V8</f>
        <v>0</v>
      </c>
      <c r="W10" s="772"/>
      <c r="X10" s="1015" t="s">
        <v>452</v>
      </c>
      <c r="Y10" s="1020"/>
      <c r="Z10" s="1021"/>
      <c r="AA10" s="1021"/>
      <c r="AB10" s="1021"/>
      <c r="AC10" s="1021"/>
      <c r="AD10" s="1021"/>
      <c r="AE10" s="1021"/>
      <c r="AF10" s="1021"/>
      <c r="AG10" s="1021"/>
      <c r="AH10" s="1021"/>
    </row>
    <row r="11" spans="1:34" ht="12.75" customHeight="1">
      <c r="A11" s="32"/>
      <c r="B11" s="854"/>
      <c r="C11" s="607"/>
      <c r="D11" s="1662" t="s">
        <v>198</v>
      </c>
      <c r="E11" s="1662"/>
      <c r="F11" s="1834"/>
      <c r="G11" s="756">
        <v>0.04</v>
      </c>
      <c r="H11" s="756">
        <v>0.06</v>
      </c>
      <c r="I11" s="756">
        <v>0.06</v>
      </c>
      <c r="J11" s="756">
        <v>7.0000000000000007E-2</v>
      </c>
      <c r="K11" s="756">
        <v>0.08</v>
      </c>
      <c r="L11" s="756">
        <v>0.09</v>
      </c>
      <c r="M11" s="756">
        <v>0.1</v>
      </c>
      <c r="N11" s="756">
        <v>0.1</v>
      </c>
      <c r="O11" s="756">
        <v>0.1</v>
      </c>
      <c r="P11" s="756">
        <v>0.1</v>
      </c>
      <c r="Q11" s="756">
        <v>0.1</v>
      </c>
      <c r="R11" s="756">
        <v>0.1</v>
      </c>
      <c r="S11" s="1072">
        <f t="shared" si="3"/>
        <v>0.99999999999999989</v>
      </c>
      <c r="T11" s="313" t="str">
        <f>IF(F8=100%," ",IF(S11=100%," ","VIRHE!"))</f>
        <v xml:space="preserve"> </v>
      </c>
      <c r="U11" s="747">
        <f t="shared" si="4"/>
        <v>0</v>
      </c>
      <c r="V11" s="956">
        <f>IF('Rahoitus K3'!B9&gt;0,IF('Kustannukset K1'!F13=12,'Rahoitus K3'!F41,IF('Kustannukset K1'!F13&lt;12,12*('Rahoitus K3'!F41+'Rahoitus K3'!H41)/('Rahoitus K3'!F39+'Rahoitus K3'!H39),12*'Rahoitus K3'!F41/'Kustannukset K1'!F13)),IF('Kustannukset Y1'!F13=12,'Rahoitus Y3'!F41,IF('Rahoitus Y3'!F39&lt;12,12*('Rahoitus Y3'!F41+'Rahoitus Y3'!H41)/('Rahoitus Y3'!F39+'Rahoitus Y3'!H39),12*'Rahoitus Y3'!F41/'Kustannukset Y1'!F13)))</f>
        <v>0</v>
      </c>
      <c r="W11" s="957"/>
      <c r="X11" s="1016" t="s">
        <v>603</v>
      </c>
      <c r="Y11" s="1020"/>
      <c r="Z11" s="1021"/>
      <c r="AA11" s="1021"/>
      <c r="AB11" s="1021"/>
      <c r="AC11" s="1021"/>
      <c r="AD11" s="1021"/>
      <c r="AE11" s="1021"/>
      <c r="AF11" s="1021"/>
      <c r="AG11" s="1021"/>
      <c r="AH11" s="1021"/>
    </row>
    <row r="12" spans="1:34" ht="12.75" customHeight="1">
      <c r="A12" s="32"/>
      <c r="B12" s="854"/>
      <c r="C12" s="607"/>
      <c r="D12" s="281" t="s">
        <v>150</v>
      </c>
      <c r="E12" s="757">
        <v>14</v>
      </c>
      <c r="F12" s="752" t="s">
        <v>151</v>
      </c>
      <c r="G12" s="755">
        <f>'3 AT Kassa'!C25</f>
        <v>0</v>
      </c>
      <c r="H12" s="755">
        <f>'3 AT Kassa'!D25</f>
        <v>0</v>
      </c>
      <c r="I12" s="755">
        <f>'3 AT Kassa'!E25</f>
        <v>0</v>
      </c>
      <c r="J12" s="755">
        <f>'3 AT Kassa'!F25</f>
        <v>0</v>
      </c>
      <c r="K12" s="755">
        <f>'3 AT Kassa'!G25</f>
        <v>0</v>
      </c>
      <c r="L12" s="755">
        <f>'3 AT Kassa'!H25</f>
        <v>0</v>
      </c>
      <c r="M12" s="755">
        <f>'3 AT Kassa'!I25</f>
        <v>0</v>
      </c>
      <c r="N12" s="755">
        <f>'3 AT Kassa'!J25</f>
        <v>0</v>
      </c>
      <c r="O12" s="755">
        <f>'3 AT Kassa'!K25</f>
        <v>0</v>
      </c>
      <c r="P12" s="755">
        <f>'3 AT Kassa'!L25</f>
        <v>0</v>
      </c>
      <c r="Q12" s="755">
        <f>'3 AT Kassa'!M25</f>
        <v>0</v>
      </c>
      <c r="R12" s="755">
        <f>'3 AT Kassa'!N25</f>
        <v>0</v>
      </c>
      <c r="S12" s="1071">
        <f t="shared" si="3"/>
        <v>0</v>
      </c>
      <c r="T12" s="49"/>
      <c r="U12" s="747">
        <f t="shared" si="4"/>
        <v>0</v>
      </c>
      <c r="V12" s="748"/>
      <c r="W12" s="770"/>
      <c r="X12" s="1015"/>
      <c r="Y12" s="1020"/>
      <c r="Z12" s="1021"/>
      <c r="AA12" s="1021"/>
      <c r="AB12" s="1021"/>
      <c r="AC12" s="1021"/>
      <c r="AD12" s="1021"/>
      <c r="AE12" s="1021"/>
      <c r="AF12" s="1021"/>
      <c r="AG12" s="1021"/>
      <c r="AH12" s="1021"/>
    </row>
    <row r="13" spans="1:34" ht="12.75" customHeight="1">
      <c r="A13" s="32"/>
      <c r="B13" s="854">
        <v>4</v>
      </c>
      <c r="C13" s="1662" t="s">
        <v>105</v>
      </c>
      <c r="D13" s="1839"/>
      <c r="E13" s="1839"/>
      <c r="F13" s="752"/>
      <c r="G13" s="1460">
        <f>W13</f>
        <v>0</v>
      </c>
      <c r="H13" s="758">
        <v>0</v>
      </c>
      <c r="I13" s="758">
        <v>0</v>
      </c>
      <c r="J13" s="758">
        <v>0</v>
      </c>
      <c r="K13" s="758">
        <v>0</v>
      </c>
      <c r="L13" s="758">
        <v>0</v>
      </c>
      <c r="M13" s="758">
        <v>0</v>
      </c>
      <c r="N13" s="758">
        <v>0</v>
      </c>
      <c r="O13" s="758">
        <v>0</v>
      </c>
      <c r="P13" s="758">
        <v>0</v>
      </c>
      <c r="Q13" s="758">
        <v>0</v>
      </c>
      <c r="R13" s="758">
        <v>0</v>
      </c>
      <c r="S13" s="1071">
        <f t="shared" si="3"/>
        <v>0</v>
      </c>
      <c r="T13" s="49"/>
      <c r="U13" s="747">
        <f t="shared" si="4"/>
        <v>4</v>
      </c>
      <c r="V13" s="748"/>
      <c r="W13" s="748" cm="1">
        <f t="array" ref="W13:X13">IF('Kustannukset K1'!C9:D9&gt;0,'Rahoitus K3'!K16,'Rahoitus Y3'!K16)</f>
        <v>0</v>
      </c>
      <c r="X13" s="1015">
        <v>0</v>
      </c>
      <c r="Y13" s="1020"/>
      <c r="Z13" s="1021"/>
      <c r="AA13" s="1021"/>
      <c r="AB13" s="1021"/>
      <c r="AC13" s="1021"/>
      <c r="AD13" s="1021"/>
      <c r="AE13" s="1021"/>
      <c r="AF13" s="1021"/>
      <c r="AG13" s="1021"/>
      <c r="AH13" s="1021"/>
    </row>
    <row r="14" spans="1:34" ht="12.75" customHeight="1">
      <c r="A14" s="32"/>
      <c r="B14" s="1010">
        <v>5</v>
      </c>
      <c r="C14" s="1840" t="s">
        <v>511</v>
      </c>
      <c r="D14" s="1841"/>
      <c r="E14" s="1841"/>
      <c r="F14" s="1011"/>
      <c r="G14" s="1013">
        <v>0</v>
      </c>
      <c r="H14" s="1013">
        <v>0</v>
      </c>
      <c r="I14" s="1013">
        <v>0</v>
      </c>
      <c r="J14" s="1013">
        <v>0</v>
      </c>
      <c r="K14" s="1013">
        <v>0</v>
      </c>
      <c r="L14" s="1013">
        <v>0</v>
      </c>
      <c r="M14" s="1013">
        <v>0</v>
      </c>
      <c r="N14" s="1486">
        <f>W14</f>
        <v>0</v>
      </c>
      <c r="O14" s="1013">
        <v>0</v>
      </c>
      <c r="P14" s="1013">
        <v>0</v>
      </c>
      <c r="Q14" s="1013">
        <v>0</v>
      </c>
      <c r="R14" s="1013">
        <v>0</v>
      </c>
      <c r="S14" s="1073">
        <f t="shared" si="3"/>
        <v>0</v>
      </c>
      <c r="T14" s="49"/>
      <c r="U14" s="747">
        <f t="shared" si="4"/>
        <v>5</v>
      </c>
      <c r="V14" s="772"/>
      <c r="W14" s="770">
        <f>IF('Rahoitus K3'!B9&gt;0,'Rahoitus K3'!K23,'Rahoitus Y3'!K24)</f>
        <v>0</v>
      </c>
      <c r="X14" s="1015" t="s">
        <v>602</v>
      </c>
      <c r="Y14" s="1020"/>
      <c r="Z14" s="1021"/>
      <c r="AA14" s="1021"/>
      <c r="AB14" s="1021"/>
      <c r="AC14" s="1021"/>
      <c r="AD14" s="1021"/>
      <c r="AE14" s="1021"/>
      <c r="AF14" s="1021"/>
      <c r="AG14" s="1021"/>
      <c r="AH14" s="1021"/>
    </row>
    <row r="15" spans="1:34" ht="17.149999999999999" customHeight="1">
      <c r="A15" s="32"/>
      <c r="B15" s="1355"/>
      <c r="C15" s="1826" t="s">
        <v>106</v>
      </c>
      <c r="D15" s="1826"/>
      <c r="E15" s="1826"/>
      <c r="F15" s="1356"/>
      <c r="G15" s="1357">
        <f>G8+G12+G13+G14</f>
        <v>0</v>
      </c>
      <c r="H15" s="1357">
        <f>H8+H12+H13+H14</f>
        <v>0</v>
      </c>
      <c r="I15" s="1357">
        <f>I8+I12+I13+I14</f>
        <v>0</v>
      </c>
      <c r="J15" s="1357">
        <f t="shared" ref="J15:R15" si="6">J8+J12+J13+J14</f>
        <v>0</v>
      </c>
      <c r="K15" s="1357">
        <f t="shared" si="6"/>
        <v>0</v>
      </c>
      <c r="L15" s="1357">
        <f t="shared" si="6"/>
        <v>0</v>
      </c>
      <c r="M15" s="1357">
        <f t="shared" si="6"/>
        <v>0</v>
      </c>
      <c r="N15" s="1357">
        <f t="shared" si="6"/>
        <v>0</v>
      </c>
      <c r="O15" s="1357">
        <f t="shared" si="6"/>
        <v>0</v>
      </c>
      <c r="P15" s="1357">
        <f t="shared" si="6"/>
        <v>0</v>
      </c>
      <c r="Q15" s="1357">
        <f t="shared" si="6"/>
        <v>0</v>
      </c>
      <c r="R15" s="1357">
        <f t="shared" si="6"/>
        <v>0</v>
      </c>
      <c r="S15" s="1357">
        <f>SUM(G15:R15)</f>
        <v>0</v>
      </c>
      <c r="T15" s="49"/>
      <c r="U15" s="629"/>
      <c r="V15" s="773"/>
      <c r="W15" s="749">
        <v>0</v>
      </c>
      <c r="X15" s="1017" t="s">
        <v>0</v>
      </c>
      <c r="Y15" s="1020"/>
      <c r="Z15" s="1021"/>
      <c r="AA15" s="1021"/>
      <c r="AB15" s="1021"/>
      <c r="AC15" s="1021"/>
      <c r="AD15" s="1021"/>
      <c r="AE15" s="1021"/>
      <c r="AF15" s="1021"/>
      <c r="AG15" s="1021"/>
      <c r="AH15" s="1021"/>
    </row>
    <row r="16" spans="1:34" ht="7.85" customHeight="1">
      <c r="A16" s="32"/>
      <c r="B16" s="768"/>
      <c r="C16" s="32"/>
      <c r="D16" s="32"/>
      <c r="E16" s="32"/>
      <c r="F16" s="32"/>
      <c r="G16" s="85"/>
      <c r="H16" s="85"/>
      <c r="I16" s="85"/>
      <c r="J16" s="85"/>
      <c r="K16" s="85"/>
      <c r="L16" s="85"/>
      <c r="M16" s="85"/>
      <c r="N16" s="85"/>
      <c r="O16" s="85"/>
      <c r="P16" s="85"/>
      <c r="Q16" s="85"/>
      <c r="R16" s="85"/>
      <c r="S16" s="18" t="s">
        <v>0</v>
      </c>
      <c r="T16" s="46"/>
      <c r="U16" s="750"/>
      <c r="V16" s="774"/>
      <c r="W16" s="751"/>
      <c r="X16" s="630"/>
      <c r="Y16" s="1020"/>
      <c r="Z16" s="1021"/>
      <c r="AA16" s="1021"/>
      <c r="AB16" s="1021"/>
      <c r="AC16" s="1021"/>
      <c r="AD16" s="1021"/>
      <c r="AE16" s="1021"/>
      <c r="AF16" s="1021"/>
      <c r="AG16" s="1021"/>
      <c r="AH16" s="1021"/>
    </row>
    <row r="17" spans="1:34" ht="15" customHeight="1">
      <c r="A17" s="32"/>
      <c r="B17" s="1354"/>
      <c r="C17" s="1838" t="s">
        <v>107</v>
      </c>
      <c r="D17" s="1838"/>
      <c r="E17" s="1838"/>
      <c r="F17" s="1465" t="s">
        <v>103</v>
      </c>
      <c r="G17" s="1466">
        <f>G6</f>
        <v>45292</v>
      </c>
      <c r="H17" s="1463">
        <f t="shared" ref="H17:R17" si="7">H6</f>
        <v>45323</v>
      </c>
      <c r="I17" s="1466">
        <f t="shared" si="7"/>
        <v>45354</v>
      </c>
      <c r="J17" s="1466">
        <f t="shared" si="7"/>
        <v>45385</v>
      </c>
      <c r="K17" s="1466">
        <f t="shared" si="7"/>
        <v>45416</v>
      </c>
      <c r="L17" s="1466">
        <f t="shared" si="7"/>
        <v>45447</v>
      </c>
      <c r="M17" s="1466">
        <f t="shared" si="7"/>
        <v>45478</v>
      </c>
      <c r="N17" s="1466">
        <f t="shared" si="7"/>
        <v>45509</v>
      </c>
      <c r="O17" s="1466">
        <f t="shared" si="7"/>
        <v>45540</v>
      </c>
      <c r="P17" s="1466">
        <f t="shared" si="7"/>
        <v>45571</v>
      </c>
      <c r="Q17" s="1466">
        <f t="shared" si="7"/>
        <v>45602</v>
      </c>
      <c r="R17" s="1466">
        <f t="shared" si="7"/>
        <v>45633</v>
      </c>
      <c r="S17" s="1467" t="str">
        <f>+S6</f>
        <v>YHT</v>
      </c>
      <c r="T17" s="226"/>
      <c r="U17" s="1076"/>
      <c r="V17" s="1077" t="s">
        <v>221</v>
      </c>
      <c r="W17" s="1075" t="s">
        <v>220</v>
      </c>
      <c r="X17" s="1018"/>
      <c r="Y17" s="1020"/>
      <c r="Z17" s="1021"/>
      <c r="AA17" s="1021"/>
      <c r="AB17" s="1021"/>
      <c r="AC17" s="1021"/>
      <c r="AD17" s="1021"/>
      <c r="AE17" s="1021"/>
      <c r="AF17" s="1021"/>
      <c r="AG17" s="1021"/>
      <c r="AH17" s="1021"/>
    </row>
    <row r="18" spans="1:34" ht="12.75" customHeight="1">
      <c r="A18" s="294" t="s">
        <v>0</v>
      </c>
      <c r="B18" s="1848">
        <v>6</v>
      </c>
      <c r="C18" s="1832" t="s">
        <v>765</v>
      </c>
      <c r="D18" s="1833"/>
      <c r="E18" s="1833"/>
      <c r="F18" s="1468">
        <v>24</v>
      </c>
      <c r="G18" s="1469">
        <f>0.5*('2 AT Palkat, alv'!E54)</f>
        <v>0</v>
      </c>
      <c r="H18" s="1469">
        <f>0.5*('2 AT Palkat, alv'!E54+'2 AT Palkat, alv'!F54)</f>
        <v>0</v>
      </c>
      <c r="I18" s="1469">
        <f>0.5*('2 AT Palkat, alv'!F54+'2 AT Palkat, alv'!G54)</f>
        <v>0</v>
      </c>
      <c r="J18" s="1469">
        <f>0.5*('2 AT Palkat, alv'!G54+'2 AT Palkat, alv'!H54)</f>
        <v>0</v>
      </c>
      <c r="K18" s="1469">
        <f>0.5*('2 AT Palkat, alv'!H54+'2 AT Palkat, alv'!I54)</f>
        <v>0</v>
      </c>
      <c r="L18" s="1469">
        <f>0.5*('2 AT Palkat, alv'!I54+'2 AT Palkat, alv'!J54)</f>
        <v>0</v>
      </c>
      <c r="M18" s="1469">
        <f>0.5*('2 AT Palkat, alv'!J54+'2 AT Palkat, alv'!K54)</f>
        <v>0</v>
      </c>
      <c r="N18" s="1469">
        <f>0.5*('2 AT Palkat, alv'!K54+'2 AT Palkat, alv'!L54)</f>
        <v>0</v>
      </c>
      <c r="O18" s="1469">
        <f>0.5*('2 AT Palkat, alv'!L54+'2 AT Palkat, alv'!M54)</f>
        <v>0</v>
      </c>
      <c r="P18" s="1469">
        <f>0.5*('2 AT Palkat, alv'!M54+'2 AT Palkat, alv'!N54)</f>
        <v>0</v>
      </c>
      <c r="Q18" s="1469">
        <f>0.5*('2 AT Palkat, alv'!N54+'2 AT Palkat, alv'!O54)</f>
        <v>0</v>
      </c>
      <c r="R18" s="1469">
        <f>0.5*('2 AT Palkat, alv'!O54+'2 AT Palkat, alv'!P54)</f>
        <v>0</v>
      </c>
      <c r="S18" s="1470">
        <f>SUM(G18:R18)</f>
        <v>0</v>
      </c>
      <c r="T18" s="49"/>
      <c r="U18" s="747">
        <f t="shared" ref="U18:U27" si="8">B18</f>
        <v>6</v>
      </c>
      <c r="V18" s="855">
        <f>W18+W18*F18/100</f>
        <v>0</v>
      </c>
      <c r="W18" s="855">
        <f>IF('Kustannukset K1'!C9&gt;0,'Myynti K2'!C219,'Myynti Y2'!C239)</f>
        <v>0</v>
      </c>
      <c r="X18" s="1016" t="s">
        <v>745</v>
      </c>
      <c r="Y18" s="1020"/>
      <c r="Z18" s="1021"/>
      <c r="AA18" s="1021"/>
      <c r="AB18" s="1021"/>
      <c r="AC18" s="1021"/>
      <c r="AD18" s="1021"/>
      <c r="AE18" s="1021"/>
      <c r="AF18" s="1021"/>
      <c r="AG18" s="1021"/>
      <c r="AH18" s="1021"/>
    </row>
    <row r="19" spans="1:34" ht="12.75" customHeight="1">
      <c r="A19" s="294"/>
      <c r="B19" s="1849"/>
      <c r="C19" s="1847" t="s">
        <v>762</v>
      </c>
      <c r="D19" s="1847"/>
      <c r="E19" s="1001"/>
      <c r="F19" s="1471"/>
      <c r="G19" s="1472">
        <f>IF($W19&gt;0,$W19*(G8+G10)/$V11,0)</f>
        <v>0</v>
      </c>
      <c r="H19" s="1472">
        <f t="shared" ref="H19:R19" si="9">IF($W19&gt;0,$W19*(H8+H10)/$V11,0)</f>
        <v>0</v>
      </c>
      <c r="I19" s="1472">
        <f t="shared" si="9"/>
        <v>0</v>
      </c>
      <c r="J19" s="1472">
        <f t="shared" si="9"/>
        <v>0</v>
      </c>
      <c r="K19" s="1472">
        <f t="shared" si="9"/>
        <v>0</v>
      </c>
      <c r="L19" s="1472">
        <f t="shared" si="9"/>
        <v>0</v>
      </c>
      <c r="M19" s="1472">
        <f t="shared" si="9"/>
        <v>0</v>
      </c>
      <c r="N19" s="1472">
        <f t="shared" si="9"/>
        <v>0</v>
      </c>
      <c r="O19" s="1472">
        <f t="shared" si="9"/>
        <v>0</v>
      </c>
      <c r="P19" s="1472">
        <f t="shared" si="9"/>
        <v>0</v>
      </c>
      <c r="Q19" s="1472">
        <f t="shared" si="9"/>
        <v>0</v>
      </c>
      <c r="R19" s="1472">
        <f t="shared" si="9"/>
        <v>0</v>
      </c>
      <c r="S19" s="1473">
        <f>SUM(G19:R19)</f>
        <v>0</v>
      </c>
      <c r="T19" s="49"/>
      <c r="U19" s="1002"/>
      <c r="V19" s="1003"/>
      <c r="W19" s="855">
        <f>IF('Kustannukset K1'!C9&gt;0,'Myynti K2'!C222,0)</f>
        <v>0</v>
      </c>
      <c r="X19" s="1016" t="s">
        <v>763</v>
      </c>
      <c r="Y19" s="1020"/>
      <c r="Z19" s="1021"/>
      <c r="AA19" s="1021"/>
      <c r="AB19" s="1021"/>
      <c r="AC19" s="1021"/>
      <c r="AD19" s="1021"/>
      <c r="AE19" s="1021"/>
      <c r="AF19" s="1021"/>
      <c r="AG19" s="1021"/>
      <c r="AH19" s="1021"/>
    </row>
    <row r="20" spans="1:34" ht="12.75" customHeight="1">
      <c r="A20" s="32"/>
      <c r="B20" s="850">
        <v>7</v>
      </c>
      <c r="C20" s="1820" t="s">
        <v>758</v>
      </c>
      <c r="D20" s="1821"/>
      <c r="E20" s="1821"/>
      <c r="F20" s="1474">
        <v>24</v>
      </c>
      <c r="G20" s="1475">
        <f t="shared" ref="G20:R24" si="10">$W20/12*(1+$F20/100)</f>
        <v>0</v>
      </c>
      <c r="H20" s="1475">
        <f t="shared" si="10"/>
        <v>0</v>
      </c>
      <c r="I20" s="1475">
        <f t="shared" si="10"/>
        <v>0</v>
      </c>
      <c r="J20" s="1475">
        <f t="shared" si="10"/>
        <v>0</v>
      </c>
      <c r="K20" s="1475">
        <f t="shared" si="10"/>
        <v>0</v>
      </c>
      <c r="L20" s="1475">
        <f t="shared" si="10"/>
        <v>0</v>
      </c>
      <c r="M20" s="1475">
        <f t="shared" si="10"/>
        <v>0</v>
      </c>
      <c r="N20" s="1475">
        <f t="shared" si="10"/>
        <v>0</v>
      </c>
      <c r="O20" s="1475">
        <f t="shared" si="10"/>
        <v>0</v>
      </c>
      <c r="P20" s="1475">
        <f t="shared" si="10"/>
        <v>0</v>
      </c>
      <c r="Q20" s="1475">
        <f t="shared" si="10"/>
        <v>0</v>
      </c>
      <c r="R20" s="1475">
        <f t="shared" si="10"/>
        <v>0</v>
      </c>
      <c r="S20" s="1476">
        <f t="shared" ref="S20:S51" si="11">SUM(G20:R20)</f>
        <v>0</v>
      </c>
      <c r="T20" s="49"/>
      <c r="U20" s="747">
        <f t="shared" si="8"/>
        <v>7</v>
      </c>
      <c r="V20" s="855">
        <f t="shared" ref="V20:V27" si="12">W20*(1+F20/100)</f>
        <v>0</v>
      </c>
      <c r="W20" s="855">
        <f>IF('Kustannukset K1'!$C$9&gt;0,(IF('Kustannukset K1'!$F$13=12,'Kustannukset K1'!$F48,IF('Kustannukset K1'!$F$13&lt;12,12*(('Kustannukset K1'!$F48+'Kustannukset K1'!$G48)/('Kustannukset K1'!$F$13+'Kustannukset K1'!$G$13)),12*'Kustannukset K1'!$F48/'Kustannukset K1'!$F$13))),(IF('Kustannukset Y1'!$F$13=12,'Kustannukset Y1'!$F48,IF('Kustannukset Y1'!$F$13&lt;12,12*(('Kustannukset Y1'!$F48+'Kustannukset Y1'!$G48)/('Kustannukset Y1'!$F$13+'Kustannukset Y1'!$G$13)),12*'Kustannukset Y1'!$F48/'Kustannukset Y1'!$F$13))))</f>
        <v>0</v>
      </c>
      <c r="X20" s="1015"/>
      <c r="Y20" s="1020"/>
      <c r="Z20" s="1021"/>
      <c r="AA20" s="1021"/>
      <c r="AB20" s="1021"/>
      <c r="AC20" s="1021"/>
      <c r="AD20" s="1021"/>
      <c r="AE20" s="1021"/>
      <c r="AF20" s="1021"/>
      <c r="AG20" s="1021"/>
      <c r="AH20" s="1021"/>
    </row>
    <row r="21" spans="1:34" ht="12.75" customHeight="1">
      <c r="A21" s="32"/>
      <c r="B21" s="850">
        <v>8</v>
      </c>
      <c r="C21" s="1820" t="s">
        <v>292</v>
      </c>
      <c r="D21" s="1821"/>
      <c r="E21" s="1821"/>
      <c r="F21" s="1474">
        <v>24</v>
      </c>
      <c r="G21" s="1475">
        <f t="shared" si="10"/>
        <v>0</v>
      </c>
      <c r="H21" s="1475">
        <f t="shared" si="10"/>
        <v>0</v>
      </c>
      <c r="I21" s="1475">
        <f t="shared" si="10"/>
        <v>0</v>
      </c>
      <c r="J21" s="1475">
        <f t="shared" si="10"/>
        <v>0</v>
      </c>
      <c r="K21" s="1475">
        <f t="shared" si="10"/>
        <v>0</v>
      </c>
      <c r="L21" s="1475">
        <f t="shared" si="10"/>
        <v>0</v>
      </c>
      <c r="M21" s="1475">
        <f t="shared" si="10"/>
        <v>0</v>
      </c>
      <c r="N21" s="1475">
        <f t="shared" si="10"/>
        <v>0</v>
      </c>
      <c r="O21" s="1475">
        <f t="shared" si="10"/>
        <v>0</v>
      </c>
      <c r="P21" s="1475">
        <f t="shared" si="10"/>
        <v>0</v>
      </c>
      <c r="Q21" s="1475">
        <f t="shared" si="10"/>
        <v>0</v>
      </c>
      <c r="R21" s="1475">
        <f t="shared" si="10"/>
        <v>0</v>
      </c>
      <c r="S21" s="1476">
        <f t="shared" si="11"/>
        <v>0</v>
      </c>
      <c r="T21" s="49"/>
      <c r="U21" s="747">
        <f t="shared" si="8"/>
        <v>8</v>
      </c>
      <c r="V21" s="855">
        <f t="shared" si="12"/>
        <v>0</v>
      </c>
      <c r="W21" s="855">
        <f>IF('Kustannukset K1'!$C$9&gt;0,(IF('Kustannukset K1'!$F$13=12,'Kustannukset K1'!$F59+'Kustannukset K1'!F75,IF('Kustannukset K1'!F$13&lt;12,12*(('Kustannukset K1'!F59+'Kustannukset K1'!G59+'Kustannukset K1'!F75+'Kustannukset K1'!G75)/('Kustannukset K1'!F$13+'Kustannukset K1'!G$13)),12*('Kustannukset K1'!F59+'Kustannukset K1'!F75)/'Kustannukset K1'!F$13))),(IF('Kustannukset Y1'!F$13=12,'Kustannukset Y1'!F59+'Kustannukset Y1'!F75,IF('Kustannukset Y1'!F$13&lt;12,12*(('Kustannukset Y1'!F59+'Kustannukset Y1'!G59+'Kustannukset Y1'!F75+'Kustannukset Y1'!G75)/('Kustannukset Y1'!F$13+'Kustannukset Y1'!G$13)),12*('Kustannukset Y1'!F59+'Kustannukset Y1'!F75)/'Kustannukset Y1'!F$13))))</f>
        <v>0</v>
      </c>
      <c r="X21" s="1015"/>
      <c r="Y21" s="1020"/>
      <c r="Z21" s="1021"/>
      <c r="AA21" s="1021"/>
      <c r="AB21" s="1021"/>
      <c r="AC21" s="1021"/>
      <c r="AD21" s="1021"/>
      <c r="AE21" s="1021"/>
      <c r="AF21" s="1021"/>
      <c r="AG21" s="1021"/>
      <c r="AH21" s="1021"/>
    </row>
    <row r="22" spans="1:34" ht="12.75" customHeight="1">
      <c r="A22" s="32"/>
      <c r="B22" s="850">
        <v>9</v>
      </c>
      <c r="C22" s="1820" t="s">
        <v>118</v>
      </c>
      <c r="D22" s="1821"/>
      <c r="E22" s="1821"/>
      <c r="F22" s="1474">
        <v>24</v>
      </c>
      <c r="G22" s="1475">
        <f t="shared" si="10"/>
        <v>0</v>
      </c>
      <c r="H22" s="1475">
        <f t="shared" si="10"/>
        <v>0</v>
      </c>
      <c r="I22" s="1475">
        <f t="shared" si="10"/>
        <v>0</v>
      </c>
      <c r="J22" s="1475">
        <f t="shared" si="10"/>
        <v>0</v>
      </c>
      <c r="K22" s="1475">
        <f t="shared" si="10"/>
        <v>0</v>
      </c>
      <c r="L22" s="1475">
        <f t="shared" si="10"/>
        <v>0</v>
      </c>
      <c r="M22" s="1475">
        <f t="shared" si="10"/>
        <v>0</v>
      </c>
      <c r="N22" s="1475">
        <f t="shared" si="10"/>
        <v>0</v>
      </c>
      <c r="O22" s="1475">
        <f t="shared" si="10"/>
        <v>0</v>
      </c>
      <c r="P22" s="1475">
        <f t="shared" si="10"/>
        <v>0</v>
      </c>
      <c r="Q22" s="1475">
        <f t="shared" si="10"/>
        <v>0</v>
      </c>
      <c r="R22" s="1475">
        <f t="shared" si="10"/>
        <v>0</v>
      </c>
      <c r="S22" s="1476">
        <f t="shared" si="11"/>
        <v>0</v>
      </c>
      <c r="T22" s="49"/>
      <c r="U22" s="747">
        <f t="shared" si="8"/>
        <v>9</v>
      </c>
      <c r="V22" s="855">
        <f t="shared" si="12"/>
        <v>0</v>
      </c>
      <c r="W22" s="855">
        <f>IF('Kustannukset K1'!C$9&gt;0,(IF('Kustannukset K1'!F$13=12,'Kustannukset K1'!F51+'Kustannukset K1'!F52+'Kustannukset K1'!F53,IF('Kustannukset K1'!F$13&lt;12,12*(('Kustannukset K1'!F51+'Kustannukset K1'!F51+'Kustannukset K1'!F52+'Kustannukset K1'!G52+'Kustannukset K1'!F53+'Kustannukset K1'!G53)/('Kustannukset K1'!F$13+'Kustannukset K1'!G$13)),12*('Kustannukset K1'!F51+'Kustannukset K1'!F52+'Kustannukset K1'!F53)/'Kustannukset K1'!F$13))),(IF('Kustannukset Y1'!F$13=12,'Kustannukset Y1'!F51+'Kustannukset Y1'!F52+'Kustannukset Y1'!F53,IF('Kustannukset Y1'!F$13&lt;12,12*(('Kustannukset Y1'!F51+'Kustannukset Y1'!G51+'Kustannukset Y1'!F52+'Kustannukset Y1'!G52+'Kustannukset Y1'!F53+'Kustannukset Y1'!G53)/('Kustannukset Y1'!F$13+'Kustannukset Y1'!G$13)),12*('Kustannukset Y1'!F51+'Kustannukset Y1'!F52+'Kustannukset Y1'!F53)/'Kustannukset Y1'!F$13))))</f>
        <v>0</v>
      </c>
      <c r="X22" s="1015"/>
      <c r="Y22" s="1020"/>
      <c r="Z22" s="1021"/>
      <c r="AA22" s="1021"/>
      <c r="AB22" s="1021"/>
      <c r="AC22" s="1021"/>
      <c r="AD22" s="1021"/>
      <c r="AE22" s="1021"/>
      <c r="AF22" s="1021"/>
      <c r="AG22" s="1021"/>
      <c r="AH22" s="1021"/>
    </row>
    <row r="23" spans="1:34" ht="12.75" customHeight="1">
      <c r="A23" s="32"/>
      <c r="B23" s="850">
        <v>10</v>
      </c>
      <c r="C23" s="1820" t="s">
        <v>863</v>
      </c>
      <c r="D23" s="1821"/>
      <c r="E23" s="1821"/>
      <c r="F23" s="1474">
        <v>24</v>
      </c>
      <c r="G23" s="1475">
        <f>$W23/12*(1+$F23/100)</f>
        <v>0</v>
      </c>
      <c r="H23" s="1475">
        <f t="shared" si="10"/>
        <v>0</v>
      </c>
      <c r="I23" s="1475">
        <f t="shared" si="10"/>
        <v>0</v>
      </c>
      <c r="J23" s="1475">
        <f t="shared" si="10"/>
        <v>0</v>
      </c>
      <c r="K23" s="1475">
        <f t="shared" si="10"/>
        <v>0</v>
      </c>
      <c r="L23" s="1475">
        <f t="shared" si="10"/>
        <v>0</v>
      </c>
      <c r="M23" s="1475">
        <f t="shared" si="10"/>
        <v>0</v>
      </c>
      <c r="N23" s="1475">
        <f t="shared" si="10"/>
        <v>0</v>
      </c>
      <c r="O23" s="1475">
        <f t="shared" si="10"/>
        <v>0</v>
      </c>
      <c r="P23" s="1475">
        <f t="shared" si="10"/>
        <v>0</v>
      </c>
      <c r="Q23" s="1475">
        <f t="shared" si="10"/>
        <v>0</v>
      </c>
      <c r="R23" s="1475">
        <f t="shared" si="10"/>
        <v>0</v>
      </c>
      <c r="S23" s="1476">
        <f t="shared" si="11"/>
        <v>0</v>
      </c>
      <c r="T23" s="49"/>
      <c r="U23" s="747">
        <f t="shared" si="8"/>
        <v>10</v>
      </c>
      <c r="V23" s="855">
        <f>W23*(1+F23/100)</f>
        <v>0</v>
      </c>
      <c r="W23" s="855">
        <f>IF('Kustannukset K1'!C$9&gt;0,(IF('Kustannukset K1'!F$13=12,'Kustannukset K1'!F107+'Kustannukset K1'!F108+'Kustannukset K1'!F109,IF('Kustannukset K1'!F$13&lt;12,12*(('Kustannukset K1'!F107+'Kustannukset K1'!F108+'Kustannukset K1'!F109+'Kustannukset K1'!G107+'Kustannukset K1'!G108+'Kustannukset K1'!G109)/('Kustannukset K1'!F$13+'Kustannukset K1'!G$13)),12*('Kustannukset K1'!F107+'Kustannukset K1'!F108+'Kustannukset K1'!F109)/'Kustannukset K1'!F$13))),(IF('Kustannukset Y1'!F$13=12,'Kustannukset Y1'!F107+'Kustannukset Y1'!F108+'Kustannukset Y1'!F109,IF('Kustannukset Y1'!F$13&lt;12,12*(('Kustannukset Y1'!F107+'Kustannukset Y1'!F108+'Kustannukset Y1'!F109+'Kustannukset Y1'!G107+'Kustannukset Y1'!G108+'Kustannukset Y1'!G109)/('Kustannukset Y1'!F$13+'Kustannukset Y1'!G$13)),12*('Kustannukset Y1'!F107+'Kustannukset Y1'!F108+'Kustannukset Y1'!F109)/'Kustannukset Y1'!F$13))))</f>
        <v>0</v>
      </c>
      <c r="X23" s="1015"/>
      <c r="Y23" s="1020"/>
      <c r="Z23" s="1021"/>
      <c r="AA23" s="1021"/>
      <c r="AB23" s="1021"/>
      <c r="AC23" s="1021"/>
      <c r="AD23" s="1021"/>
      <c r="AE23" s="1021"/>
      <c r="AF23" s="1021"/>
      <c r="AG23" s="1021"/>
      <c r="AH23" s="1021"/>
    </row>
    <row r="24" spans="1:34" ht="12.75" customHeight="1">
      <c r="A24" s="32"/>
      <c r="B24" s="850">
        <v>11</v>
      </c>
      <c r="C24" s="1820" t="s">
        <v>108</v>
      </c>
      <c r="D24" s="1820"/>
      <c r="E24" s="1820"/>
      <c r="F24" s="1474">
        <v>24</v>
      </c>
      <c r="G24" s="1475">
        <f t="shared" si="10"/>
        <v>0</v>
      </c>
      <c r="H24" s="1475">
        <f t="shared" si="10"/>
        <v>0</v>
      </c>
      <c r="I24" s="1475">
        <f t="shared" si="10"/>
        <v>0</v>
      </c>
      <c r="J24" s="1475">
        <f t="shared" si="10"/>
        <v>0</v>
      </c>
      <c r="K24" s="1475">
        <f t="shared" si="10"/>
        <v>0</v>
      </c>
      <c r="L24" s="1475">
        <f t="shared" si="10"/>
        <v>0</v>
      </c>
      <c r="M24" s="1475">
        <f t="shared" si="10"/>
        <v>0</v>
      </c>
      <c r="N24" s="1475">
        <f t="shared" si="10"/>
        <v>0</v>
      </c>
      <c r="O24" s="1475">
        <f t="shared" si="10"/>
        <v>0</v>
      </c>
      <c r="P24" s="1475">
        <f t="shared" si="10"/>
        <v>0</v>
      </c>
      <c r="Q24" s="1475">
        <f t="shared" si="10"/>
        <v>0</v>
      </c>
      <c r="R24" s="1475">
        <f t="shared" si="10"/>
        <v>0</v>
      </c>
      <c r="S24" s="1476">
        <f t="shared" si="11"/>
        <v>0</v>
      </c>
      <c r="T24" s="49"/>
      <c r="U24" s="747">
        <f t="shared" si="8"/>
        <v>11</v>
      </c>
      <c r="V24" s="855">
        <f t="shared" si="12"/>
        <v>0</v>
      </c>
      <c r="W24" s="855">
        <f>IF('Kustannukset K1'!C$9&gt;0,(IF('Kustannukset K1'!F$13=12,'Kustannukset K1'!F89,IF('Kustannukset K1'!F$13&lt;12,12*(('Kustannukset K1'!F89+'Kustannukset K1'!G89)/('Kustannukset K1'!F$13+'Kustannukset K1'!G$13)),12*'Kustannukset K1'!F89/'Kustannukset K1'!F$13))),(IF('Kustannukset Y1'!F$13=12,'Kustannukset Y1'!F89,IF('Kustannukset Y1'!F$13&lt;12,12*(('Kustannukset Y1'!F89+'Kustannukset Y1'!G89)/('Kustannukset Y1'!F$13+'Kustannukset Y1'!G$13)),12*'Kustannukset Y1'!F89/'Kustannukset Y1'!F$13))))</f>
        <v>0</v>
      </c>
      <c r="X24" s="1015"/>
      <c r="Y24" s="1020"/>
      <c r="Z24" s="1021"/>
      <c r="AA24" s="1021"/>
      <c r="AB24" s="1021"/>
      <c r="AC24" s="1021"/>
      <c r="AD24" s="1021"/>
      <c r="AE24" s="1021"/>
      <c r="AF24" s="1021"/>
      <c r="AG24" s="1021"/>
      <c r="AH24" s="1021"/>
    </row>
    <row r="25" spans="1:34" ht="12.75" customHeight="1">
      <c r="A25" s="32"/>
      <c r="B25" s="850">
        <v>12</v>
      </c>
      <c r="C25" s="1820" t="s">
        <v>512</v>
      </c>
      <c r="D25" s="1821"/>
      <c r="E25" s="1821"/>
      <c r="F25" s="1474">
        <v>24</v>
      </c>
      <c r="G25" s="1477">
        <f>V25</f>
        <v>0</v>
      </c>
      <c r="H25" s="1475">
        <v>0</v>
      </c>
      <c r="I25" s="1475">
        <v>0</v>
      </c>
      <c r="J25" s="1475">
        <v>0</v>
      </c>
      <c r="K25" s="1475">
        <v>0</v>
      </c>
      <c r="L25" s="1475">
        <v>0</v>
      </c>
      <c r="M25" s="1475">
        <v>0</v>
      </c>
      <c r="N25" s="1475">
        <v>0</v>
      </c>
      <c r="O25" s="1475">
        <v>0</v>
      </c>
      <c r="P25" s="1475">
        <v>0</v>
      </c>
      <c r="Q25" s="1475">
        <v>0</v>
      </c>
      <c r="R25" s="1475">
        <v>0</v>
      </c>
      <c r="S25" s="1476">
        <f t="shared" si="11"/>
        <v>0</v>
      </c>
      <c r="T25" s="49"/>
      <c r="U25" s="747">
        <f t="shared" si="8"/>
        <v>12</v>
      </c>
      <c r="V25" s="1078">
        <f>IF('Rahoitus K3'!B$9&gt;0,'Rahoitus K3'!E20+'Rahoitus K3'!E27+'Rahoitus K3'!E31+'Rahoitus K3'!E19-'Rahoitus K3'!E24-'Rahoitus K3'!E26,'Rahoitus Y3'!E20+'Rahoitus Y3'!E27+'Rahoitus Y3'!E31+'Rahoitus Y3'!E19-'Rahoitus Y3'!E24-'Rahoitus Y3'!E26)</f>
        <v>0</v>
      </c>
      <c r="W25" s="855"/>
      <c r="X25" s="1016"/>
      <c r="Y25" s="1020"/>
      <c r="Z25" s="1021"/>
      <c r="AA25" s="1021"/>
      <c r="AB25" s="1021"/>
      <c r="AC25" s="1021"/>
      <c r="AD25" s="1021"/>
      <c r="AE25" s="1021"/>
      <c r="AF25" s="1021"/>
      <c r="AG25" s="1021"/>
      <c r="AH25" s="1021"/>
    </row>
    <row r="26" spans="1:34" ht="12.75" customHeight="1">
      <c r="A26" s="32"/>
      <c r="B26" s="850">
        <v>13</v>
      </c>
      <c r="C26" s="851" t="s">
        <v>818</v>
      </c>
      <c r="D26" s="851"/>
      <c r="E26" s="852"/>
      <c r="F26" s="1474">
        <v>24</v>
      </c>
      <c r="G26" s="1475">
        <f t="shared" ref="G26:R27" si="13">$W26/12*(1+$F26/100)</f>
        <v>0</v>
      </c>
      <c r="H26" s="1475">
        <f t="shared" si="13"/>
        <v>0</v>
      </c>
      <c r="I26" s="1475">
        <f t="shared" si="13"/>
        <v>0</v>
      </c>
      <c r="J26" s="1475">
        <f t="shared" si="13"/>
        <v>0</v>
      </c>
      <c r="K26" s="1475">
        <f t="shared" si="13"/>
        <v>0</v>
      </c>
      <c r="L26" s="1475">
        <f t="shared" si="13"/>
        <v>0</v>
      </c>
      <c r="M26" s="1475">
        <f t="shared" si="13"/>
        <v>0</v>
      </c>
      <c r="N26" s="1475">
        <f t="shared" si="13"/>
        <v>0</v>
      </c>
      <c r="O26" s="1475">
        <f t="shared" si="13"/>
        <v>0</v>
      </c>
      <c r="P26" s="1475">
        <f t="shared" si="13"/>
        <v>0</v>
      </c>
      <c r="Q26" s="1475">
        <f t="shared" si="13"/>
        <v>0</v>
      </c>
      <c r="R26" s="1475">
        <f t="shared" si="13"/>
        <v>0</v>
      </c>
      <c r="S26" s="1476">
        <f t="shared" si="11"/>
        <v>0</v>
      </c>
      <c r="T26" s="49"/>
      <c r="U26" s="747">
        <f t="shared" si="8"/>
        <v>13</v>
      </c>
      <c r="V26" s="855">
        <f t="shared" si="12"/>
        <v>0</v>
      </c>
      <c r="W26" s="855">
        <f>IF('Kustannukset K1'!C$9&gt;0,(IF('Kustannukset K1'!F$13=12,'Kustannukset K1'!F61-'Kustannukset K1'!F66,IF('Kustannukset K1'!F$13&lt;12,12*(('Kustannukset K1'!F61+'Kustannukset K1'!G61-'Kustannukset K1'!F66-'Kustannukset K1'!G66)/('Kustannukset K1'!F$13+'Kustannukset K1'!G$13)),12*('Kustannukset K1'!F61-'Kustannukset K1'!F66)/'Kustannukset K1'!F$13))),(IF('Kustannukset Y1'!F$13=12,'Kustannukset Y1'!F61-'Kustannukset Y1'!F66,IF('Kustannukset Y1'!F$13&lt;12,12*(('Kustannukset Y1'!F61+'Kustannukset Y1'!G61-'Kustannukset Y1'!F66-'Kustannukset Y1'!G66)/('Kustannukset Y1'!F$13+'Kustannukset Y1'!G$13)),12*('Kustannukset Y1'!F61-'Kustannukset Y1'!F66)/'Kustannukset Y1'!F$13))))</f>
        <v>0</v>
      </c>
      <c r="X26" s="1015"/>
      <c r="Y26" s="1020"/>
      <c r="Z26" s="1021"/>
      <c r="AA26" s="1021"/>
      <c r="AB26" s="1021"/>
      <c r="AC26" s="1021"/>
      <c r="AD26" s="1021"/>
      <c r="AE26" s="1021"/>
      <c r="AF26" s="1021"/>
      <c r="AG26" s="1021"/>
      <c r="AH26" s="1021"/>
    </row>
    <row r="27" spans="1:34" ht="12.75" customHeight="1">
      <c r="A27" s="32"/>
      <c r="B27" s="850">
        <v>14</v>
      </c>
      <c r="C27" s="851" t="s">
        <v>337</v>
      </c>
      <c r="D27" s="853"/>
      <c r="E27" s="853"/>
      <c r="F27" s="1474">
        <v>24</v>
      </c>
      <c r="G27" s="1475">
        <f t="shared" si="13"/>
        <v>0</v>
      </c>
      <c r="H27" s="1475">
        <f t="shared" si="13"/>
        <v>0</v>
      </c>
      <c r="I27" s="1475">
        <f t="shared" si="13"/>
        <v>0</v>
      </c>
      <c r="J27" s="1475">
        <f t="shared" si="13"/>
        <v>0</v>
      </c>
      <c r="K27" s="1475">
        <f t="shared" si="13"/>
        <v>0</v>
      </c>
      <c r="L27" s="1475">
        <f t="shared" si="13"/>
        <v>0</v>
      </c>
      <c r="M27" s="1475">
        <f t="shared" si="13"/>
        <v>0</v>
      </c>
      <c r="N27" s="1475">
        <f t="shared" si="13"/>
        <v>0</v>
      </c>
      <c r="O27" s="1475">
        <f t="shared" si="13"/>
        <v>0</v>
      </c>
      <c r="P27" s="1475">
        <f t="shared" si="13"/>
        <v>0</v>
      </c>
      <c r="Q27" s="1475">
        <f t="shared" si="13"/>
        <v>0</v>
      </c>
      <c r="R27" s="1475">
        <f t="shared" si="13"/>
        <v>0</v>
      </c>
      <c r="S27" s="1476">
        <f t="shared" si="11"/>
        <v>0</v>
      </c>
      <c r="T27" s="49"/>
      <c r="U27" s="747">
        <f t="shared" si="8"/>
        <v>14</v>
      </c>
      <c r="V27" s="855">
        <f t="shared" si="12"/>
        <v>0</v>
      </c>
      <c r="W27" s="855">
        <f>IF('Kustannukset K1'!C$9&gt;0,(IF('Kustannukset K1'!F$13=12,'Kustannukset K1'!F54+'Kustannukset K1'!F55+'Kustannukset K1'!F56,IF('Kustannukset K1'!F$13&lt;12,12*(('Kustannukset K1'!F54+'Kustannukset K1'!G54+'Kustannukset K1'!F55+'Kustannukset K1'!G55+'Kustannukset K1'!F56+'Kustannukset K1'!G56)/('Kustannukset K1'!F$13+'Kustannukset K1'!G$13)),12*('Kustannukset K1'!F55+'Kustannukset K1'!F56+'Kustannukset K1'!F54)/'Kustannukset K1'!F$13))),(IF('Kustannukset Y1'!F$13=12,'Kustannukset Y1'!F54+'Kustannukset Y1'!F55+'Kustannukset Y1'!F56,IF('Kustannukset Y1'!F$13&lt;12,12*(('Kustannukset Y1'!F54+'Kustannukset Y1'!G54+'Kustannukset Y1'!F55+'Kustannukset Y1'!G55+'Kustannukset Y1'!F56+'Kustannukset Y1'!G56)/('Kustannukset Y1'!F$13+'Kustannukset Y1'!G$13)),12*('Kustannukset Y1'!F54+'Kustannukset Y1'!F55+'Kustannukset Y1'!F56)/'Kustannukset Y1'!F$13))))</f>
        <v>0</v>
      </c>
      <c r="X27" s="1015"/>
      <c r="Y27" s="1020"/>
      <c r="Z27" s="1021"/>
      <c r="AA27" s="1021"/>
      <c r="AB27" s="1021"/>
      <c r="AC27" s="1021"/>
      <c r="AD27" s="1021"/>
      <c r="AE27" s="1021"/>
      <c r="AF27" s="1021"/>
      <c r="AG27" s="1021"/>
      <c r="AH27" s="1021"/>
    </row>
    <row r="28" spans="1:34" ht="12.75" customHeight="1">
      <c r="A28" s="32"/>
      <c r="B28" s="850">
        <v>15</v>
      </c>
      <c r="C28" s="1820" t="s">
        <v>857</v>
      </c>
      <c r="D28" s="1821"/>
      <c r="E28" s="1821"/>
      <c r="F28" s="1468">
        <v>24</v>
      </c>
      <c r="G28" s="1475">
        <f>'4. Kassabudjetti'!$W28/12*(1+$F28/100)</f>
        <v>0</v>
      </c>
      <c r="H28" s="1475">
        <f>'4. Kassabudjetti'!$W28/12*(1+$F28/100)</f>
        <v>0</v>
      </c>
      <c r="I28" s="1475">
        <f>'4. Kassabudjetti'!$W28/12*(1+$F28/100)</f>
        <v>0</v>
      </c>
      <c r="J28" s="1475">
        <f>'4. Kassabudjetti'!$W28/12*(1+$F28/100)</f>
        <v>0</v>
      </c>
      <c r="K28" s="1475">
        <f>'4. Kassabudjetti'!$W28/12*(1+$F28/100)</f>
        <v>0</v>
      </c>
      <c r="L28" s="1475">
        <f>'4. Kassabudjetti'!$W28/12*(1+$F28/100)</f>
        <v>0</v>
      </c>
      <c r="M28" s="1475">
        <f>'4. Kassabudjetti'!$W28/12*(1+$F28/100)</f>
        <v>0</v>
      </c>
      <c r="N28" s="1475">
        <f>'4. Kassabudjetti'!$W28/12*(1+$F28/100)</f>
        <v>0</v>
      </c>
      <c r="O28" s="1475">
        <f>'4. Kassabudjetti'!$W28/12*(1+$F28/100)</f>
        <v>0</v>
      </c>
      <c r="P28" s="1475">
        <f>'4. Kassabudjetti'!$W28/12*(1+$F28/100)</f>
        <v>0</v>
      </c>
      <c r="Q28" s="1475">
        <f>'4. Kassabudjetti'!$W28/12*(1+$F28/100)</f>
        <v>0</v>
      </c>
      <c r="R28" s="1475">
        <f>'4. Kassabudjetti'!$W28/12*(1+$F28/100)</f>
        <v>0</v>
      </c>
      <c r="S28" s="1478">
        <f t="shared" si="11"/>
        <v>0</v>
      </c>
      <c r="T28" s="49"/>
      <c r="U28" s="747">
        <f>B28</f>
        <v>15</v>
      </c>
      <c r="V28" s="855">
        <f>W28*(1+'4. Kassabudjetti'!F28/100)</f>
        <v>0</v>
      </c>
      <c r="W28" s="855">
        <f>IF('Kustannukset K1'!C$9&gt;0,(IF('Kustannukset K1'!F$13=12,'Kustannukset K1'!F74-'Kustannukset K1'!F75,IF('Kustannukset K1'!F$13&lt;12,12*(('Kustannukset K1'!F74+'Kustannukset K1'!G74-'Kustannukset K1'!F75-'Kustannukset K1'!G75)/('Kustannukset K1'!F$13+'Kustannukset K1'!G$13)),12*('Kustannukset K1'!F74-'Kustannukset K1'!F75)/'Kustannukset K1'!F$13))),(IF('Kustannukset Y1'!F$13=12,'Kustannukset Y1'!F74-'Kustannukset Y1'!F75,IF('Kustannukset Y1'!F$13&lt;12,12*(('Kustannukset Y1'!F74+'Kustannukset Y1'!G74-'Kustannukset Y1'!F75-'Kustannukset Y1'!G75)/('Kustannukset Y1'!F$13+'Kustannukset Y1'!G$13)),12*('Kustannukset Y1'!F74-'Kustannukset Y1'!F75)/'Kustannukset Y1'!F$13))))</f>
        <v>0</v>
      </c>
      <c r="X28" s="1015"/>
      <c r="Y28" s="1020"/>
      <c r="Z28" s="1021"/>
      <c r="AA28" s="1021"/>
      <c r="AB28" s="1021"/>
      <c r="AC28" s="1021"/>
      <c r="AD28" s="1021"/>
      <c r="AE28" s="1021"/>
      <c r="AF28" s="1021"/>
      <c r="AG28" s="1021"/>
      <c r="AH28" s="1021"/>
    </row>
    <row r="29" spans="1:34" ht="12.75" customHeight="1">
      <c r="A29" s="32"/>
      <c r="B29" s="850">
        <v>16</v>
      </c>
      <c r="C29" s="1820" t="s">
        <v>856</v>
      </c>
      <c r="D29" s="1820"/>
      <c r="E29" s="1820"/>
      <c r="F29" s="1468">
        <v>24</v>
      </c>
      <c r="G29" s="1475">
        <f>'4. Kassabudjetti'!$W29/12*(1+$F29/100)</f>
        <v>0</v>
      </c>
      <c r="H29" s="1475">
        <f>'4. Kassabudjetti'!$W29/12*(1+$F29/100)</f>
        <v>0</v>
      </c>
      <c r="I29" s="1475">
        <f>'4. Kassabudjetti'!$W29/12*(1+$F29/100)</f>
        <v>0</v>
      </c>
      <c r="J29" s="1475">
        <f>'4. Kassabudjetti'!$W29/12*(1+$F29/100)</f>
        <v>0</v>
      </c>
      <c r="K29" s="1475">
        <f>'4. Kassabudjetti'!$W29/12*(1+$F29/100)</f>
        <v>0</v>
      </c>
      <c r="L29" s="1475">
        <f>'4. Kassabudjetti'!$W29/12*(1+$F29/100)</f>
        <v>0</v>
      </c>
      <c r="M29" s="1475">
        <f>'4. Kassabudjetti'!$W29/12*(1+$F29/100)</f>
        <v>0</v>
      </c>
      <c r="N29" s="1475">
        <f>'4. Kassabudjetti'!$W29/12*(1+$F29/100)</f>
        <v>0</v>
      </c>
      <c r="O29" s="1475">
        <f>'4. Kassabudjetti'!$W29/12*(1+$F29/100)</f>
        <v>0</v>
      </c>
      <c r="P29" s="1475">
        <f>'4. Kassabudjetti'!$W29/12*(1+$F29/100)</f>
        <v>0</v>
      </c>
      <c r="Q29" s="1475">
        <f>'4. Kassabudjetti'!$W29/12*(1+$F29/100)</f>
        <v>0</v>
      </c>
      <c r="R29" s="1475">
        <f>'4. Kassabudjetti'!$W29/12*(1+$F29/100)</f>
        <v>0</v>
      </c>
      <c r="S29" s="1478">
        <f t="shared" si="11"/>
        <v>0</v>
      </c>
      <c r="T29" s="49"/>
      <c r="U29" s="747">
        <f>B29</f>
        <v>16</v>
      </c>
      <c r="V29" s="855">
        <f>W29*(1+'4. Kassabudjetti'!F29/100)</f>
        <v>0</v>
      </c>
      <c r="W29" s="855">
        <f>IF('Kustannukset K1'!C$9&gt;0,(IF('Kustannukset K1'!F$13=12,'Kustannukset K1'!F69,IF('Kustannukset K1'!F$13&lt;12,12*(('Kustannukset K1'!F69+'Kustannukset K1'!G69)/('Kustannukset K1'!F$13+'Kustannukset K1'!G$13)),12*'Kustannukset K1'!F69/'Kustannukset K1'!F$13))),(IF('Kustannukset Y1'!F$13=12,'Kustannukset Y1'!F69,IF('Kustannukset Y1'!F$13&lt;12,12*(('Kustannukset Y1'!F69+'Kustannukset Y1'!G69)/('Kustannukset Y1'!F$13+'Kustannukset Y1'!G$13)),12*'Kustannukset Y1'!F69/'Kustannukset Y1'!F$13))))</f>
        <v>0</v>
      </c>
      <c r="X29" s="1015"/>
      <c r="Y29" s="1020"/>
      <c r="Z29" s="1021"/>
      <c r="AA29" s="1021"/>
      <c r="AB29" s="1021"/>
      <c r="AC29" s="1021"/>
      <c r="AD29" s="1021"/>
      <c r="AE29" s="1021"/>
      <c r="AF29" s="1021"/>
      <c r="AG29" s="1021"/>
      <c r="AH29" s="1021"/>
    </row>
    <row r="30" spans="1:34" ht="12.75" customHeight="1">
      <c r="A30" s="32"/>
      <c r="B30" s="850">
        <v>17</v>
      </c>
      <c r="C30" s="1820" t="s">
        <v>496</v>
      </c>
      <c r="D30" s="1821"/>
      <c r="E30" s="1821"/>
      <c r="F30" s="1468">
        <v>24</v>
      </c>
      <c r="G30" s="1475">
        <f>$W30/12*(1+$F30/100)</f>
        <v>0</v>
      </c>
      <c r="H30" s="1475">
        <f t="shared" ref="H30:R30" si="14">$W30/12*(1+$F30/100)</f>
        <v>0</v>
      </c>
      <c r="I30" s="1475">
        <f t="shared" si="14"/>
        <v>0</v>
      </c>
      <c r="J30" s="1475">
        <f t="shared" si="14"/>
        <v>0</v>
      </c>
      <c r="K30" s="1475">
        <f t="shared" si="14"/>
        <v>0</v>
      </c>
      <c r="L30" s="1475">
        <f t="shared" si="14"/>
        <v>0</v>
      </c>
      <c r="M30" s="1475">
        <f t="shared" si="14"/>
        <v>0</v>
      </c>
      <c r="N30" s="1475">
        <f t="shared" si="14"/>
        <v>0</v>
      </c>
      <c r="O30" s="1475">
        <f t="shared" si="14"/>
        <v>0</v>
      </c>
      <c r="P30" s="1475">
        <f t="shared" si="14"/>
        <v>0</v>
      </c>
      <c r="Q30" s="1475">
        <f t="shared" si="14"/>
        <v>0</v>
      </c>
      <c r="R30" s="1475">
        <f t="shared" si="14"/>
        <v>0</v>
      </c>
      <c r="S30" s="1476">
        <f t="shared" si="11"/>
        <v>0</v>
      </c>
      <c r="T30" s="49"/>
      <c r="U30" s="747">
        <f t="shared" ref="U30:U40" si="15">B30</f>
        <v>17</v>
      </c>
      <c r="V30" s="855">
        <f>W30*(1+F30/100)</f>
        <v>0</v>
      </c>
      <c r="W30" s="855">
        <f>'2 AT Palkat, alv'!U79</f>
        <v>0</v>
      </c>
      <c r="X30" s="1015"/>
      <c r="Y30" s="1020"/>
      <c r="Z30" s="1021"/>
      <c r="AA30" s="1021"/>
      <c r="AB30" s="1021"/>
      <c r="AC30" s="1021"/>
      <c r="AD30" s="1021"/>
      <c r="AE30" s="1021"/>
      <c r="AF30" s="1021"/>
      <c r="AG30" s="1021"/>
      <c r="AH30" s="1021"/>
    </row>
    <row r="31" spans="1:34" ht="12.75" customHeight="1">
      <c r="A31" s="32"/>
      <c r="B31" s="854">
        <f>B30+1</f>
        <v>18</v>
      </c>
      <c r="C31" s="1820" t="s">
        <v>110</v>
      </c>
      <c r="D31" s="1821"/>
      <c r="E31" s="1821"/>
      <c r="F31" s="1479"/>
      <c r="G31" s="1475">
        <v>0</v>
      </c>
      <c r="H31" s="1475">
        <v>0</v>
      </c>
      <c r="I31" s="1480">
        <f>'2 AT Palkat, alv'!E76</f>
        <v>0</v>
      </c>
      <c r="J31" s="1480">
        <f>'2 AT Palkat, alv'!F76</f>
        <v>0</v>
      </c>
      <c r="K31" s="1480">
        <f>'2 AT Palkat, alv'!G76</f>
        <v>0</v>
      </c>
      <c r="L31" s="1480">
        <f>'2 AT Palkat, alv'!H76</f>
        <v>0</v>
      </c>
      <c r="M31" s="1480">
        <f>'2 AT Palkat, alv'!I76</f>
        <v>0</v>
      </c>
      <c r="N31" s="1480">
        <f>'2 AT Palkat, alv'!J76</f>
        <v>0</v>
      </c>
      <c r="O31" s="1480">
        <f>'2 AT Palkat, alv'!K76</f>
        <v>0</v>
      </c>
      <c r="P31" s="1480">
        <f>'2 AT Palkat, alv'!L76</f>
        <v>0</v>
      </c>
      <c r="Q31" s="1480">
        <f>'2 AT Palkat, alv'!M76</f>
        <v>0</v>
      </c>
      <c r="R31" s="1480">
        <f>'2 AT Palkat, alv'!N76</f>
        <v>0</v>
      </c>
      <c r="S31" s="1476">
        <f t="shared" si="11"/>
        <v>0</v>
      </c>
      <c r="T31" s="49"/>
      <c r="U31" s="747">
        <f t="shared" si="15"/>
        <v>18</v>
      </c>
      <c r="V31" s="856"/>
      <c r="W31" s="855"/>
      <c r="X31" s="1015"/>
      <c r="Y31" s="1020"/>
      <c r="Z31" s="1021"/>
      <c r="AA31" s="1021"/>
      <c r="AB31" s="1021"/>
      <c r="AC31" s="1021"/>
      <c r="AD31" s="1021"/>
      <c r="AE31" s="1021"/>
      <c r="AF31" s="1021"/>
      <c r="AG31" s="1021"/>
      <c r="AH31" s="1021"/>
    </row>
    <row r="32" spans="1:34" ht="12.75" customHeight="1">
      <c r="A32" s="32"/>
      <c r="B32" s="854">
        <f>B31+1</f>
        <v>19</v>
      </c>
      <c r="C32" s="1820" t="s">
        <v>111</v>
      </c>
      <c r="D32" s="1821"/>
      <c r="E32" s="1821"/>
      <c r="F32" s="1479"/>
      <c r="G32" s="1480">
        <f>('2 AT Palkat, alv'!E13+'2 AT Palkat, alv'!E29)</f>
        <v>0</v>
      </c>
      <c r="H32" s="1480">
        <f>('2 AT Palkat, alv'!F13+'2 AT Palkat, alv'!F29)</f>
        <v>0</v>
      </c>
      <c r="I32" s="1480">
        <f>('2 AT Palkat, alv'!G13+'2 AT Palkat, alv'!G29)</f>
        <v>0</v>
      </c>
      <c r="J32" s="1480">
        <f>('2 AT Palkat, alv'!H13+'2 AT Palkat, alv'!H29)</f>
        <v>0</v>
      </c>
      <c r="K32" s="1480">
        <f>('2 AT Palkat, alv'!I13+'2 AT Palkat, alv'!I29)</f>
        <v>0</v>
      </c>
      <c r="L32" s="1480">
        <f>('2 AT Palkat, alv'!J13+'2 AT Palkat, alv'!J29)</f>
        <v>0</v>
      </c>
      <c r="M32" s="1480">
        <f>('2 AT Palkat, alv'!K13+'2 AT Palkat, alv'!K29)</f>
        <v>0</v>
      </c>
      <c r="N32" s="1480">
        <f>('2 AT Palkat, alv'!L13+'2 AT Palkat, alv'!L29)</f>
        <v>0</v>
      </c>
      <c r="O32" s="1480">
        <f>('2 AT Palkat, alv'!M13+'2 AT Palkat, alv'!M29)</f>
        <v>0</v>
      </c>
      <c r="P32" s="1480">
        <f>('2 AT Palkat, alv'!N13+'2 AT Palkat, alv'!N29)</f>
        <v>0</v>
      </c>
      <c r="Q32" s="1480">
        <f>('2 AT Palkat, alv'!O13+'2 AT Palkat, alv'!O29)</f>
        <v>0</v>
      </c>
      <c r="R32" s="1480">
        <f>('2 AT Palkat, alv'!P13+'2 AT Palkat, alv'!P29)</f>
        <v>0</v>
      </c>
      <c r="S32" s="1476">
        <f t="shared" si="11"/>
        <v>0</v>
      </c>
      <c r="T32" s="49"/>
      <c r="U32" s="747">
        <f t="shared" si="15"/>
        <v>19</v>
      </c>
      <c r="V32" s="857"/>
      <c r="W32" s="855"/>
      <c r="X32" s="1015"/>
      <c r="Y32" s="1020"/>
      <c r="Z32" s="1021"/>
      <c r="AA32" s="1021"/>
      <c r="AB32" s="1021"/>
      <c r="AC32" s="1021"/>
      <c r="AD32" s="1021"/>
      <c r="AE32" s="1021"/>
      <c r="AF32" s="1021"/>
      <c r="AG32" s="1021"/>
      <c r="AH32" s="1021"/>
    </row>
    <row r="33" spans="1:34" ht="12.75" customHeight="1">
      <c r="B33" s="761"/>
      <c r="C33" s="762" t="s">
        <v>303</v>
      </c>
      <c r="D33" s="1662" t="s">
        <v>716</v>
      </c>
      <c r="E33" s="1662"/>
      <c r="F33" s="1481">
        <v>29</v>
      </c>
      <c r="G33" s="1459">
        <f t="shared" ref="G33:R36" si="16">$W33/12</f>
        <v>0</v>
      </c>
      <c r="H33" s="1459">
        <f t="shared" si="16"/>
        <v>0</v>
      </c>
      <c r="I33" s="1459">
        <f t="shared" si="16"/>
        <v>0</v>
      </c>
      <c r="J33" s="1459">
        <f t="shared" si="16"/>
        <v>0</v>
      </c>
      <c r="K33" s="1459">
        <f t="shared" si="16"/>
        <v>0</v>
      </c>
      <c r="L33" s="1459">
        <f t="shared" si="16"/>
        <v>0</v>
      </c>
      <c r="M33" s="1459">
        <f t="shared" si="16"/>
        <v>0</v>
      </c>
      <c r="N33" s="1459">
        <f t="shared" si="16"/>
        <v>0</v>
      </c>
      <c r="O33" s="1459">
        <f t="shared" si="16"/>
        <v>0</v>
      </c>
      <c r="P33" s="1459">
        <f t="shared" si="16"/>
        <v>0</v>
      </c>
      <c r="Q33" s="1459">
        <f t="shared" si="16"/>
        <v>0</v>
      </c>
      <c r="R33" s="1459">
        <f t="shared" si="16"/>
        <v>0</v>
      </c>
      <c r="S33" s="682">
        <f t="shared" si="11"/>
        <v>0</v>
      </c>
      <c r="T33" s="202"/>
      <c r="U33" s="747">
        <f t="shared" si="15"/>
        <v>0</v>
      </c>
      <c r="V33" s="858"/>
      <c r="W33" s="855">
        <f>IF('Kustannukset K1'!$C$9&gt;0,(IF('Kustannukset K1'!$F$13=12,'Kustannukset K1'!$F14,IF('Kustannukset K1'!$F$13&lt;12,12*(('Kustannukset K1'!$F14+'Kustannukset K1'!$G14)/('Kustannukset K1'!$F$13+'Kustannukset K1'!$G$13)),12*'Kustannukset K1'!$F14/'Kustannukset K1'!$F$13))),(IF('Kustannukset Y1'!$F$13=12,'Kustannukset Y1'!$F14,IF('Kustannukset Y1'!$F$13&lt;12,12*(('Kustannukset Y1'!$F14+'Kustannukset Y1'!$G14)/('Kustannukset Y1'!$F$13+'Kustannukset Y1'!$G$13)),12*'Kustannukset Y1'!$F14/'Kustannukset Y1'!$F$13))))</f>
        <v>0</v>
      </c>
      <c r="X33" s="1015"/>
      <c r="Y33" s="1023"/>
      <c r="Z33" s="1024"/>
      <c r="AA33" s="1024"/>
      <c r="AB33" s="1021"/>
      <c r="AC33" s="1021"/>
      <c r="AD33" s="1021"/>
      <c r="AE33" s="1021"/>
      <c r="AF33" s="1021"/>
      <c r="AG33" s="1021"/>
      <c r="AH33" s="1021"/>
    </row>
    <row r="34" spans="1:34" ht="12.75" customHeight="1">
      <c r="B34" s="761"/>
      <c r="C34" s="762" t="s">
        <v>304</v>
      </c>
      <c r="D34" s="1662" t="s">
        <v>717</v>
      </c>
      <c r="E34" s="1662"/>
      <c r="F34" s="1482"/>
      <c r="G34" s="1459">
        <f t="shared" si="16"/>
        <v>0</v>
      </c>
      <c r="H34" s="1459">
        <f t="shared" si="16"/>
        <v>0</v>
      </c>
      <c r="I34" s="1459">
        <f t="shared" si="16"/>
        <v>0</v>
      </c>
      <c r="J34" s="1459">
        <f t="shared" si="16"/>
        <v>0</v>
      </c>
      <c r="K34" s="1459">
        <f t="shared" si="16"/>
        <v>0</v>
      </c>
      <c r="L34" s="1459">
        <f t="shared" si="16"/>
        <v>0</v>
      </c>
      <c r="M34" s="1459">
        <f t="shared" si="16"/>
        <v>0</v>
      </c>
      <c r="N34" s="1459">
        <f t="shared" si="16"/>
        <v>0</v>
      </c>
      <c r="O34" s="1459">
        <f t="shared" si="16"/>
        <v>0</v>
      </c>
      <c r="P34" s="1459">
        <f t="shared" si="16"/>
        <v>0</v>
      </c>
      <c r="Q34" s="1459">
        <f t="shared" si="16"/>
        <v>0</v>
      </c>
      <c r="R34" s="1459">
        <f t="shared" si="16"/>
        <v>0</v>
      </c>
      <c r="S34" s="682">
        <f t="shared" si="11"/>
        <v>0</v>
      </c>
      <c r="T34" s="202"/>
      <c r="U34" s="747">
        <f t="shared" si="15"/>
        <v>0</v>
      </c>
      <c r="V34" s="858"/>
      <c r="W34" s="855">
        <f>IF('Kustannukset K1'!$C$9&gt;0,(IF('Kustannukset K1'!$F$13=12,'Kustannukset K1'!$F17*('Kustannukset K1'!F18),IF('Kustannukset K1'!$F$13&lt;12,12*(('Kustannukset K1'!$F17*('Kustannukset K1'!F18)+'Kustannukset K1'!$G17*('Kustannukset K1'!G18))/('Kustannukset K1'!$F$13+'Kustannukset K1'!$G$13)),12*'Kustannukset K1'!$F17*('Kustannukset K1'!F18)/'Kustannukset K1'!$F$13))),(IF('Kustannukset Y1'!$F$13=12,'Kustannukset Y1'!$F17*('Kustannukset Y1'!F18),IF('Kustannukset Y1'!$F$13&lt;12,12*(('Kustannukset Y1'!$F17*('Kustannukset Y1'!F18)+'Kustannukset Y1'!$G17*('Kustannukset Y1'!G18))/('Kustannukset Y1'!$F$13+'Kustannukset Y1'!$G$13)),12*'Kustannukset Y1'!$F17*('Kustannukset Y1'!F18)/'Kustannukset Y1'!$F$13))))</f>
        <v>0</v>
      </c>
      <c r="X34" s="1015"/>
      <c r="Y34" s="1023"/>
      <c r="Z34" s="1024"/>
      <c r="AA34" s="1024"/>
      <c r="AB34" s="1021"/>
      <c r="AC34" s="1021"/>
      <c r="AD34" s="1021"/>
      <c r="AE34" s="1021"/>
      <c r="AF34" s="1021"/>
      <c r="AG34" s="1021"/>
      <c r="AH34" s="1021"/>
    </row>
    <row r="35" spans="1:34" ht="12.75" customHeight="1">
      <c r="B35" s="761"/>
      <c r="C35" s="762" t="s">
        <v>305</v>
      </c>
      <c r="D35" s="1662" t="s">
        <v>714</v>
      </c>
      <c r="E35" s="1662"/>
      <c r="F35" s="1481">
        <v>20</v>
      </c>
      <c r="G35" s="1459">
        <f t="shared" si="16"/>
        <v>0</v>
      </c>
      <c r="H35" s="1459">
        <f t="shared" si="16"/>
        <v>0</v>
      </c>
      <c r="I35" s="1459">
        <f t="shared" si="16"/>
        <v>0</v>
      </c>
      <c r="J35" s="1459">
        <f t="shared" si="16"/>
        <v>0</v>
      </c>
      <c r="K35" s="1459">
        <f t="shared" si="16"/>
        <v>0</v>
      </c>
      <c r="L35" s="1459">
        <f t="shared" si="16"/>
        <v>0</v>
      </c>
      <c r="M35" s="1459">
        <f t="shared" si="16"/>
        <v>0</v>
      </c>
      <c r="N35" s="1459">
        <f t="shared" si="16"/>
        <v>0</v>
      </c>
      <c r="O35" s="1459">
        <f t="shared" si="16"/>
        <v>0</v>
      </c>
      <c r="P35" s="1459">
        <f t="shared" si="16"/>
        <v>0</v>
      </c>
      <c r="Q35" s="1459">
        <f t="shared" si="16"/>
        <v>0</v>
      </c>
      <c r="R35" s="1459">
        <f t="shared" si="16"/>
        <v>0</v>
      </c>
      <c r="S35" s="682">
        <f t="shared" si="11"/>
        <v>0</v>
      </c>
      <c r="T35" s="202"/>
      <c r="U35" s="747">
        <f t="shared" si="15"/>
        <v>0</v>
      </c>
      <c r="V35" s="858"/>
      <c r="W35" s="855">
        <f>IF('Palkat '!C$10=12,'Palkat '!C84,IF('Palkat '!C$10&lt;12,12*('Palkat '!C84+'Palkat '!D84)/('Palkat '!C$10+'Palkat '!D$10),12*'Palkat '!C84/'Palkat '!C$10))</f>
        <v>0</v>
      </c>
      <c r="X35" s="1015"/>
      <c r="Y35" s="1023"/>
      <c r="Z35" s="1024"/>
      <c r="AA35" s="1024"/>
      <c r="AB35" s="1021"/>
      <c r="AC35" s="1021"/>
      <c r="AD35" s="1021"/>
      <c r="AE35" s="1021"/>
      <c r="AF35" s="1021"/>
      <c r="AG35" s="1021"/>
      <c r="AH35" s="1021"/>
    </row>
    <row r="36" spans="1:34" ht="12.75" customHeight="1">
      <c r="B36" s="761"/>
      <c r="C36" s="762" t="s">
        <v>306</v>
      </c>
      <c r="D36" s="1662" t="s">
        <v>715</v>
      </c>
      <c r="E36" s="1662"/>
      <c r="F36" s="1482"/>
      <c r="G36" s="1459">
        <f t="shared" si="16"/>
        <v>0</v>
      </c>
      <c r="H36" s="1459">
        <f t="shared" si="16"/>
        <v>0</v>
      </c>
      <c r="I36" s="1459">
        <f t="shared" si="16"/>
        <v>0</v>
      </c>
      <c r="J36" s="1459">
        <f t="shared" si="16"/>
        <v>0</v>
      </c>
      <c r="K36" s="1459">
        <f t="shared" si="16"/>
        <v>0</v>
      </c>
      <c r="L36" s="1459">
        <f t="shared" si="16"/>
        <v>0</v>
      </c>
      <c r="M36" s="1459">
        <f t="shared" si="16"/>
        <v>0</v>
      </c>
      <c r="N36" s="1459">
        <f t="shared" si="16"/>
        <v>0</v>
      </c>
      <c r="O36" s="1459">
        <f t="shared" si="16"/>
        <v>0</v>
      </c>
      <c r="P36" s="1459">
        <f t="shared" si="16"/>
        <v>0</v>
      </c>
      <c r="Q36" s="1459">
        <f t="shared" si="16"/>
        <v>0</v>
      </c>
      <c r="R36" s="1459">
        <f t="shared" si="16"/>
        <v>0</v>
      </c>
      <c r="S36" s="682">
        <f t="shared" si="11"/>
        <v>0</v>
      </c>
      <c r="T36" s="202"/>
      <c r="U36" s="747">
        <f t="shared" si="15"/>
        <v>0</v>
      </c>
      <c r="V36" s="858"/>
      <c r="W36" s="855">
        <f>IF('Kustannukset K1'!$C$9&gt;0,(IF('Kustannukset K1'!$F$13=12,'Palkat '!C85,IF('Kustannukset K1'!$F$13&lt;12,12*(('Palkat '!C85+'Palkat '!D85)/('Kustannukset K1'!$F$13+'Kustannukset K1'!$G$13)),12*'Palkat '!C85/'Kustannukset K1'!$F$13))),(IF('Kustannukset Y1'!$F$13=12,'Palkat '!C85,IF('Kustannukset Y1'!$F$13&lt;12,12*(('Palkat '!C85+'Palkat '!D85)/('Kustannukset Y1'!$F$13+'Kustannukset Y1'!$G$13)),12*'Palkat '!C85/'Kustannukset Y1'!$F$13))))</f>
        <v>0</v>
      </c>
      <c r="X36" s="1015"/>
      <c r="Y36" s="1023"/>
      <c r="Z36" s="1024"/>
      <c r="AA36" s="1024"/>
      <c r="AB36" s="1021"/>
      <c r="AC36" s="1021"/>
      <c r="AD36" s="1021"/>
      <c r="AE36" s="1021"/>
      <c r="AF36" s="1021"/>
      <c r="AG36" s="1021"/>
      <c r="AH36" s="1021"/>
    </row>
    <row r="37" spans="1:34" ht="12.75" customHeight="1">
      <c r="B37" s="761"/>
      <c r="C37" s="762" t="s">
        <v>307</v>
      </c>
      <c r="D37" s="1662" t="s">
        <v>817</v>
      </c>
      <c r="E37" s="1662"/>
      <c r="F37" s="1483">
        <v>7.94</v>
      </c>
      <c r="G37" s="683">
        <f t="shared" ref="G37:R37" si="17">(G35+G36)*$F37%</f>
        <v>0</v>
      </c>
      <c r="H37" s="683">
        <f t="shared" si="17"/>
        <v>0</v>
      </c>
      <c r="I37" s="683">
        <f t="shared" si="17"/>
        <v>0</v>
      </c>
      <c r="J37" s="683">
        <f t="shared" si="17"/>
        <v>0</v>
      </c>
      <c r="K37" s="683">
        <f t="shared" si="17"/>
        <v>0</v>
      </c>
      <c r="L37" s="683">
        <f t="shared" si="17"/>
        <v>0</v>
      </c>
      <c r="M37" s="683">
        <f t="shared" si="17"/>
        <v>0</v>
      </c>
      <c r="N37" s="683">
        <f t="shared" si="17"/>
        <v>0</v>
      </c>
      <c r="O37" s="683">
        <f t="shared" si="17"/>
        <v>0</v>
      </c>
      <c r="P37" s="683">
        <f t="shared" si="17"/>
        <v>0</v>
      </c>
      <c r="Q37" s="683">
        <f t="shared" si="17"/>
        <v>0</v>
      </c>
      <c r="R37" s="683">
        <f t="shared" si="17"/>
        <v>0</v>
      </c>
      <c r="S37" s="682">
        <f t="shared" si="11"/>
        <v>0</v>
      </c>
      <c r="T37" s="202"/>
      <c r="U37" s="747">
        <f t="shared" si="15"/>
        <v>0</v>
      </c>
      <c r="V37" s="858"/>
      <c r="W37" s="747"/>
      <c r="X37" s="1015"/>
      <c r="Y37" s="1023"/>
      <c r="Z37" s="1024"/>
      <c r="AA37" s="1024"/>
      <c r="AB37" s="1021"/>
      <c r="AC37" s="1021"/>
      <c r="AD37" s="1021"/>
      <c r="AE37" s="1021"/>
      <c r="AF37" s="1021"/>
      <c r="AG37" s="1021"/>
      <c r="AH37" s="1021"/>
    </row>
    <row r="38" spans="1:34" ht="12.75" customHeight="1">
      <c r="A38" s="32"/>
      <c r="B38" s="850">
        <f>B32+1</f>
        <v>20</v>
      </c>
      <c r="C38" s="1832" t="s">
        <v>112</v>
      </c>
      <c r="D38" s="1833"/>
      <c r="E38" s="1833"/>
      <c r="F38" s="1484"/>
      <c r="G38" s="1475">
        <v>0</v>
      </c>
      <c r="H38" s="1475">
        <f>('2 AT Palkat, alv'!E14+'2 AT Palkat, alv'!E30)</f>
        <v>0</v>
      </c>
      <c r="I38" s="1475">
        <f>('2 AT Palkat, alv'!F14+'2 AT Palkat, alv'!F30)</f>
        <v>0</v>
      </c>
      <c r="J38" s="1475">
        <f>('2 AT Palkat, alv'!G14+'2 AT Palkat, alv'!G30)</f>
        <v>0</v>
      </c>
      <c r="K38" s="1475">
        <f>('2 AT Palkat, alv'!H14+'2 AT Palkat, alv'!H30)</f>
        <v>0</v>
      </c>
      <c r="L38" s="1475">
        <f>('2 AT Palkat, alv'!I14+'2 AT Palkat, alv'!I30)</f>
        <v>0</v>
      </c>
      <c r="M38" s="1475">
        <f>('2 AT Palkat, alv'!J14+'2 AT Palkat, alv'!J30)</f>
        <v>0</v>
      </c>
      <c r="N38" s="1475">
        <f>('2 AT Palkat, alv'!K14+'2 AT Palkat, alv'!K30)</f>
        <v>0</v>
      </c>
      <c r="O38" s="1475">
        <f>('2 AT Palkat, alv'!L14+'2 AT Palkat, alv'!L30)</f>
        <v>0</v>
      </c>
      <c r="P38" s="1475">
        <f>('2 AT Palkat, alv'!M14+'2 AT Palkat, alv'!M30)</f>
        <v>0</v>
      </c>
      <c r="Q38" s="1475">
        <f>('2 AT Palkat, alv'!N14+'2 AT Palkat, alv'!N30)</f>
        <v>0</v>
      </c>
      <c r="R38" s="1475">
        <f>('2 AT Palkat, alv'!O14+'2 AT Palkat, alv'!O30)</f>
        <v>0</v>
      </c>
      <c r="S38" s="1476">
        <f t="shared" si="11"/>
        <v>0</v>
      </c>
      <c r="T38" s="49"/>
      <c r="U38" s="747">
        <f t="shared" si="15"/>
        <v>20</v>
      </c>
      <c r="V38" s="857"/>
      <c r="W38" s="855"/>
      <c r="X38" s="1015"/>
      <c r="Y38" s="1020"/>
      <c r="Z38" s="1021"/>
      <c r="AA38" s="1021"/>
      <c r="AB38" s="1021"/>
      <c r="AC38" s="1021"/>
      <c r="AD38" s="1021"/>
      <c r="AE38" s="1021"/>
      <c r="AF38" s="1021"/>
      <c r="AG38" s="1021"/>
      <c r="AH38" s="1021"/>
    </row>
    <row r="39" spans="1:34" ht="12.75" customHeight="1">
      <c r="A39" s="32"/>
      <c r="B39" s="854">
        <f t="shared" ref="B39:B52" si="18">B38+1</f>
        <v>21</v>
      </c>
      <c r="C39" s="1820" t="s">
        <v>522</v>
      </c>
      <c r="D39" s="1820"/>
      <c r="E39" s="1820"/>
      <c r="F39" s="1829"/>
      <c r="G39" s="1000">
        <f>$W39/12</f>
        <v>0</v>
      </c>
      <c r="H39" s="1000">
        <f>$W39/12</f>
        <v>0</v>
      </c>
      <c r="I39" s="1000">
        <f t="shared" ref="I39:R39" si="19">$W39/12</f>
        <v>0</v>
      </c>
      <c r="J39" s="1000">
        <f t="shared" si="19"/>
        <v>0</v>
      </c>
      <c r="K39" s="1000">
        <f t="shared" si="19"/>
        <v>0</v>
      </c>
      <c r="L39" s="1000">
        <f t="shared" si="19"/>
        <v>0</v>
      </c>
      <c r="M39" s="1000">
        <f t="shared" si="19"/>
        <v>0</v>
      </c>
      <c r="N39" s="1000">
        <f t="shared" si="19"/>
        <v>0</v>
      </c>
      <c r="O39" s="1000">
        <f t="shared" si="19"/>
        <v>0</v>
      </c>
      <c r="P39" s="1000">
        <f t="shared" si="19"/>
        <v>0</v>
      </c>
      <c r="Q39" s="1000">
        <f t="shared" si="19"/>
        <v>0</v>
      </c>
      <c r="R39" s="1000">
        <f t="shared" si="19"/>
        <v>0</v>
      </c>
      <c r="S39" s="680">
        <f t="shared" si="11"/>
        <v>0</v>
      </c>
      <c r="T39" s="49"/>
      <c r="U39" s="747">
        <f t="shared" si="15"/>
        <v>21</v>
      </c>
      <c r="V39" s="857"/>
      <c r="W39" s="855">
        <f>IF('Kustannukset K1'!$C$9&gt;0,(IF('Kustannukset K1'!$F$13=12,'Kustannukset K1'!$F30+'Kustannukset K1'!F38,IF('Kustannukset K1'!F$13&lt;12,12*(('Kustannukset K1'!F30+'Kustannukset K1'!G30+'Kustannukset K1'!F38+'Kustannukset K1'!G38)/('Kustannukset K1'!F$13+'Kustannukset K1'!G$13)),12*('Kustannukset K1'!F30+'Kustannukset K1'!F38)/'Kustannukset K1'!F$13))),(IF('Kustannukset Y1'!F$13=12,'Kustannukset Y1'!F30+'Kustannukset Y1'!F38,IF('Kustannukset Y1'!F$13&lt;12,12*(('Kustannukset Y1'!F30+'Kustannukset Y1'!G30+'Kustannukset Y1'!F38+'Kustannukset Y1'!G38)/('Kustannukset Y1'!F$13+'Kustannukset Y1'!G$13)),12*('Kustannukset Y1'!F30+'Kustannukset Y1'!F38)/'Kustannukset Y1'!F$13))))</f>
        <v>0</v>
      </c>
      <c r="X39" s="1015"/>
      <c r="Y39" s="1020"/>
      <c r="Z39" s="1021"/>
      <c r="AA39" s="1021"/>
      <c r="AB39" s="1021"/>
      <c r="AC39" s="1021"/>
      <c r="AD39" s="1021"/>
      <c r="AE39" s="1021"/>
      <c r="AF39" s="1021"/>
      <c r="AG39" s="1021"/>
      <c r="AH39" s="1021"/>
    </row>
    <row r="40" spans="1:34" ht="12.75" customHeight="1">
      <c r="A40" s="32"/>
      <c r="B40" s="854">
        <f t="shared" si="18"/>
        <v>22</v>
      </c>
      <c r="C40" s="1820" t="s">
        <v>521</v>
      </c>
      <c r="D40" s="1821"/>
      <c r="E40" s="1821"/>
      <c r="F40" s="1481">
        <v>26.5</v>
      </c>
      <c r="G40" s="1000">
        <f>$F40%*(G35+G36)</f>
        <v>0</v>
      </c>
      <c r="H40" s="1000">
        <f t="shared" ref="H40:R40" si="20">$F40%*(H35+H36)</f>
        <v>0</v>
      </c>
      <c r="I40" s="1000">
        <f t="shared" si="20"/>
        <v>0</v>
      </c>
      <c r="J40" s="1000">
        <f t="shared" si="20"/>
        <v>0</v>
      </c>
      <c r="K40" s="1000">
        <f t="shared" si="20"/>
        <v>0</v>
      </c>
      <c r="L40" s="1000">
        <f t="shared" si="20"/>
        <v>0</v>
      </c>
      <c r="M40" s="1000">
        <f t="shared" si="20"/>
        <v>0</v>
      </c>
      <c r="N40" s="1000">
        <f t="shared" si="20"/>
        <v>0</v>
      </c>
      <c r="O40" s="1000">
        <f t="shared" si="20"/>
        <v>0</v>
      </c>
      <c r="P40" s="1000">
        <f t="shared" si="20"/>
        <v>0</v>
      </c>
      <c r="Q40" s="1000">
        <f t="shared" si="20"/>
        <v>0</v>
      </c>
      <c r="R40" s="1000">
        <f t="shared" si="20"/>
        <v>0</v>
      </c>
      <c r="S40" s="680">
        <f t="shared" si="11"/>
        <v>0</v>
      </c>
      <c r="T40" s="49"/>
      <c r="U40" s="747">
        <f t="shared" si="15"/>
        <v>22</v>
      </c>
      <c r="V40" s="857"/>
      <c r="W40" s="855"/>
      <c r="X40" s="1015"/>
      <c r="Y40" s="1020"/>
      <c r="Z40" s="1021"/>
      <c r="AA40" s="1021"/>
      <c r="AB40" s="1021"/>
      <c r="AC40" s="1021"/>
      <c r="AD40" s="1021"/>
      <c r="AE40" s="1021"/>
      <c r="AF40" s="1021"/>
      <c r="AG40" s="1021"/>
      <c r="AH40" s="1021"/>
    </row>
    <row r="41" spans="1:34" ht="12.75" customHeight="1">
      <c r="A41" s="32"/>
      <c r="B41" s="854">
        <f t="shared" si="18"/>
        <v>23</v>
      </c>
      <c r="C41" s="1820" t="s">
        <v>340</v>
      </c>
      <c r="D41" s="1821"/>
      <c r="E41" s="1821"/>
      <c r="F41" s="763"/>
      <c r="G41" s="1000">
        <f t="shared" ref="G41:R43" si="21">$W41/12</f>
        <v>0</v>
      </c>
      <c r="H41" s="1000">
        <f t="shared" si="21"/>
        <v>0</v>
      </c>
      <c r="I41" s="1000">
        <f t="shared" si="21"/>
        <v>0</v>
      </c>
      <c r="J41" s="1000">
        <f t="shared" si="21"/>
        <v>0</v>
      </c>
      <c r="K41" s="1000">
        <f t="shared" si="21"/>
        <v>0</v>
      </c>
      <c r="L41" s="1000">
        <f t="shared" si="21"/>
        <v>0</v>
      </c>
      <c r="M41" s="1000">
        <f t="shared" si="21"/>
        <v>0</v>
      </c>
      <c r="N41" s="1000">
        <f t="shared" si="21"/>
        <v>0</v>
      </c>
      <c r="O41" s="1000">
        <f t="shared" si="21"/>
        <v>0</v>
      </c>
      <c r="P41" s="1000">
        <f t="shared" si="21"/>
        <v>0</v>
      </c>
      <c r="Q41" s="1000">
        <f t="shared" si="21"/>
        <v>0</v>
      </c>
      <c r="R41" s="1000">
        <f t="shared" si="21"/>
        <v>0</v>
      </c>
      <c r="S41" s="679">
        <f t="shared" si="11"/>
        <v>0</v>
      </c>
      <c r="T41" s="247"/>
      <c r="U41" s="747">
        <f>B41</f>
        <v>23</v>
      </c>
      <c r="V41" s="858"/>
      <c r="W41" s="855">
        <f>IF('Kustannukset K1'!C$9&gt;0,(IF('Kustannukset K1'!F$13=12,'Kustannukset K1'!F35+'Kustannukset K1'!F40,IF('Kustannukset K1'!F$13&lt;12,12*(('Kustannukset K1'!F35+'Kustannukset K1'!F40+'Kustannukset K1'!G35+'Kustannukset K1'!G40)/('Kustannukset K1'!F$13+'Kustannukset K1'!G$13)),12*('Kustannukset K1'!F35+'Kustannukset K1'!F40)/'Kustannukset K1'!F$13))),(IF('Kustannukset Y1'!F$13=12,'Kustannukset Y1'!F35+'Kustannukset Y1'!F40,IF('Kustannukset Y1'!F$13&lt;12,12*(('Kustannukset Y1'!F35+'Kustannukset Y1'!G35+'Kustannukset Y1'!F40+'Kustannukset Y1'!G40)/('Kustannukset Y1'!F$13+'Kustannukset Y1'!G$13)),12*('Kustannukset Y1'!F35+'Kustannukset Y1'!F40)/'Kustannukset Y1'!F$13))))</f>
        <v>0</v>
      </c>
      <c r="X41" s="1015"/>
      <c r="Y41" s="1020"/>
      <c r="Z41" s="1021"/>
      <c r="AA41" s="1021"/>
      <c r="AB41" s="1021"/>
      <c r="AC41" s="1021"/>
      <c r="AD41" s="1021"/>
      <c r="AE41" s="1021"/>
      <c r="AF41" s="1021"/>
      <c r="AG41" s="1021"/>
      <c r="AH41" s="1021"/>
    </row>
    <row r="42" spans="1:34" ht="12.75" customHeight="1">
      <c r="A42" s="32"/>
      <c r="B42" s="854">
        <f t="shared" si="18"/>
        <v>24</v>
      </c>
      <c r="C42" s="1820" t="s">
        <v>341</v>
      </c>
      <c r="D42" s="1821"/>
      <c r="E42" s="1821"/>
      <c r="F42" s="764"/>
      <c r="G42" s="1000"/>
      <c r="H42" s="1000">
        <f>W42</f>
        <v>0</v>
      </c>
      <c r="I42" s="1000"/>
      <c r="J42" s="1000"/>
      <c r="K42" s="1000"/>
      <c r="L42" s="1000"/>
      <c r="M42" s="1000"/>
      <c r="N42" s="1000"/>
      <c r="O42" s="1000"/>
      <c r="P42" s="1000"/>
      <c r="Q42" s="1000"/>
      <c r="R42" s="1000"/>
      <c r="S42" s="680">
        <f t="shared" si="11"/>
        <v>0</v>
      </c>
      <c r="T42" s="247"/>
      <c r="U42" s="747">
        <f>B42</f>
        <v>24</v>
      </c>
      <c r="V42" s="858"/>
      <c r="W42" s="855">
        <f>IF('Kustannukset K1'!C$9&gt;0,(IF('Kustannukset K1'!F$13=12,'Kustannukset K1'!F57*0.003+'Kustannukset K1'!F66+'Kustannukset K1'!F111,IF('Kustannukset K1'!F$13&lt;12,12*(('Kustannukset K1'!F57*0.003+'Kustannukset K1'!F66+'Kustannukset K1'!F111+'Kustannukset K1'!G57*0.003+'Kustannukset K1'!G66+'Kustannukset K1'!G111)/('Kustannukset K1'!F$13+'Kustannukset K1'!G$13)),12*('Kustannukset K1'!F57*0.003+'Kustannukset K1'!F66+'Kustannukset K1'!F111)/'Kustannukset K1'!F$13))),(IF('Kustannukset Y1'!F$13=12,'Kustannukset Y1'!F57*0.003+'Kustannukset Y1'!F66+'Kustannukset Y1'!F111,IF('Kustannukset Y1'!F$13&lt;12,12*(('Kustannukset Y1'!F57*0.003+'Kustannukset Y1'!F66+'Kustannukset Y1'!F111+'Kustannukset Y1'!G57*0.003+'Kustannukset Y1'!F66+'Kustannukset Y1'!G111)/('Kustannukset Y1'!F$13+'Kustannukset Y1'!G$13)),12*('Kustannukset Y1'!F57*0.003+'Kustannukset Y1'!F66+'Kustannukset Y1'!F111)/'Kustannukset Y1'!F$13))))</f>
        <v>0</v>
      </c>
      <c r="X42" s="1019"/>
      <c r="Y42" s="1020"/>
      <c r="Z42" s="1021"/>
      <c r="AA42" s="1021"/>
      <c r="AB42" s="1021"/>
      <c r="AC42" s="1021"/>
      <c r="AD42" s="1021"/>
      <c r="AE42" s="1021"/>
      <c r="AF42" s="1021"/>
      <c r="AG42" s="1021"/>
      <c r="AH42" s="1021"/>
    </row>
    <row r="43" spans="1:34" ht="12.75" customHeight="1">
      <c r="A43" s="32"/>
      <c r="B43" s="854">
        <f t="shared" si="18"/>
        <v>25</v>
      </c>
      <c r="C43" s="1820" t="s">
        <v>147</v>
      </c>
      <c r="D43" s="1821"/>
      <c r="E43" s="1821"/>
      <c r="F43" s="752"/>
      <c r="G43" s="1000">
        <f t="shared" si="21"/>
        <v>0</v>
      </c>
      <c r="H43" s="1000">
        <f t="shared" si="21"/>
        <v>0</v>
      </c>
      <c r="I43" s="1000">
        <f t="shared" si="21"/>
        <v>0</v>
      </c>
      <c r="J43" s="1000">
        <f t="shared" si="21"/>
        <v>0</v>
      </c>
      <c r="K43" s="1000">
        <f t="shared" si="21"/>
        <v>0</v>
      </c>
      <c r="L43" s="1000">
        <f t="shared" si="21"/>
        <v>0</v>
      </c>
      <c r="M43" s="1000">
        <f t="shared" si="21"/>
        <v>0</v>
      </c>
      <c r="N43" s="1000">
        <f t="shared" si="21"/>
        <v>0</v>
      </c>
      <c r="O43" s="1000">
        <f t="shared" si="21"/>
        <v>0</v>
      </c>
      <c r="P43" s="1000">
        <f t="shared" si="21"/>
        <v>0</v>
      </c>
      <c r="Q43" s="1000">
        <f t="shared" si="21"/>
        <v>0</v>
      </c>
      <c r="R43" s="1000">
        <f t="shared" si="21"/>
        <v>0</v>
      </c>
      <c r="S43" s="680">
        <f t="shared" si="11"/>
        <v>0</v>
      </c>
      <c r="T43" s="49"/>
      <c r="U43" s="747">
        <f t="shared" ref="U43:U50" si="22">B43</f>
        <v>25</v>
      </c>
      <c r="V43" s="857"/>
      <c r="W43" s="855">
        <f>'2 AT Palkat, alv'!U86</f>
        <v>0</v>
      </c>
      <c r="X43" s="1019"/>
      <c r="Y43" s="1020"/>
      <c r="Z43" s="1021"/>
      <c r="AA43" s="1021"/>
      <c r="AB43" s="1021"/>
      <c r="AC43" s="1021"/>
      <c r="AD43" s="1021"/>
      <c r="AE43" s="1021"/>
      <c r="AF43" s="1021"/>
      <c r="AG43" s="1021"/>
      <c r="AH43" s="1021"/>
    </row>
    <row r="44" spans="1:34" ht="12.75" customHeight="1">
      <c r="B44" s="854">
        <f t="shared" si="18"/>
        <v>26</v>
      </c>
      <c r="C44" s="1820" t="s">
        <v>145</v>
      </c>
      <c r="D44" s="1821"/>
      <c r="E44" s="1821"/>
      <c r="F44" s="752"/>
      <c r="G44" s="1000"/>
      <c r="H44" s="1000"/>
      <c r="I44" s="1000"/>
      <c r="J44" s="1000"/>
      <c r="K44" s="1000"/>
      <c r="L44" s="1000">
        <f>$W44/2</f>
        <v>0</v>
      </c>
      <c r="M44" s="1000"/>
      <c r="N44" s="1000"/>
      <c r="O44" s="1000">
        <v>0</v>
      </c>
      <c r="P44" s="1000"/>
      <c r="Q44" s="1000"/>
      <c r="R44" s="1000">
        <f>$W44/2</f>
        <v>0</v>
      </c>
      <c r="S44" s="680">
        <f t="shared" si="11"/>
        <v>0</v>
      </c>
      <c r="T44" s="49"/>
      <c r="U44" s="747">
        <f t="shared" si="22"/>
        <v>26</v>
      </c>
      <c r="V44" s="857"/>
      <c r="W44" s="859">
        <f>IF('Kustannukset K1'!$C$9&gt;0,(IF('Kustannukset K1'!$F$13=12,'Kustannukset K1'!$F21,IF('Kustannukset K1'!$F$13&lt;12,12*(('Kustannukset K1'!$F21+'Kustannukset K1'!$G21)/('Kustannukset K1'!$F$13+'Kustannukset K1'!$G$13)),12*'Kustannukset K1'!$F21/'Kustannukset K1'!$F$13))),(IF('Kustannukset Y1'!$F$13=12,'Kustannukset Y1'!$F21,IF('Kustannukset Y1'!$F$13&lt;12,12*(('Kustannukset Y1'!$F21+'Kustannukset Y1'!$G21)/('Kustannukset Y1'!$F$13+'Kustannukset Y1'!$G$13)),12*'Kustannukset Y1'!$F21/'Kustannukset Y1'!$F$13))))</f>
        <v>0</v>
      </c>
      <c r="X44" s="1015"/>
      <c r="Y44" s="1020"/>
      <c r="Z44" s="1021"/>
      <c r="AA44" s="1021"/>
      <c r="AB44" s="1021"/>
      <c r="AC44" s="1021"/>
      <c r="AD44" s="1021"/>
      <c r="AE44" s="1021"/>
      <c r="AF44" s="1021"/>
      <c r="AG44" s="1021"/>
      <c r="AH44" s="1021"/>
    </row>
    <row r="45" spans="1:34" ht="12.75" customHeight="1">
      <c r="A45" s="32"/>
      <c r="B45" s="854">
        <f t="shared" si="18"/>
        <v>27</v>
      </c>
      <c r="C45" s="1827" t="s">
        <v>704</v>
      </c>
      <c r="D45" s="1828"/>
      <c r="E45" s="1828"/>
      <c r="F45" s="752"/>
      <c r="G45" s="1000">
        <f>$W45/12</f>
        <v>0</v>
      </c>
      <c r="H45" s="1000">
        <f>G45</f>
        <v>0</v>
      </c>
      <c r="I45" s="1000">
        <f t="shared" ref="I45:R45" si="23">H45</f>
        <v>0</v>
      </c>
      <c r="J45" s="1000">
        <f t="shared" si="23"/>
        <v>0</v>
      </c>
      <c r="K45" s="1000">
        <f t="shared" si="23"/>
        <v>0</v>
      </c>
      <c r="L45" s="1000">
        <f t="shared" si="23"/>
        <v>0</v>
      </c>
      <c r="M45" s="1000">
        <f t="shared" si="23"/>
        <v>0</v>
      </c>
      <c r="N45" s="1000">
        <f t="shared" si="23"/>
        <v>0</v>
      </c>
      <c r="O45" s="1000">
        <f t="shared" si="23"/>
        <v>0</v>
      </c>
      <c r="P45" s="1000">
        <f t="shared" si="23"/>
        <v>0</v>
      </c>
      <c r="Q45" s="1000">
        <f t="shared" si="23"/>
        <v>0</v>
      </c>
      <c r="R45" s="1000">
        <f t="shared" si="23"/>
        <v>0</v>
      </c>
      <c r="S45" s="680">
        <f t="shared" si="11"/>
        <v>0</v>
      </c>
      <c r="T45" s="49"/>
      <c r="U45" s="747">
        <f t="shared" si="22"/>
        <v>27</v>
      </c>
      <c r="V45" s="857"/>
      <c r="W45" s="855">
        <f>-IF('Kustannukset K1'!C9=0,'Rahoitus Y3'!F51+'Kustannukset Y1'!F58,'Rahoitus K3'!F51+'Kustannukset K1'!F58)</f>
        <v>0</v>
      </c>
      <c r="X45" s="1015"/>
      <c r="Y45" s="1020"/>
      <c r="Z45" s="1021"/>
      <c r="AA45" s="1021"/>
      <c r="AB45" s="1021"/>
      <c r="AC45" s="1021"/>
      <c r="AD45" s="1021"/>
      <c r="AE45" s="1021"/>
      <c r="AF45" s="1021"/>
      <c r="AG45" s="1021"/>
      <c r="AH45" s="1021"/>
    </row>
    <row r="46" spans="1:34" ht="12.75" customHeight="1">
      <c r="A46" s="32"/>
      <c r="B46" s="854">
        <f t="shared" si="18"/>
        <v>28</v>
      </c>
      <c r="C46" s="1820" t="s">
        <v>308</v>
      </c>
      <c r="D46" s="1821"/>
      <c r="E46" s="1821"/>
      <c r="F46" s="752"/>
      <c r="G46" s="1000">
        <f>$W46/12</f>
        <v>0</v>
      </c>
      <c r="H46" s="1000">
        <f t="shared" ref="H46:R46" si="24">$W46/12</f>
        <v>0</v>
      </c>
      <c r="I46" s="1000">
        <f t="shared" si="24"/>
        <v>0</v>
      </c>
      <c r="J46" s="1000">
        <f t="shared" si="24"/>
        <v>0</v>
      </c>
      <c r="K46" s="1000">
        <f t="shared" si="24"/>
        <v>0</v>
      </c>
      <c r="L46" s="1000">
        <f t="shared" si="24"/>
        <v>0</v>
      </c>
      <c r="M46" s="1000">
        <f t="shared" si="24"/>
        <v>0</v>
      </c>
      <c r="N46" s="1000">
        <f t="shared" si="24"/>
        <v>0</v>
      </c>
      <c r="O46" s="1000">
        <f t="shared" si="24"/>
        <v>0</v>
      </c>
      <c r="P46" s="1000">
        <f t="shared" si="24"/>
        <v>0</v>
      </c>
      <c r="Q46" s="1000">
        <f t="shared" si="24"/>
        <v>0</v>
      </c>
      <c r="R46" s="1000">
        <f t="shared" si="24"/>
        <v>0</v>
      </c>
      <c r="S46" s="680">
        <f t="shared" si="11"/>
        <v>0</v>
      </c>
      <c r="T46" s="49"/>
      <c r="U46" s="747">
        <f t="shared" si="22"/>
        <v>28</v>
      </c>
      <c r="V46" s="857"/>
      <c r="W46" s="855">
        <f>IF('Kustannukset K1'!$C$9&gt;0,(IF('Kustannukset K1'!$F$13=12,'Kustannukset K1'!$F79+'Kustannukset K1'!F83,IF('Kustannukset K1'!F$13&lt;12,12*(('Kustannukset K1'!F79+'Kustannukset K1'!G79+'Kustannukset K1'!F83+'Kustannukset K1'!G83)/('Kustannukset K1'!F$13+'Kustannukset K1'!G$13)),12*('Kustannukset K1'!F79+'Kustannukset K1'!F83)/'Kustannukset K1'!F$13))),(IF('Kustannukset Y1'!F$13=12,'Kustannukset Y1'!F79+'Kustannukset Y1'!F83,IF('Kustannukset Y1'!F$13&lt;12,12*(('Kustannukset Y1'!F79+'Kustannukset Y1'!G79+'Kustannukset Y1'!F83+'Kustannukset Y1'!G83)/('Kustannukset Y1'!F$13+'Kustannukset Y1'!G$13)),12*('Kustannukset Y1'!F79+'Kustannukset Y1'!F83)/'Kustannukset Y1'!F$13))))</f>
        <v>0</v>
      </c>
      <c r="X46" s="1019"/>
      <c r="Y46" s="1020"/>
      <c r="Z46" s="1021"/>
      <c r="AA46" s="1021"/>
      <c r="AB46" s="1021"/>
      <c r="AC46" s="1021"/>
      <c r="AD46" s="1021"/>
      <c r="AE46" s="1021"/>
      <c r="AF46" s="1021"/>
      <c r="AG46" s="1021"/>
      <c r="AH46" s="1021"/>
    </row>
    <row r="47" spans="1:34" ht="12.75" customHeight="1">
      <c r="A47" s="32"/>
      <c r="B47" s="854">
        <f t="shared" si="18"/>
        <v>29</v>
      </c>
      <c r="C47" s="1820" t="s">
        <v>740</v>
      </c>
      <c r="D47" s="1821"/>
      <c r="E47" s="1821"/>
      <c r="F47" s="752"/>
      <c r="G47" s="1000">
        <f>$W47/12</f>
        <v>0</v>
      </c>
      <c r="H47" s="1000">
        <f t="shared" ref="H47:R47" si="25">$W47/12</f>
        <v>0</v>
      </c>
      <c r="I47" s="1000">
        <f t="shared" si="25"/>
        <v>0</v>
      </c>
      <c r="J47" s="1000">
        <f t="shared" si="25"/>
        <v>0</v>
      </c>
      <c r="K47" s="1000">
        <f t="shared" si="25"/>
        <v>0</v>
      </c>
      <c r="L47" s="1000">
        <f t="shared" si="25"/>
        <v>0</v>
      </c>
      <c r="M47" s="1000">
        <f t="shared" si="25"/>
        <v>0</v>
      </c>
      <c r="N47" s="1000">
        <f t="shared" si="25"/>
        <v>0</v>
      </c>
      <c r="O47" s="1000">
        <f t="shared" si="25"/>
        <v>0</v>
      </c>
      <c r="P47" s="1000">
        <f t="shared" si="25"/>
        <v>0</v>
      </c>
      <c r="Q47" s="1000">
        <f t="shared" si="25"/>
        <v>0</v>
      </c>
      <c r="R47" s="1000">
        <f t="shared" si="25"/>
        <v>0</v>
      </c>
      <c r="S47" s="680">
        <f t="shared" si="11"/>
        <v>0</v>
      </c>
      <c r="T47" s="49"/>
      <c r="U47" s="747">
        <f t="shared" si="22"/>
        <v>29</v>
      </c>
      <c r="V47" s="857"/>
      <c r="W47" s="855">
        <f>IF('Kustannukset K1'!$C$9&gt;0,(IF('Kustannukset K1'!$F$13=12,'Kustannukset K1'!$F116,IF('Kustannukset K1'!$F$13&lt;12,12*(('Kustannukset K1'!$F116+'Kustannukset K1'!$G116)/('Kustannukset K1'!$F$13+'Kustannukset K1'!$G$13)),12*'Kustannukset K1'!$F116/'Kustannukset K1'!$F$13))),(IF('Kustannukset Y1'!$F$13=12,'Kustannukset Y1'!$F116,IF('Kustannukset Y1'!$F$13&lt;12,12*(('Kustannukset Y1'!$F116+'Kustannukset Y1'!$G116)/('Kustannukset Y1'!$F$13+'Kustannukset Y1'!$G$13)),12*'Kustannukset Y1'!$F116/'Kustannukset Y1'!$F$13))))</f>
        <v>0</v>
      </c>
      <c r="X47" s="1019"/>
      <c r="Y47" s="1020"/>
      <c r="Z47" s="1021"/>
      <c r="AA47" s="1021"/>
      <c r="AB47" s="1021"/>
      <c r="AC47" s="1021"/>
      <c r="AD47" s="1021"/>
      <c r="AE47" s="1021"/>
      <c r="AF47" s="1021"/>
      <c r="AG47" s="1021"/>
      <c r="AH47" s="1021"/>
    </row>
    <row r="48" spans="1:34" ht="12.75" customHeight="1">
      <c r="A48" s="32"/>
      <c r="B48" s="854">
        <f t="shared" si="18"/>
        <v>30</v>
      </c>
      <c r="C48" s="1820" t="s">
        <v>114</v>
      </c>
      <c r="D48" s="1821"/>
      <c r="E48" s="1821"/>
      <c r="F48" s="752"/>
      <c r="G48" s="1000"/>
      <c r="H48" s="1000"/>
      <c r="I48" s="1000"/>
      <c r="J48" s="1000"/>
      <c r="K48" s="1000"/>
      <c r="L48" s="1000">
        <f>W48/2</f>
        <v>0</v>
      </c>
      <c r="M48" s="1000"/>
      <c r="N48" s="1000"/>
      <c r="O48" s="1000">
        <v>0</v>
      </c>
      <c r="P48" s="1000"/>
      <c r="Q48" s="1000"/>
      <c r="R48" s="1000">
        <f>W48/2</f>
        <v>0</v>
      </c>
      <c r="S48" s="680">
        <f t="shared" si="11"/>
        <v>0</v>
      </c>
      <c r="T48" s="49"/>
      <c r="U48" s="747">
        <f t="shared" si="22"/>
        <v>30</v>
      </c>
      <c r="V48" s="857"/>
      <c r="W48" s="859">
        <f>IF('Kustannukset K1'!C9&gt;0,'Rahoitus K3'!K16-'Kustannukset K1'!F22,'Rahoitus Y3'!K16-'Kustannukset Y1'!F22)</f>
        <v>0</v>
      </c>
      <c r="X48" s="1015"/>
      <c r="Y48" s="1020"/>
      <c r="Z48" s="1021"/>
      <c r="AA48" s="1021"/>
      <c r="AB48" s="1021"/>
      <c r="AC48" s="1021"/>
      <c r="AD48" s="1021"/>
      <c r="AE48" s="1021"/>
      <c r="AF48" s="1021"/>
      <c r="AG48" s="1021"/>
      <c r="AH48" s="1021"/>
    </row>
    <row r="49" spans="1:34" ht="12.75" customHeight="1">
      <c r="A49" s="32"/>
      <c r="B49" s="854">
        <f t="shared" si="18"/>
        <v>31</v>
      </c>
      <c r="C49" s="1820" t="s">
        <v>115</v>
      </c>
      <c r="D49" s="1821"/>
      <c r="E49" s="1821"/>
      <c r="F49" s="752"/>
      <c r="G49" s="1000">
        <v>0</v>
      </c>
      <c r="H49" s="1000">
        <v>0</v>
      </c>
      <c r="I49" s="1000">
        <v>0</v>
      </c>
      <c r="J49" s="1000">
        <v>0</v>
      </c>
      <c r="K49" s="1000">
        <v>0</v>
      </c>
      <c r="L49" s="1000">
        <v>0</v>
      </c>
      <c r="M49" s="1000">
        <v>0</v>
      </c>
      <c r="N49" s="1000">
        <v>0</v>
      </c>
      <c r="O49" s="1000">
        <v>0</v>
      </c>
      <c r="P49" s="1000">
        <v>0</v>
      </c>
      <c r="Q49" s="1000">
        <v>0</v>
      </c>
      <c r="R49" s="1000">
        <v>0</v>
      </c>
      <c r="S49" s="680">
        <f t="shared" si="11"/>
        <v>0</v>
      </c>
      <c r="T49" s="49"/>
      <c r="U49" s="747">
        <f t="shared" si="22"/>
        <v>31</v>
      </c>
      <c r="V49" s="857"/>
      <c r="W49" s="855"/>
      <c r="X49" s="1015"/>
      <c r="Y49" s="1020"/>
      <c r="Z49" s="1021"/>
      <c r="AA49" s="1021"/>
      <c r="AB49" s="1021"/>
      <c r="AC49" s="1021"/>
      <c r="AD49" s="1021"/>
      <c r="AE49" s="1021"/>
      <c r="AF49" s="1021"/>
      <c r="AG49" s="1021"/>
      <c r="AH49" s="1021"/>
    </row>
    <row r="50" spans="1:34" ht="12.75" customHeight="1">
      <c r="A50" s="32"/>
      <c r="B50" s="854">
        <f t="shared" si="18"/>
        <v>32</v>
      </c>
      <c r="C50" s="1820" t="s">
        <v>144</v>
      </c>
      <c r="D50" s="1821"/>
      <c r="E50" s="1821"/>
      <c r="F50" s="752"/>
      <c r="G50" s="1000">
        <f t="shared" ref="G50:R50" si="26">$W50/12</f>
        <v>0</v>
      </c>
      <c r="H50" s="1000">
        <f t="shared" si="26"/>
        <v>0</v>
      </c>
      <c r="I50" s="1000">
        <f t="shared" si="26"/>
        <v>0</v>
      </c>
      <c r="J50" s="1000">
        <f t="shared" si="26"/>
        <v>0</v>
      </c>
      <c r="K50" s="1000">
        <f t="shared" si="26"/>
        <v>0</v>
      </c>
      <c r="L50" s="1000">
        <f t="shared" si="26"/>
        <v>0</v>
      </c>
      <c r="M50" s="1000">
        <f t="shared" si="26"/>
        <v>0</v>
      </c>
      <c r="N50" s="1000">
        <f t="shared" si="26"/>
        <v>0</v>
      </c>
      <c r="O50" s="1000">
        <f t="shared" si="26"/>
        <v>0</v>
      </c>
      <c r="P50" s="1000">
        <f t="shared" si="26"/>
        <v>0</v>
      </c>
      <c r="Q50" s="1000">
        <f t="shared" si="26"/>
        <v>0</v>
      </c>
      <c r="R50" s="1000">
        <f t="shared" si="26"/>
        <v>0</v>
      </c>
      <c r="S50" s="680">
        <f t="shared" si="11"/>
        <v>0</v>
      </c>
      <c r="T50" s="49"/>
      <c r="U50" s="747">
        <f t="shared" si="22"/>
        <v>32</v>
      </c>
      <c r="V50" s="860"/>
      <c r="W50" s="859">
        <f>IF('Kustannukset K1'!$C$9&gt;0,(IF('Kustannukset K1'!$F$13=12,'Kustannukset K1'!$F26,IF('Kustannukset K1'!$F$13&lt;12,12*(('Kustannukset K1'!$F26+'Kustannukset K1'!$G26)/('Kustannukset K1'!$F$13+'Kustannukset K1'!$G$13)),12*'Kustannukset K1'!$F26/'Kustannukset K1'!$F$13))),(IF('Kustannukset Y1'!$F$13=12,'Kustannukset Y1'!$F26,IF('Kustannukset Y1'!$F$13&lt;12,12*(('Kustannukset Y1'!$F26+'Kustannukset Y1'!$G26)/('Kustannukset Y1'!$F$13+'Kustannukset Y1'!$G$13)),12*'Kustannukset Y1'!$F26/'Kustannukset Y1'!$F$13))))</f>
        <v>0</v>
      </c>
      <c r="X50" s="1015"/>
      <c r="Y50" s="1020"/>
      <c r="Z50" s="1021"/>
      <c r="AA50" s="1021"/>
      <c r="AB50" s="1021"/>
      <c r="AC50" s="1021"/>
      <c r="AD50" s="1021"/>
      <c r="AE50" s="1021"/>
      <c r="AF50" s="1021"/>
      <c r="AG50" s="1021"/>
      <c r="AH50" s="1021"/>
    </row>
    <row r="51" spans="1:34" ht="12.75" customHeight="1">
      <c r="A51" s="32"/>
      <c r="B51" s="854">
        <f t="shared" si="18"/>
        <v>33</v>
      </c>
      <c r="C51" s="1820" t="s">
        <v>497</v>
      </c>
      <c r="D51" s="1821"/>
      <c r="E51" s="1821"/>
      <c r="F51" s="765"/>
      <c r="G51" s="1000">
        <f>W51</f>
        <v>0</v>
      </c>
      <c r="H51" s="1000"/>
      <c r="I51" s="1000"/>
      <c r="J51" s="1000"/>
      <c r="K51" s="1000"/>
      <c r="L51" s="1000"/>
      <c r="M51" s="1000"/>
      <c r="N51" s="1000"/>
      <c r="O51" s="1000"/>
      <c r="P51" s="1000"/>
      <c r="Q51" s="1000"/>
      <c r="R51" s="1000"/>
      <c r="S51" s="680">
        <f t="shared" si="11"/>
        <v>0</v>
      </c>
      <c r="T51" s="49"/>
      <c r="U51" s="747">
        <f>B51</f>
        <v>33</v>
      </c>
      <c r="V51" s="860"/>
      <c r="W51" s="681">
        <f>IF('Rahoitus K3'!B$9&gt;0,'Rahoitus K3'!E17+'Rahoitus K3'!E18+'Rahoitus K3'!E24+'Rahoitus K3'!E26+'Rahoitus K3'!E30,'Rahoitus Y3'!E17+'Rahoitus Y3'!E18+'Rahoitus Y3'!E24+'Rahoitus Y3'!E26+'Rahoitus Y3'!E30)</f>
        <v>0</v>
      </c>
      <c r="X51" s="1016"/>
      <c r="Y51" s="1020"/>
      <c r="Z51" s="1021"/>
      <c r="AA51" s="1021"/>
      <c r="AB51" s="1021"/>
      <c r="AC51" s="1021"/>
      <c r="AD51" s="1021"/>
      <c r="AE51" s="1021"/>
      <c r="AF51" s="1021"/>
      <c r="AG51" s="1021"/>
      <c r="AH51" s="1021"/>
    </row>
    <row r="52" spans="1:34" ht="12.75" customHeight="1">
      <c r="A52" s="32"/>
      <c r="B52" s="1010">
        <f t="shared" si="18"/>
        <v>34</v>
      </c>
      <c r="C52" s="1825" t="s">
        <v>309</v>
      </c>
      <c r="D52" s="1825"/>
      <c r="E52" s="1825"/>
      <c r="F52" s="1011"/>
      <c r="G52" s="771"/>
      <c r="H52" s="771"/>
      <c r="I52" s="771"/>
      <c r="J52" s="771"/>
      <c r="K52" s="771"/>
      <c r="L52" s="771">
        <v>0</v>
      </c>
      <c r="M52" s="771"/>
      <c r="N52" s="771"/>
      <c r="O52" s="771"/>
      <c r="P52" s="771">
        <v>0</v>
      </c>
      <c r="Q52" s="771"/>
      <c r="R52" s="771"/>
      <c r="S52" s="1012">
        <f>SUM(G52:R52)</f>
        <v>0</v>
      </c>
      <c r="T52" s="49"/>
      <c r="U52" s="747">
        <f>B52</f>
        <v>34</v>
      </c>
      <c r="V52" s="860"/>
      <c r="W52" s="855"/>
      <c r="X52" s="1015"/>
      <c r="Y52" s="1020"/>
      <c r="Z52" s="1021"/>
      <c r="AA52" s="1021"/>
      <c r="AB52" s="1021"/>
      <c r="AC52" s="1021"/>
      <c r="AD52" s="1021"/>
      <c r="AE52" s="1021"/>
      <c r="AF52" s="1021"/>
      <c r="AG52" s="1021"/>
      <c r="AH52" s="1021"/>
    </row>
    <row r="53" spans="1:34" s="154" customFormat="1" ht="15" customHeight="1">
      <c r="A53" s="356"/>
      <c r="B53" s="1355"/>
      <c r="C53" s="1826" t="s">
        <v>116</v>
      </c>
      <c r="D53" s="1826"/>
      <c r="E53" s="1826"/>
      <c r="F53" s="1358"/>
      <c r="G53" s="1359">
        <f>G18+G19+G20+G21+G22+G23+G24+G25+G26+G27+G28+G29+G30+G31+G32+G38+G39+G40+G41+G42+G43+G44+G45+G46+G47+G48+G49+G50+G51+G52</f>
        <v>0</v>
      </c>
      <c r="H53" s="1359">
        <f t="shared" ref="H53:R53" si="27">H18+H19+H20+H21+H22+H23+H24+H25+H26+H27+H28+H29+H30+H31+H32+H38+H39+H40+H41+H42+H43+H44+H45+H46+H47+H48+H49+H50+H51+H52</f>
        <v>0</v>
      </c>
      <c r="I53" s="1359">
        <f t="shared" si="27"/>
        <v>0</v>
      </c>
      <c r="J53" s="1359">
        <f t="shared" si="27"/>
        <v>0</v>
      </c>
      <c r="K53" s="1359">
        <f t="shared" si="27"/>
        <v>0</v>
      </c>
      <c r="L53" s="1359">
        <f t="shared" si="27"/>
        <v>0</v>
      </c>
      <c r="M53" s="1359">
        <f t="shared" si="27"/>
        <v>0</v>
      </c>
      <c r="N53" s="1359">
        <f t="shared" si="27"/>
        <v>0</v>
      </c>
      <c r="O53" s="1359">
        <f t="shared" si="27"/>
        <v>0</v>
      </c>
      <c r="P53" s="1359">
        <f t="shared" si="27"/>
        <v>0</v>
      </c>
      <c r="Q53" s="1359">
        <f t="shared" si="27"/>
        <v>0</v>
      </c>
      <c r="R53" s="1359">
        <f t="shared" si="27"/>
        <v>0</v>
      </c>
      <c r="S53" s="1360">
        <f>SUM(G53:R53)</f>
        <v>0</v>
      </c>
      <c r="T53" s="531"/>
      <c r="W53" s="354"/>
      <c r="Y53" s="1081"/>
      <c r="Z53" s="1082"/>
      <c r="AA53" s="1082"/>
      <c r="AB53" s="1082"/>
      <c r="AC53" s="1082"/>
      <c r="AD53" s="1082"/>
      <c r="AE53" s="1082"/>
      <c r="AF53" s="1082"/>
      <c r="AG53" s="1082"/>
      <c r="AH53" s="1082"/>
    </row>
    <row r="54" spans="1:34" ht="1.2" customHeight="1">
      <c r="A54" s="32"/>
      <c r="B54" s="768"/>
      <c r="C54" s="356"/>
      <c r="D54" s="356"/>
      <c r="E54" s="356"/>
      <c r="F54" s="356"/>
      <c r="G54" s="1004"/>
      <c r="H54" s="1004"/>
      <c r="I54" s="1004"/>
      <c r="J54" s="1004"/>
      <c r="K54" s="1004"/>
      <c r="L54" s="1004"/>
      <c r="M54" s="1004"/>
      <c r="N54" s="1004"/>
      <c r="O54" s="1004"/>
      <c r="P54" s="1004"/>
      <c r="Q54" s="1004"/>
      <c r="R54" s="1004"/>
      <c r="S54" s="1005"/>
      <c r="T54" s="49"/>
    </row>
    <row r="55" spans="1:34" ht="14.25" customHeight="1">
      <c r="A55" s="32"/>
      <c r="B55" s="768"/>
      <c r="C55" s="356"/>
      <c r="D55" s="356"/>
      <c r="E55" s="356"/>
      <c r="F55" s="356"/>
      <c r="G55" s="1004"/>
      <c r="H55" s="1004"/>
      <c r="I55" s="1004"/>
      <c r="J55" s="1004"/>
      <c r="K55" s="1004"/>
      <c r="L55" s="1004"/>
      <c r="M55" s="1004"/>
      <c r="N55" s="1004"/>
      <c r="O55" s="1004"/>
      <c r="P55" s="1004"/>
      <c r="Q55" s="1004"/>
      <c r="R55" s="1004"/>
      <c r="S55" s="1005"/>
      <c r="T55" s="49"/>
    </row>
    <row r="56" spans="1:34" ht="17.149999999999999" customHeight="1">
      <c r="A56" s="32"/>
      <c r="B56" s="781">
        <v>35</v>
      </c>
      <c r="C56" s="1822" t="s">
        <v>596</v>
      </c>
      <c r="D56" s="1823"/>
      <c r="E56" s="1823"/>
      <c r="F56" s="1824"/>
      <c r="G56" s="1006">
        <f t="shared" ref="G56:R56" si="28">G15-G53</f>
        <v>0</v>
      </c>
      <c r="H56" s="1006">
        <f t="shared" si="28"/>
        <v>0</v>
      </c>
      <c r="I56" s="1006">
        <f t="shared" si="28"/>
        <v>0</v>
      </c>
      <c r="J56" s="1006">
        <f t="shared" si="28"/>
        <v>0</v>
      </c>
      <c r="K56" s="1006">
        <f t="shared" si="28"/>
        <v>0</v>
      </c>
      <c r="L56" s="1006">
        <f t="shared" si="28"/>
        <v>0</v>
      </c>
      <c r="M56" s="1006">
        <f t="shared" si="28"/>
        <v>0</v>
      </c>
      <c r="N56" s="1006">
        <f t="shared" si="28"/>
        <v>0</v>
      </c>
      <c r="O56" s="1006">
        <f t="shared" si="28"/>
        <v>0</v>
      </c>
      <c r="P56" s="1006">
        <f t="shared" si="28"/>
        <v>0</v>
      </c>
      <c r="Q56" s="1006">
        <f t="shared" si="28"/>
        <v>0</v>
      </c>
      <c r="R56" s="1006">
        <f t="shared" si="28"/>
        <v>0</v>
      </c>
      <c r="S56" s="1007">
        <f>SUM(G56:R56)</f>
        <v>0</v>
      </c>
      <c r="T56" s="49"/>
    </row>
    <row r="57" spans="1:34" ht="17.149999999999999" customHeight="1">
      <c r="A57" s="32"/>
      <c r="B57" s="782">
        <v>36</v>
      </c>
      <c r="C57" s="1817" t="s">
        <v>663</v>
      </c>
      <c r="D57" s="1818"/>
      <c r="E57" s="1818"/>
      <c r="F57" s="1819"/>
      <c r="G57" s="1006">
        <f>G7+G56</f>
        <v>0</v>
      </c>
      <c r="H57" s="1006">
        <f t="shared" ref="H57:R57" si="29">G57+H56</f>
        <v>0</v>
      </c>
      <c r="I57" s="1006">
        <f t="shared" si="29"/>
        <v>0</v>
      </c>
      <c r="J57" s="1006">
        <f t="shared" si="29"/>
        <v>0</v>
      </c>
      <c r="K57" s="1006">
        <f t="shared" si="29"/>
        <v>0</v>
      </c>
      <c r="L57" s="1006">
        <f t="shared" si="29"/>
        <v>0</v>
      </c>
      <c r="M57" s="1006">
        <f t="shared" si="29"/>
        <v>0</v>
      </c>
      <c r="N57" s="1006">
        <f t="shared" si="29"/>
        <v>0</v>
      </c>
      <c r="O57" s="1006">
        <f t="shared" si="29"/>
        <v>0</v>
      </c>
      <c r="P57" s="1006">
        <f t="shared" si="29"/>
        <v>0</v>
      </c>
      <c r="Q57" s="1006">
        <f t="shared" si="29"/>
        <v>0</v>
      </c>
      <c r="R57" s="1008">
        <f t="shared" si="29"/>
        <v>0</v>
      </c>
      <c r="S57" s="1009"/>
      <c r="T57" s="49"/>
    </row>
    <row r="58" spans="1:34" ht="14.25" customHeight="1">
      <c r="A58" s="32"/>
      <c r="B58" s="86"/>
      <c r="C58" s="402"/>
      <c r="D58" s="402"/>
      <c r="E58" s="402"/>
      <c r="F58" s="402"/>
      <c r="G58" s="18"/>
      <c r="H58" s="18"/>
      <c r="I58" s="18"/>
      <c r="J58" s="18"/>
      <c r="K58" s="18"/>
      <c r="L58" s="18"/>
      <c r="M58" s="18"/>
      <c r="N58" s="18"/>
      <c r="O58" s="18"/>
      <c r="P58" s="18"/>
      <c r="Q58" s="18"/>
      <c r="R58" s="18"/>
      <c r="S58" s="407"/>
      <c r="T58" s="49"/>
    </row>
    <row r="59" spans="1:34">
      <c r="A59" s="32"/>
      <c r="B59" s="320"/>
      <c r="C59" s="32"/>
      <c r="D59" s="1"/>
      <c r="E59" s="1"/>
      <c r="F59" s="1"/>
      <c r="G59" s="46"/>
      <c r="H59" s="46"/>
      <c r="I59" s="46"/>
      <c r="J59" s="46"/>
      <c r="K59" s="46"/>
      <c r="L59" s="46"/>
      <c r="M59" s="46"/>
      <c r="N59" s="46"/>
      <c r="O59" s="46"/>
      <c r="P59" s="46"/>
      <c r="Q59" s="159"/>
      <c r="R59" s="32"/>
      <c r="S59" s="436"/>
      <c r="T59" s="46"/>
      <c r="U59" s="159"/>
      <c r="V59" s="159"/>
      <c r="W59" s="292"/>
      <c r="X59" s="160"/>
    </row>
    <row r="60" spans="1:34" ht="20.149999999999999">
      <c r="D60" s="1573">
        <f>D4</f>
        <v>0</v>
      </c>
      <c r="H60" s="1851" t="str">
        <f>H4</f>
        <v xml:space="preserve">KASSABUDJETTI </v>
      </c>
      <c r="I60" s="1851"/>
      <c r="J60" s="1851"/>
      <c r="K60" s="1851"/>
      <c r="N60" s="216">
        <f>N4</f>
        <v>0</v>
      </c>
    </row>
    <row r="76" spans="18:18">
      <c r="R76" s="93"/>
    </row>
    <row r="93" spans="2:19" ht="12.65" customHeight="1">
      <c r="B93" s="1026" t="s">
        <v>764</v>
      </c>
      <c r="C93" s="1027"/>
      <c r="D93" s="1027"/>
      <c r="E93" s="1027"/>
      <c r="F93" s="1027"/>
      <c r="G93" s="1027"/>
      <c r="H93" s="1027"/>
      <c r="I93" s="1027"/>
      <c r="J93" s="1027"/>
      <c r="K93" s="1027"/>
      <c r="L93" s="1027"/>
      <c r="M93" s="1027"/>
      <c r="N93" s="1027"/>
      <c r="O93" s="1027"/>
      <c r="P93" s="1027"/>
      <c r="Q93" s="1027"/>
      <c r="R93" s="1027"/>
      <c r="S93" s="1028"/>
    </row>
    <row r="94" spans="2:19" ht="12.65" customHeight="1">
      <c r="B94" s="1029"/>
      <c r="C94" s="340"/>
      <c r="D94" s="340"/>
      <c r="E94" s="340"/>
      <c r="F94" s="340"/>
      <c r="G94" s="340"/>
      <c r="H94" s="340"/>
      <c r="I94" s="340"/>
      <c r="J94" s="340"/>
      <c r="K94" s="340"/>
      <c r="L94" s="340"/>
      <c r="M94" s="340"/>
      <c r="N94" s="340"/>
      <c r="O94" s="340"/>
      <c r="P94" s="340"/>
      <c r="Q94" s="340"/>
      <c r="R94" s="340"/>
      <c r="S94" s="1030"/>
    </row>
    <row r="95" spans="2:19" ht="12.65" customHeight="1">
      <c r="B95" s="1029"/>
      <c r="C95" s="340"/>
      <c r="D95" s="340"/>
      <c r="E95" s="340"/>
      <c r="F95" s="340"/>
      <c r="G95" s="340"/>
      <c r="H95" s="340"/>
      <c r="I95" s="340"/>
      <c r="J95" s="340"/>
      <c r="K95" s="340"/>
      <c r="L95" s="340"/>
      <c r="M95" s="340"/>
      <c r="N95" s="340"/>
      <c r="O95" s="340"/>
      <c r="P95" s="340"/>
      <c r="Q95" s="340"/>
      <c r="R95" s="340"/>
      <c r="S95" s="1030"/>
    </row>
    <row r="96" spans="2:19" ht="12.65" customHeight="1">
      <c r="B96" s="1029"/>
      <c r="C96" s="340"/>
      <c r="D96" s="340"/>
      <c r="E96" s="340"/>
      <c r="F96" s="340"/>
      <c r="G96" s="340"/>
      <c r="H96" s="340"/>
      <c r="I96" s="340"/>
      <c r="J96" s="340"/>
      <c r="K96" s="340"/>
      <c r="L96" s="340"/>
      <c r="M96" s="340"/>
      <c r="N96" s="340"/>
      <c r="O96" s="340"/>
      <c r="P96" s="340"/>
      <c r="Q96" s="340"/>
      <c r="R96" s="340"/>
      <c r="S96" s="1030"/>
    </row>
    <row r="97" spans="2:19" ht="12.65" customHeight="1">
      <c r="B97" s="1029"/>
      <c r="C97" s="340"/>
      <c r="D97" s="340"/>
      <c r="E97" s="340"/>
      <c r="F97" s="340"/>
      <c r="G97" s="340"/>
      <c r="H97" s="340"/>
      <c r="I97" s="340"/>
      <c r="J97" s="340"/>
      <c r="K97" s="340"/>
      <c r="L97" s="340"/>
      <c r="M97" s="340"/>
      <c r="N97" s="340"/>
      <c r="O97" s="340"/>
      <c r="P97" s="340"/>
      <c r="Q97" s="340"/>
      <c r="R97" s="340"/>
      <c r="S97" s="1030"/>
    </row>
    <row r="98" spans="2:19" ht="12.65" customHeight="1">
      <c r="B98" s="1029"/>
      <c r="C98" s="340"/>
      <c r="D98" s="340"/>
      <c r="E98" s="340"/>
      <c r="F98" s="340"/>
      <c r="G98" s="340"/>
      <c r="H98" s="340"/>
      <c r="I98" s="340"/>
      <c r="J98" s="340"/>
      <c r="K98" s="340"/>
      <c r="L98" s="340"/>
      <c r="M98" s="340"/>
      <c r="N98" s="340"/>
      <c r="O98" s="340"/>
      <c r="P98" s="340"/>
      <c r="Q98" s="340"/>
      <c r="R98" s="340"/>
      <c r="S98" s="1030"/>
    </row>
    <row r="99" spans="2:19">
      <c r="B99" s="1031"/>
      <c r="C99" s="340"/>
      <c r="D99" s="340"/>
      <c r="E99" s="340"/>
      <c r="F99" s="340"/>
      <c r="G99" s="340"/>
      <c r="H99" s="340"/>
      <c r="I99" s="340"/>
      <c r="J99" s="340"/>
      <c r="K99" s="340"/>
      <c r="L99" s="340"/>
      <c r="M99" s="340"/>
      <c r="N99" s="340"/>
      <c r="O99" s="340"/>
      <c r="P99" s="340"/>
      <c r="Q99" s="340"/>
      <c r="R99" s="340"/>
      <c r="S99" s="1032"/>
    </row>
    <row r="100" spans="2:19">
      <c r="B100" s="1031"/>
      <c r="C100" s="340"/>
      <c r="D100" s="340"/>
      <c r="E100" s="340"/>
      <c r="F100" s="340"/>
      <c r="G100" s="340"/>
      <c r="H100" s="340"/>
      <c r="I100" s="340"/>
      <c r="J100" s="340"/>
      <c r="K100" s="340"/>
      <c r="L100" s="340"/>
      <c r="M100" s="340"/>
      <c r="N100" s="340"/>
      <c r="O100" s="340"/>
      <c r="P100" s="340"/>
      <c r="Q100" s="340"/>
      <c r="R100" s="340"/>
      <c r="S100" s="1032"/>
    </row>
    <row r="101" spans="2:19" ht="12.9" customHeight="1">
      <c r="B101" s="1033"/>
      <c r="C101" s="340"/>
      <c r="D101" s="340"/>
      <c r="E101" s="340"/>
      <c r="F101" s="340"/>
      <c r="G101" s="340"/>
      <c r="H101" s="340"/>
      <c r="I101" s="340"/>
      <c r="J101" s="340"/>
      <c r="K101" s="340"/>
      <c r="L101" s="340"/>
      <c r="M101" s="340"/>
      <c r="N101" s="340"/>
      <c r="O101" s="340"/>
      <c r="P101" s="340"/>
      <c r="Q101" s="340"/>
      <c r="R101" s="340"/>
      <c r="S101" s="1032"/>
    </row>
    <row r="102" spans="2:19">
      <c r="B102" s="1034"/>
      <c r="C102" s="1035"/>
      <c r="D102" s="1035"/>
      <c r="E102" s="1035"/>
      <c r="F102" s="1035"/>
      <c r="G102" s="1035"/>
      <c r="H102" s="1035"/>
      <c r="I102" s="1035"/>
      <c r="J102" s="1035"/>
      <c r="K102" s="1035"/>
      <c r="L102" s="1035"/>
      <c r="M102" s="1035"/>
      <c r="N102" s="1035"/>
      <c r="O102" s="1035"/>
      <c r="P102" s="1035"/>
      <c r="Q102" s="1035"/>
      <c r="R102" s="1035"/>
      <c r="S102" s="1036"/>
    </row>
    <row r="103" spans="2:19" ht="23.25" customHeight="1">
      <c r="B103" s="1037" t="str">
        <f>Aloitussivu!F33</f>
        <v>Yritystulkin tarjoavat</v>
      </c>
    </row>
    <row r="104" spans="2:19">
      <c r="B104" s="570" t="str">
        <f>Aloitussivu!J34</f>
        <v>Iisalmi, Lapinlahti, Sonkajärvi, Vieremä</v>
      </c>
      <c r="E104" s="312"/>
      <c r="S104" s="1025" t="s">
        <v>601</v>
      </c>
    </row>
    <row r="105" spans="2:19">
      <c r="E105" s="100"/>
    </row>
    <row r="106" spans="2:19">
      <c r="B106" s="570" t="s">
        <v>331</v>
      </c>
      <c r="E106" s="100"/>
    </row>
    <row r="107" spans="2:19">
      <c r="B107" s="328" t="s">
        <v>332</v>
      </c>
    </row>
    <row r="108" spans="2:19">
      <c r="B108" s="637" t="s">
        <v>333</v>
      </c>
    </row>
  </sheetData>
  <sheetProtection algorithmName="SHA-512" hashValue="+93B4jnvoOzpJcxU7uk0GXRrxXE4AWaQsUZjKzhPM8dh40a0rJu4TKxlabV4bz7aFkTOmVni+5L3KsQgjcmMNg==" saltValue="ixqasFLo0sV4wjZoDALnhg==" spinCount="100000" sheet="1" objects="1" scenarios="1"/>
  <mergeCells count="55">
    <mergeCell ref="B18:B19"/>
    <mergeCell ref="C8:E8"/>
    <mergeCell ref="C10:F10"/>
    <mergeCell ref="B2:D2"/>
    <mergeCell ref="H60:K60"/>
    <mergeCell ref="C25:E25"/>
    <mergeCell ref="D34:E34"/>
    <mergeCell ref="C41:E41"/>
    <mergeCell ref="C42:E42"/>
    <mergeCell ref="C38:E38"/>
    <mergeCell ref="D36:E36"/>
    <mergeCell ref="C28:E28"/>
    <mergeCell ref="C29:E29"/>
    <mergeCell ref="C40:E40"/>
    <mergeCell ref="C31:E31"/>
    <mergeCell ref="D37:E37"/>
    <mergeCell ref="N4:Q4"/>
    <mergeCell ref="H4:M4"/>
    <mergeCell ref="C6:E6"/>
    <mergeCell ref="G2:N2"/>
    <mergeCell ref="C24:E24"/>
    <mergeCell ref="C23:E23"/>
    <mergeCell ref="C19:D19"/>
    <mergeCell ref="X5:X6"/>
    <mergeCell ref="C20:E20"/>
    <mergeCell ref="C18:E18"/>
    <mergeCell ref="C21:E21"/>
    <mergeCell ref="C22:E22"/>
    <mergeCell ref="D9:F9"/>
    <mergeCell ref="V5:W5"/>
    <mergeCell ref="D5:F5"/>
    <mergeCell ref="C17:E17"/>
    <mergeCell ref="C13:E13"/>
    <mergeCell ref="C14:E14"/>
    <mergeCell ref="C7:F7"/>
    <mergeCell ref="C15:E15"/>
    <mergeCell ref="D11:F11"/>
    <mergeCell ref="D33:E33"/>
    <mergeCell ref="D35:E35"/>
    <mergeCell ref="C30:E30"/>
    <mergeCell ref="C32:E32"/>
    <mergeCell ref="C39:F39"/>
    <mergeCell ref="C57:F57"/>
    <mergeCell ref="C48:E48"/>
    <mergeCell ref="C49:E49"/>
    <mergeCell ref="C50:E50"/>
    <mergeCell ref="C43:E43"/>
    <mergeCell ref="C56:F56"/>
    <mergeCell ref="C52:E52"/>
    <mergeCell ref="C44:E44"/>
    <mergeCell ref="C47:E47"/>
    <mergeCell ref="C51:E51"/>
    <mergeCell ref="C53:E53"/>
    <mergeCell ref="C46:E46"/>
    <mergeCell ref="C45:E45"/>
  </mergeCells>
  <printOptions horizontalCentered="1"/>
  <pageMargins left="0.23622047244094491" right="0.23622047244094491" top="0.55118110236220474" bottom="0.55118110236220474" header="0.31496062992125984" footer="0.31496062992125984"/>
  <pageSetup paperSize="9" scale="74" orientation="landscape" verticalDpi="4" r:id="rId1"/>
  <rowBreaks count="1" manualBreakCount="1">
    <brk id="54" min="1" max="18"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ul6">
    <tabColor theme="0"/>
  </sheetPr>
  <dimension ref="B2:L90"/>
  <sheetViews>
    <sheetView showGridLines="0" showZeros="0" workbookViewId="0">
      <selection activeCell="B13" sqref="B13"/>
    </sheetView>
  </sheetViews>
  <sheetFormatPr defaultRowHeight="12.45"/>
  <cols>
    <col min="1" max="1" width="5.84375" customWidth="1"/>
    <col min="2" max="2" width="35.3046875" customWidth="1"/>
    <col min="3" max="5" width="9.07421875" customWidth="1"/>
    <col min="6" max="6" width="8.84375" customWidth="1"/>
    <col min="7" max="8" width="7.84375" customWidth="1"/>
    <col min="9" max="9" width="22.07421875" customWidth="1"/>
  </cols>
  <sheetData>
    <row r="2" spans="2:12" ht="6" customHeight="1"/>
    <row r="3" spans="2:12" ht="4.5" customHeight="1"/>
    <row r="4" spans="2:12" ht="15" customHeight="1">
      <c r="B4" s="71"/>
    </row>
    <row r="5" spans="2:12" ht="15" customHeight="1">
      <c r="B5" s="1852" t="s">
        <v>718</v>
      </c>
      <c r="C5" s="1852"/>
      <c r="D5" s="1852"/>
      <c r="E5" s="1852"/>
      <c r="F5" s="1852"/>
      <c r="G5" s="1852"/>
      <c r="H5" s="1852"/>
      <c r="I5" s="1852"/>
      <c r="J5" s="410"/>
      <c r="K5" s="410"/>
      <c r="L5" s="410"/>
    </row>
    <row r="6" spans="2:12" ht="12" customHeight="1">
      <c r="B6" s="99" t="s">
        <v>0</v>
      </c>
      <c r="H6" s="111"/>
    </row>
    <row r="7" spans="2:12" ht="2.6" customHeight="1">
      <c r="B7" s="2"/>
      <c r="C7" s="14"/>
      <c r="D7" s="15"/>
      <c r="E7" s="15"/>
      <c r="F7" s="1"/>
      <c r="G7" s="1"/>
    </row>
    <row r="8" spans="2:12" ht="15" customHeight="1">
      <c r="B8" s="570"/>
      <c r="C8" s="1381" t="s">
        <v>4</v>
      </c>
      <c r="D8" s="1381" t="s">
        <v>5</v>
      </c>
      <c r="E8" s="1381" t="s">
        <v>24</v>
      </c>
      <c r="F8" s="1"/>
      <c r="G8" s="1"/>
    </row>
    <row r="9" spans="2:12" ht="15" customHeight="1">
      <c r="B9" s="16">
        <f>IF(C10=12,0,"HUOMIOI 1. TILIKAUDEN PITUUS!")</f>
        <v>0</v>
      </c>
      <c r="C9" s="1382">
        <f>IF('Rahoitus K3'!B9&gt;0,'Rahoitus K3'!F38,'Rahoitus Y3'!F38)</f>
        <v>2025</v>
      </c>
      <c r="D9" s="1382">
        <f>C9+1</f>
        <v>2026</v>
      </c>
      <c r="E9" s="1382">
        <f>D9+1</f>
        <v>2027</v>
      </c>
      <c r="F9" s="1"/>
      <c r="G9" s="1"/>
    </row>
    <row r="10" spans="2:12" ht="15" customHeight="1">
      <c r="B10" s="1385" t="str">
        <f>'Kustannukset K1'!D13</f>
        <v>Tilikauden pituus (kuukautta)</v>
      </c>
      <c r="C10" s="1383">
        <f>IF('Kustannukset K1'!$C9&gt;0,'Kustannukset K1'!F13,'Kustannukset Y1'!F13)</f>
        <v>12</v>
      </c>
      <c r="D10" s="1383">
        <f>IF('Kustannukset K1'!$C9&gt;0,'Kustannukset K1'!G13,'Kustannukset Y1'!G13)</f>
        <v>12</v>
      </c>
      <c r="E10" s="1383">
        <f>IF('Kustannukset K1'!$C9&gt;0,'Kustannukset K1'!H13,'Kustannukset Y1'!H13)</f>
        <v>12</v>
      </c>
      <c r="F10" s="1"/>
      <c r="G10" s="1"/>
    </row>
    <row r="11" spans="2:12" ht="15" customHeight="1">
      <c r="B11" s="1385" t="s">
        <v>669</v>
      </c>
      <c r="C11" s="1384">
        <f>C14*IF(C19&gt;12,1,C19/12)+C24*IF(C29&gt;12,1,C29/12)+C34*IF(C39&gt;12,1,C39/12)+C44*IF(C49&gt;12,1,C49/12)+C55*IF(C60&gt;12,1,C60/12)+C65*IF(C70&gt;12,1,C70/12)+(C75*C77*C80/2064)</f>
        <v>1</v>
      </c>
      <c r="D11" s="1384">
        <f>D14*IF(D19&gt;12,1,D19/12)+D24*IF(D29&gt;12,1,D29/12)+D34*IF(D39&gt;12,1,D39/12)+D44*IF(D49&gt;12,1,D49/12)+D55*IF(D60&gt;12,1,D60/12)+D65*IF(D70&gt;12,1,D70/12)+(D75*D77*D80/2064)</f>
        <v>1</v>
      </c>
      <c r="E11" s="1384">
        <f>E14*IF(E19&gt;12,1,E19/12)+E24*IF(E29&gt;12,1,E29/12)+E34*IF(E39&gt;12,1,E39/12)+E44*IF(E49&gt;12,1,E49/12)+E55*IF(E60&gt;12,1,E60/12)+E65*IF(E70&gt;12,1,E70/12)+(E75*E77*E80/2064)</f>
        <v>1</v>
      </c>
      <c r="G11" s="256"/>
      <c r="H11" s="256"/>
      <c r="I11" s="256"/>
    </row>
    <row r="12" spans="2:12" ht="4.2" customHeight="1">
      <c r="B12" s="423"/>
      <c r="C12" s="263"/>
      <c r="D12" s="263"/>
      <c r="E12" s="263"/>
      <c r="F12" s="256"/>
      <c r="G12" s="256"/>
      <c r="H12" s="256"/>
      <c r="I12" s="256"/>
    </row>
    <row r="13" spans="2:12" ht="12" customHeight="1">
      <c r="B13" s="1380" t="s">
        <v>867</v>
      </c>
      <c r="C13" s="324"/>
      <c r="D13" s="324"/>
      <c r="E13" s="324"/>
      <c r="F13" s="946"/>
      <c r="G13" s="946"/>
      <c r="H13" s="946"/>
      <c r="I13" s="154"/>
    </row>
    <row r="14" spans="2:12" ht="12" customHeight="1">
      <c r="B14" s="598" t="s">
        <v>237</v>
      </c>
      <c r="C14" s="1362">
        <v>1</v>
      </c>
      <c r="D14" s="1362">
        <f>C14</f>
        <v>1</v>
      </c>
      <c r="E14" s="1362">
        <f>D14</f>
        <v>1</v>
      </c>
      <c r="F14" s="1361"/>
      <c r="G14" s="950">
        <f>D9</f>
        <v>2026</v>
      </c>
      <c r="H14" s="950">
        <f>E9</f>
        <v>2027</v>
      </c>
      <c r="I14" s="951"/>
    </row>
    <row r="15" spans="2:12" ht="12" customHeight="1">
      <c r="B15" s="593" t="s">
        <v>318</v>
      </c>
      <c r="C15" s="1363">
        <v>0</v>
      </c>
      <c r="D15" s="1364">
        <f t="shared" ref="D15:E18" si="0">C15*(1+G15)</f>
        <v>0</v>
      </c>
      <c r="E15" s="1364">
        <f t="shared" si="0"/>
        <v>0</v>
      </c>
      <c r="F15" s="299" t="s">
        <v>566</v>
      </c>
      <c r="G15" s="746">
        <v>0.02</v>
      </c>
      <c r="H15" s="746">
        <v>0.02</v>
      </c>
      <c r="I15" s="952"/>
    </row>
    <row r="16" spans="2:12" ht="12" customHeight="1">
      <c r="B16" s="593" t="s">
        <v>329</v>
      </c>
      <c r="C16" s="1365">
        <v>0</v>
      </c>
      <c r="D16" s="1366">
        <f t="shared" si="0"/>
        <v>0</v>
      </c>
      <c r="E16" s="1366">
        <f t="shared" si="0"/>
        <v>0</v>
      </c>
      <c r="F16" s="658"/>
      <c r="G16" s="947"/>
      <c r="H16" s="947"/>
      <c r="I16" s="952"/>
    </row>
    <row r="17" spans="2:9" ht="12" customHeight="1">
      <c r="B17" s="593" t="s">
        <v>382</v>
      </c>
      <c r="C17" s="1367">
        <v>0</v>
      </c>
      <c r="D17" s="1367">
        <f>C17</f>
        <v>0</v>
      </c>
      <c r="E17" s="1367">
        <f>D17</f>
        <v>0</v>
      </c>
      <c r="F17" s="658"/>
      <c r="G17" s="947"/>
      <c r="H17" s="947"/>
      <c r="I17" s="952"/>
    </row>
    <row r="18" spans="2:9" ht="12" customHeight="1">
      <c r="B18" s="593" t="s">
        <v>503</v>
      </c>
      <c r="C18" s="1362">
        <v>0</v>
      </c>
      <c r="D18" s="1368">
        <f t="shared" si="0"/>
        <v>0</v>
      </c>
      <c r="E18" s="1368">
        <f>D18*(1+H18)</f>
        <v>0</v>
      </c>
      <c r="F18" s="299" t="s">
        <v>566</v>
      </c>
      <c r="G18" s="746">
        <v>0.02</v>
      </c>
      <c r="H18" s="746">
        <v>0.02</v>
      </c>
      <c r="I18" s="952"/>
    </row>
    <row r="19" spans="2:9" ht="12" customHeight="1">
      <c r="B19" s="593" t="s">
        <v>330</v>
      </c>
      <c r="C19" s="1365">
        <v>12</v>
      </c>
      <c r="D19" s="1365">
        <v>12.5</v>
      </c>
      <c r="E19" s="1365">
        <f>D19</f>
        <v>12.5</v>
      </c>
      <c r="F19" s="942"/>
      <c r="G19" s="942"/>
      <c r="H19" s="942"/>
      <c r="I19" s="953"/>
    </row>
    <row r="20" spans="2:9" ht="12" customHeight="1">
      <c r="B20" s="593" t="s">
        <v>122</v>
      </c>
      <c r="C20" s="1369">
        <f>C14*C19*(C15*C16+C15*C16*C17+C18)</f>
        <v>0</v>
      </c>
      <c r="D20" s="1369">
        <f>D14*D19*(D15*D16+D15*D16*D17+D18)</f>
        <v>0</v>
      </c>
      <c r="E20" s="1369">
        <f>E14*E19*(E15*E16+E15*E16*E17+E18)</f>
        <v>0</v>
      </c>
      <c r="F20" s="942"/>
      <c r="G20" s="942"/>
      <c r="H20" s="942"/>
      <c r="I20" s="953"/>
    </row>
    <row r="21" spans="2:9" ht="12" customHeight="1">
      <c r="B21" s="593" t="s">
        <v>123</v>
      </c>
      <c r="C21" s="1369">
        <f>C14*(C15*C16+C15*C16*C17)*C19</f>
        <v>0</v>
      </c>
      <c r="D21" s="1369">
        <f>D14*(D15*D16+D15*D16*D17)*D19</f>
        <v>0</v>
      </c>
      <c r="E21" s="1369">
        <f>E14*(E15*E16+E15*E16*E17)*E19</f>
        <v>0</v>
      </c>
      <c r="F21" s="942"/>
      <c r="G21" s="942"/>
      <c r="H21" s="942"/>
      <c r="I21" s="953"/>
    </row>
    <row r="22" spans="2:9" ht="4.2" customHeight="1">
      <c r="B22" s="323"/>
      <c r="C22" s="730"/>
      <c r="D22" s="730"/>
      <c r="E22" s="730"/>
      <c r="F22" s="320"/>
      <c r="G22" s="320"/>
      <c r="H22" s="320"/>
      <c r="I22" s="953"/>
    </row>
    <row r="23" spans="2:9" ht="12" customHeight="1">
      <c r="B23" s="1380" t="s">
        <v>0</v>
      </c>
      <c r="C23" s="744"/>
      <c r="D23" s="744"/>
      <c r="E23" s="744"/>
      <c r="F23" s="942"/>
      <c r="G23" s="942"/>
      <c r="H23" s="942"/>
      <c r="I23" s="953"/>
    </row>
    <row r="24" spans="2:9" ht="12" customHeight="1">
      <c r="B24" s="598" t="s">
        <v>237</v>
      </c>
      <c r="C24" s="1362">
        <v>0</v>
      </c>
      <c r="D24" s="1362">
        <f>C24</f>
        <v>0</v>
      </c>
      <c r="E24" s="1362">
        <f>D24</f>
        <v>0</v>
      </c>
      <c r="F24" s="658"/>
      <c r="G24" s="948">
        <f>G$14</f>
        <v>2026</v>
      </c>
      <c r="H24" s="948">
        <f>H$14</f>
        <v>2027</v>
      </c>
      <c r="I24" s="952"/>
    </row>
    <row r="25" spans="2:9" ht="12" customHeight="1">
      <c r="B25" s="593" t="s">
        <v>318</v>
      </c>
      <c r="C25" s="1363">
        <v>0</v>
      </c>
      <c r="D25" s="1364">
        <f t="shared" ref="D25:E28" si="1">C25*(1+G25)</f>
        <v>0</v>
      </c>
      <c r="E25" s="1364">
        <f t="shared" si="1"/>
        <v>0</v>
      </c>
      <c r="F25" s="299" t="s">
        <v>566</v>
      </c>
      <c r="G25" s="746">
        <v>0.02</v>
      </c>
      <c r="H25" s="746">
        <v>0.02</v>
      </c>
      <c r="I25" s="952"/>
    </row>
    <row r="26" spans="2:9" ht="12" customHeight="1">
      <c r="B26" s="593" t="s">
        <v>329</v>
      </c>
      <c r="C26" s="1365">
        <v>0</v>
      </c>
      <c r="D26" s="1366">
        <f t="shared" si="1"/>
        <v>0</v>
      </c>
      <c r="E26" s="1366">
        <f t="shared" si="1"/>
        <v>0</v>
      </c>
      <c r="F26" s="658"/>
      <c r="G26" s="947"/>
      <c r="H26" s="947"/>
      <c r="I26" s="952"/>
    </row>
    <row r="27" spans="2:9" ht="12" customHeight="1">
      <c r="B27" s="593" t="s">
        <v>382</v>
      </c>
      <c r="C27" s="1367">
        <v>0</v>
      </c>
      <c r="D27" s="1367">
        <f>C27</f>
        <v>0</v>
      </c>
      <c r="E27" s="1367">
        <f>D27</f>
        <v>0</v>
      </c>
      <c r="F27" s="658"/>
      <c r="G27" s="947"/>
      <c r="H27" s="947"/>
      <c r="I27" s="952"/>
    </row>
    <row r="28" spans="2:9" ht="12" customHeight="1">
      <c r="B28" s="593" t="s">
        <v>503</v>
      </c>
      <c r="C28" s="1362">
        <v>0</v>
      </c>
      <c r="D28" s="1368">
        <f t="shared" si="1"/>
        <v>0</v>
      </c>
      <c r="E28" s="1368">
        <f t="shared" si="1"/>
        <v>0</v>
      </c>
      <c r="F28" s="299" t="s">
        <v>566</v>
      </c>
      <c r="G28" s="746">
        <v>0.02</v>
      </c>
      <c r="H28" s="746">
        <v>0.02</v>
      </c>
      <c r="I28" s="952"/>
    </row>
    <row r="29" spans="2:9" ht="12" customHeight="1">
      <c r="B29" s="593" t="s">
        <v>330</v>
      </c>
      <c r="C29" s="1365">
        <f>C10</f>
        <v>12</v>
      </c>
      <c r="D29" s="1365">
        <v>12.5</v>
      </c>
      <c r="E29" s="1365">
        <f>D29</f>
        <v>12.5</v>
      </c>
      <c r="F29" s="942"/>
      <c r="G29" s="942"/>
      <c r="H29" s="942"/>
      <c r="I29" s="953"/>
    </row>
    <row r="30" spans="2:9" ht="12" customHeight="1">
      <c r="B30" s="593" t="s">
        <v>122</v>
      </c>
      <c r="C30" s="1369">
        <f>C24*C29*(C25*C26+C25*C26*C27+C28)</f>
        <v>0</v>
      </c>
      <c r="D30" s="1369">
        <f>D24*D29*(D25*D26+D25*D26*D27+D28)</f>
        <v>0</v>
      </c>
      <c r="E30" s="1369">
        <f>E24*E29*(E25*E26+E25*E26*E27+E28)</f>
        <v>0</v>
      </c>
      <c r="F30" s="942"/>
      <c r="G30" s="942"/>
      <c r="H30" s="942"/>
      <c r="I30" s="953"/>
    </row>
    <row r="31" spans="2:9" ht="12" customHeight="1">
      <c r="B31" s="593" t="s">
        <v>123</v>
      </c>
      <c r="C31" s="1369">
        <f>C24*(C25*C26+C25*C26*C27)*C29</f>
        <v>0</v>
      </c>
      <c r="D31" s="1369">
        <f>D24*(D25*D26+D25*D26*D27)*D29</f>
        <v>0</v>
      </c>
      <c r="E31" s="1369">
        <f>E24*(E25*E26+E25*E26*E27)*E29</f>
        <v>0</v>
      </c>
      <c r="F31" s="942"/>
      <c r="G31" s="942"/>
      <c r="H31" s="942"/>
      <c r="I31" s="953"/>
    </row>
    <row r="32" spans="2:9" ht="4.2" customHeight="1">
      <c r="B32" s="323"/>
      <c r="C32" s="730"/>
      <c r="D32" s="730"/>
      <c r="E32" s="730"/>
      <c r="F32" s="320"/>
      <c r="G32" s="320"/>
      <c r="H32" s="320"/>
      <c r="I32" s="953"/>
    </row>
    <row r="33" spans="2:9" ht="12" customHeight="1">
      <c r="B33" s="1379" t="s">
        <v>0</v>
      </c>
      <c r="C33" s="744"/>
      <c r="D33" s="744"/>
      <c r="E33" s="744"/>
      <c r="F33" s="942"/>
      <c r="G33" s="942"/>
      <c r="H33" s="942"/>
      <c r="I33" s="953"/>
    </row>
    <row r="34" spans="2:9" ht="12" customHeight="1">
      <c r="B34" s="598" t="s">
        <v>237</v>
      </c>
      <c r="C34" s="1371">
        <v>0</v>
      </c>
      <c r="D34" s="1371">
        <f>C34</f>
        <v>0</v>
      </c>
      <c r="E34" s="1371">
        <f>D34</f>
        <v>0</v>
      </c>
      <c r="F34" s="658"/>
      <c r="G34" s="948">
        <f>G$14</f>
        <v>2026</v>
      </c>
      <c r="H34" s="948">
        <f>H$14</f>
        <v>2027</v>
      </c>
      <c r="I34" s="952"/>
    </row>
    <row r="35" spans="2:9" ht="12" customHeight="1">
      <c r="B35" s="1370" t="s">
        <v>318</v>
      </c>
      <c r="C35" s="1372">
        <v>0</v>
      </c>
      <c r="D35" s="1373">
        <f t="shared" ref="D35:E38" si="2">C35*(1+G35)</f>
        <v>0</v>
      </c>
      <c r="E35" s="1373">
        <f t="shared" si="2"/>
        <v>0</v>
      </c>
      <c r="F35" s="299" t="s">
        <v>566</v>
      </c>
      <c r="G35" s="746">
        <v>0.02</v>
      </c>
      <c r="H35" s="746">
        <v>0.02</v>
      </c>
      <c r="I35" s="952"/>
    </row>
    <row r="36" spans="2:9" ht="12" customHeight="1">
      <c r="B36" s="1370" t="s">
        <v>329</v>
      </c>
      <c r="C36" s="1374">
        <v>0</v>
      </c>
      <c r="D36" s="1375">
        <f t="shared" si="2"/>
        <v>0</v>
      </c>
      <c r="E36" s="1375">
        <f t="shared" si="2"/>
        <v>0</v>
      </c>
      <c r="F36" s="658"/>
      <c r="G36" s="947"/>
      <c r="H36" s="947"/>
      <c r="I36" s="952"/>
    </row>
    <row r="37" spans="2:9" ht="12" customHeight="1">
      <c r="B37" s="1370" t="s">
        <v>382</v>
      </c>
      <c r="C37" s="1376">
        <v>0</v>
      </c>
      <c r="D37" s="1376">
        <f>C37</f>
        <v>0</v>
      </c>
      <c r="E37" s="1376">
        <f>D37</f>
        <v>0</v>
      </c>
      <c r="F37" s="658"/>
      <c r="G37" s="947"/>
      <c r="H37" s="947"/>
      <c r="I37" s="952"/>
    </row>
    <row r="38" spans="2:9" ht="12" customHeight="1">
      <c r="B38" s="1370" t="s">
        <v>503</v>
      </c>
      <c r="C38" s="1371">
        <v>0</v>
      </c>
      <c r="D38" s="1377">
        <f t="shared" si="2"/>
        <v>0</v>
      </c>
      <c r="E38" s="1377">
        <f t="shared" si="2"/>
        <v>0</v>
      </c>
      <c r="F38" s="299" t="s">
        <v>566</v>
      </c>
      <c r="G38" s="746">
        <v>0.02</v>
      </c>
      <c r="H38" s="746">
        <v>0.02</v>
      </c>
      <c r="I38" s="952"/>
    </row>
    <row r="39" spans="2:9" ht="12" customHeight="1">
      <c r="B39" s="1370" t="s">
        <v>330</v>
      </c>
      <c r="C39" s="1374">
        <f>C10</f>
        <v>12</v>
      </c>
      <c r="D39" s="1374">
        <v>12.5</v>
      </c>
      <c r="E39" s="1374">
        <f>D39</f>
        <v>12.5</v>
      </c>
      <c r="F39" s="942"/>
      <c r="G39" s="942"/>
      <c r="H39" s="942"/>
      <c r="I39" s="953"/>
    </row>
    <row r="40" spans="2:9" ht="12" customHeight="1">
      <c r="B40" s="1370" t="s">
        <v>122</v>
      </c>
      <c r="C40" s="1378">
        <f>C34*C39*(C35*C36+C35*C36*C37+C38)</f>
        <v>0</v>
      </c>
      <c r="D40" s="1378">
        <f>D34*D39*(D35*D36+D35*D36*D37+D38)</f>
        <v>0</v>
      </c>
      <c r="E40" s="1378">
        <f>E34*E39*(E35*E36+E35*E36*E37+E38)</f>
        <v>0</v>
      </c>
      <c r="F40" s="942"/>
      <c r="G40" s="942"/>
      <c r="H40" s="942"/>
      <c r="I40" s="953"/>
    </row>
    <row r="41" spans="2:9" ht="12" customHeight="1">
      <c r="B41" s="1370" t="s">
        <v>123</v>
      </c>
      <c r="C41" s="1378">
        <f>C34*(C35*C36+C35*C36*C37)*C39</f>
        <v>0</v>
      </c>
      <c r="D41" s="1378">
        <f>D34*(D35*D36+D35*D36*D37)*D39</f>
        <v>0</v>
      </c>
      <c r="E41" s="1378">
        <f>E34*(E35*E36+E35*E36*E37)*E39</f>
        <v>0</v>
      </c>
      <c r="F41" s="942"/>
      <c r="G41" s="942"/>
      <c r="H41" s="942"/>
      <c r="I41" s="953"/>
    </row>
    <row r="42" spans="2:9" ht="4.2" customHeight="1">
      <c r="B42" s="323"/>
      <c r="C42" s="730"/>
      <c r="D42" s="730"/>
      <c r="E42" s="730"/>
      <c r="F42" s="320"/>
      <c r="G42" s="320"/>
      <c r="H42" s="320"/>
      <c r="I42" s="953"/>
    </row>
    <row r="43" spans="2:9" ht="12" customHeight="1">
      <c r="B43" s="1379" t="s">
        <v>0</v>
      </c>
      <c r="C43" s="744"/>
      <c r="D43" s="744"/>
      <c r="E43" s="744"/>
      <c r="F43" s="942"/>
      <c r="G43" s="942"/>
      <c r="H43" s="942"/>
      <c r="I43" s="953"/>
    </row>
    <row r="44" spans="2:9" ht="12" customHeight="1">
      <c r="B44" s="598" t="s">
        <v>237</v>
      </c>
      <c r="C44" s="1371">
        <v>0</v>
      </c>
      <c r="D44" s="1371">
        <f>C44</f>
        <v>0</v>
      </c>
      <c r="E44" s="1371">
        <f>D44</f>
        <v>0</v>
      </c>
      <c r="F44" s="658"/>
      <c r="G44" s="948">
        <f>G$14</f>
        <v>2026</v>
      </c>
      <c r="H44" s="948">
        <f>H$14</f>
        <v>2027</v>
      </c>
      <c r="I44" s="952"/>
    </row>
    <row r="45" spans="2:9" ht="12" customHeight="1">
      <c r="B45" s="1370" t="s">
        <v>318</v>
      </c>
      <c r="C45" s="1372">
        <v>0</v>
      </c>
      <c r="D45" s="1373">
        <f t="shared" ref="D45:E48" si="3">C45*(1+G45)</f>
        <v>0</v>
      </c>
      <c r="E45" s="1373">
        <f t="shared" si="3"/>
        <v>0</v>
      </c>
      <c r="F45" s="299" t="s">
        <v>566</v>
      </c>
      <c r="G45" s="746">
        <v>0.02</v>
      </c>
      <c r="H45" s="746">
        <v>0.02</v>
      </c>
      <c r="I45" s="952"/>
    </row>
    <row r="46" spans="2:9" ht="12" customHeight="1">
      <c r="B46" s="1370" t="s">
        <v>329</v>
      </c>
      <c r="C46" s="1374">
        <v>0</v>
      </c>
      <c r="D46" s="1375">
        <f t="shared" si="3"/>
        <v>0</v>
      </c>
      <c r="E46" s="1375">
        <f t="shared" si="3"/>
        <v>0</v>
      </c>
      <c r="F46" s="658"/>
      <c r="G46" s="947"/>
      <c r="H46" s="947"/>
      <c r="I46" s="952"/>
    </row>
    <row r="47" spans="2:9" ht="12" customHeight="1">
      <c r="B47" s="1370" t="s">
        <v>382</v>
      </c>
      <c r="C47" s="1376">
        <v>0</v>
      </c>
      <c r="D47" s="1376">
        <f>C47</f>
        <v>0</v>
      </c>
      <c r="E47" s="1376">
        <f>D47</f>
        <v>0</v>
      </c>
      <c r="F47" s="658"/>
      <c r="G47" s="947"/>
      <c r="H47" s="947"/>
      <c r="I47" s="952"/>
    </row>
    <row r="48" spans="2:9" ht="12" customHeight="1">
      <c r="B48" s="1370" t="s">
        <v>503</v>
      </c>
      <c r="C48" s="1371">
        <v>0</v>
      </c>
      <c r="D48" s="1377">
        <f t="shared" si="3"/>
        <v>0</v>
      </c>
      <c r="E48" s="1377">
        <f t="shared" si="3"/>
        <v>0</v>
      </c>
      <c r="F48" s="299" t="s">
        <v>566</v>
      </c>
      <c r="G48" s="746">
        <v>0.02</v>
      </c>
      <c r="H48" s="321">
        <v>0.02</v>
      </c>
      <c r="I48" s="952"/>
    </row>
    <row r="49" spans="2:9" ht="12" customHeight="1">
      <c r="B49" s="1370" t="s">
        <v>330</v>
      </c>
      <c r="C49" s="1374">
        <f>C10</f>
        <v>12</v>
      </c>
      <c r="D49" s="1374">
        <v>12.5</v>
      </c>
      <c r="E49" s="1374">
        <f>D49</f>
        <v>12.5</v>
      </c>
      <c r="F49" s="942"/>
      <c r="G49" s="942"/>
      <c r="H49" s="942"/>
      <c r="I49" s="953"/>
    </row>
    <row r="50" spans="2:9" ht="12" customHeight="1">
      <c r="B50" s="1370" t="s">
        <v>122</v>
      </c>
      <c r="C50" s="1378">
        <f>C44*C49*(C45*C46+C45*C46*C47+C48)</f>
        <v>0</v>
      </c>
      <c r="D50" s="1378">
        <f>D44*D49*(D45*D46+D45*D46*D47+D48)</f>
        <v>0</v>
      </c>
      <c r="E50" s="1378">
        <f>E44*E49*(E45*E46+E45*E46*E47+E48)</f>
        <v>0</v>
      </c>
      <c r="F50" s="942"/>
      <c r="G50" s="942"/>
      <c r="H50" s="942"/>
      <c r="I50" s="953"/>
    </row>
    <row r="51" spans="2:9" ht="12" customHeight="1">
      <c r="B51" s="1370" t="s">
        <v>123</v>
      </c>
      <c r="C51" s="1378">
        <f>C44*(C45*C46+C45*C46*C47)*C49</f>
        <v>0</v>
      </c>
      <c r="D51" s="1378">
        <f>D44*(D45*D46+D45*D46*D47)*D49</f>
        <v>0</v>
      </c>
      <c r="E51" s="1378">
        <f>E44*(E45*E46+E45*E46*E47)*E49</f>
        <v>0</v>
      </c>
      <c r="F51" s="942"/>
      <c r="G51" s="942"/>
      <c r="H51" s="942"/>
      <c r="I51" s="953"/>
    </row>
    <row r="52" spans="2:9" ht="12" customHeight="1">
      <c r="B52" s="1853" t="s">
        <v>238</v>
      </c>
      <c r="C52" s="1853"/>
      <c r="D52" s="322"/>
      <c r="E52" s="322"/>
      <c r="F52" s="942"/>
      <c r="G52" s="942"/>
      <c r="H52" s="942"/>
      <c r="I52" s="953"/>
    </row>
    <row r="53" spans="2:9" ht="4.2" customHeight="1">
      <c r="B53" s="1853"/>
      <c r="C53" s="1853"/>
      <c r="D53" s="325"/>
      <c r="E53" s="325"/>
      <c r="F53" s="320"/>
      <c r="G53" s="320"/>
      <c r="H53" s="320"/>
      <c r="I53" s="953"/>
    </row>
    <row r="54" spans="2:9" ht="12" customHeight="1">
      <c r="B54" s="1379" t="s">
        <v>0</v>
      </c>
      <c r="C54" s="325"/>
      <c r="D54" s="325"/>
      <c r="E54" s="325"/>
      <c r="F54" s="942"/>
      <c r="G54" s="942">
        <v>0</v>
      </c>
      <c r="H54" s="942"/>
      <c r="I54" s="953"/>
    </row>
    <row r="55" spans="2:9" ht="12" customHeight="1">
      <c r="B55" s="598" t="s">
        <v>237</v>
      </c>
      <c r="C55" s="1371">
        <v>0</v>
      </c>
      <c r="D55" s="1371">
        <f>C55</f>
        <v>0</v>
      </c>
      <c r="E55" s="1371">
        <f>D55</f>
        <v>0</v>
      </c>
      <c r="F55" s="658"/>
      <c r="G55" s="948">
        <f>G$14</f>
        <v>2026</v>
      </c>
      <c r="H55" s="948">
        <f>H$14</f>
        <v>2027</v>
      </c>
      <c r="I55" s="952"/>
    </row>
    <row r="56" spans="2:9" ht="12" customHeight="1">
      <c r="B56" s="593" t="s">
        <v>318</v>
      </c>
      <c r="C56" s="1372">
        <v>0</v>
      </c>
      <c r="D56" s="1372">
        <f>C56*(1+G56)</f>
        <v>0</v>
      </c>
      <c r="E56" s="1372">
        <f>D56*(1+H56)</f>
        <v>0</v>
      </c>
      <c r="F56" s="299" t="s">
        <v>566</v>
      </c>
      <c r="G56" s="746">
        <v>0.02</v>
      </c>
      <c r="H56" s="746">
        <v>0.02</v>
      </c>
      <c r="I56" s="952"/>
    </row>
    <row r="57" spans="2:9" ht="12" customHeight="1">
      <c r="B57" s="593" t="s">
        <v>329</v>
      </c>
      <c r="C57" s="1374">
        <v>0</v>
      </c>
      <c r="D57" s="1374">
        <f>C57</f>
        <v>0</v>
      </c>
      <c r="E57" s="1374">
        <f>D57</f>
        <v>0</v>
      </c>
      <c r="F57" s="658"/>
      <c r="G57" s="947"/>
      <c r="H57" s="947"/>
      <c r="I57" s="952"/>
    </row>
    <row r="58" spans="2:9" ht="12" customHeight="1">
      <c r="B58" s="593" t="s">
        <v>382</v>
      </c>
      <c r="C58" s="1376">
        <v>0</v>
      </c>
      <c r="D58" s="1376">
        <f>C58</f>
        <v>0</v>
      </c>
      <c r="E58" s="1376">
        <f>D58</f>
        <v>0</v>
      </c>
      <c r="F58" s="658"/>
      <c r="G58" s="947"/>
      <c r="H58" s="947"/>
      <c r="I58" s="952"/>
    </row>
    <row r="59" spans="2:9" ht="12" customHeight="1">
      <c r="B59" s="593" t="s">
        <v>503</v>
      </c>
      <c r="C59" s="1371">
        <v>0</v>
      </c>
      <c r="D59" s="1371">
        <f>C59*(1+G59)</f>
        <v>0</v>
      </c>
      <c r="E59" s="1371">
        <f>D59*(1+H59)</f>
        <v>0</v>
      </c>
      <c r="F59" s="299" t="s">
        <v>566</v>
      </c>
      <c r="G59" s="746">
        <v>0.02</v>
      </c>
      <c r="H59" s="746">
        <v>0.02</v>
      </c>
      <c r="I59" s="952"/>
    </row>
    <row r="60" spans="2:9" ht="12" customHeight="1">
      <c r="B60" s="593" t="s">
        <v>330</v>
      </c>
      <c r="C60" s="1374"/>
      <c r="D60" s="1374"/>
      <c r="E60" s="1374">
        <f>D60</f>
        <v>0</v>
      </c>
      <c r="F60" s="942"/>
      <c r="G60" s="942"/>
      <c r="H60" s="942"/>
      <c r="I60" s="953"/>
    </row>
    <row r="61" spans="2:9" ht="12" customHeight="1">
      <c r="B61" s="593" t="s">
        <v>122</v>
      </c>
      <c r="C61" s="1378">
        <f>C55*C60*(C56*C57+C56*C57*C58+C59)</f>
        <v>0</v>
      </c>
      <c r="D61" s="1378">
        <f>D55*D60*(D56*D57+D56*D57*D58+D59)</f>
        <v>0</v>
      </c>
      <c r="E61" s="1378">
        <f>E55*E60*(E56*E57+E56*E57*E58+E59)</f>
        <v>0</v>
      </c>
      <c r="F61" s="942"/>
      <c r="G61" s="942"/>
      <c r="H61" s="942"/>
      <c r="I61" s="953"/>
    </row>
    <row r="62" spans="2:9" ht="12" customHeight="1">
      <c r="B62" s="593" t="s">
        <v>123</v>
      </c>
      <c r="C62" s="1378">
        <f>C55*(C56*C57+C56*C57*C58)*C60</f>
        <v>0</v>
      </c>
      <c r="D62" s="1378">
        <f>D55*(D56*D57+D56*D57*D58)*D60</f>
        <v>0</v>
      </c>
      <c r="E62" s="1378">
        <f>E55*(E56*E57+E56*E57*E58)*E60</f>
        <v>0</v>
      </c>
      <c r="F62" s="942"/>
      <c r="G62" s="942"/>
      <c r="H62" s="942"/>
      <c r="I62" s="953"/>
    </row>
    <row r="63" spans="2:9" ht="4.2" customHeight="1">
      <c r="B63" s="323"/>
      <c r="C63" s="730"/>
      <c r="D63" s="730"/>
      <c r="E63" s="730"/>
      <c r="F63" s="320"/>
      <c r="G63" s="320"/>
      <c r="H63" s="320"/>
      <c r="I63" s="953"/>
    </row>
    <row r="64" spans="2:9" ht="12" customHeight="1">
      <c r="B64" s="1379" t="s">
        <v>0</v>
      </c>
      <c r="C64" s="730"/>
      <c r="D64" s="730"/>
      <c r="E64" s="730"/>
      <c r="F64" s="942"/>
      <c r="G64" s="942"/>
      <c r="H64" s="942"/>
      <c r="I64" s="953"/>
    </row>
    <row r="65" spans="2:9" ht="12" customHeight="1">
      <c r="B65" s="598" t="s">
        <v>237</v>
      </c>
      <c r="C65" s="1371">
        <v>0</v>
      </c>
      <c r="D65" s="1371">
        <f>C65</f>
        <v>0</v>
      </c>
      <c r="E65" s="1371">
        <f>D65</f>
        <v>0</v>
      </c>
      <c r="F65" s="658"/>
      <c r="G65" s="948">
        <f>G$14</f>
        <v>2026</v>
      </c>
      <c r="H65" s="948">
        <f>H$14</f>
        <v>2027</v>
      </c>
      <c r="I65" s="952"/>
    </row>
    <row r="66" spans="2:9" ht="12" customHeight="1">
      <c r="B66" s="1370" t="s">
        <v>318</v>
      </c>
      <c r="C66" s="1372">
        <v>0</v>
      </c>
      <c r="D66" s="1372">
        <f>C66*(1+G66)</f>
        <v>0</v>
      </c>
      <c r="E66" s="1372">
        <f>D66*(1+H66)</f>
        <v>0</v>
      </c>
      <c r="F66" s="299" t="s">
        <v>566</v>
      </c>
      <c r="G66" s="746">
        <v>0.02</v>
      </c>
      <c r="H66" s="746">
        <v>0.02</v>
      </c>
      <c r="I66" s="952"/>
    </row>
    <row r="67" spans="2:9" ht="12" customHeight="1">
      <c r="B67" s="1370" t="s">
        <v>329</v>
      </c>
      <c r="C67" s="1374">
        <v>0</v>
      </c>
      <c r="D67" s="1374">
        <f>C67</f>
        <v>0</v>
      </c>
      <c r="E67" s="1374">
        <f>D67</f>
        <v>0</v>
      </c>
      <c r="F67" s="658"/>
      <c r="G67" s="947"/>
      <c r="H67" s="947"/>
      <c r="I67" s="952"/>
    </row>
    <row r="68" spans="2:9" ht="12" customHeight="1">
      <c r="B68" s="1370" t="s">
        <v>382</v>
      </c>
      <c r="C68" s="1376">
        <v>0</v>
      </c>
      <c r="D68" s="1376">
        <f>C68</f>
        <v>0</v>
      </c>
      <c r="E68" s="1376">
        <f>D68</f>
        <v>0</v>
      </c>
      <c r="F68" s="658"/>
      <c r="G68" s="947"/>
      <c r="H68" s="947"/>
      <c r="I68" s="952"/>
    </row>
    <row r="69" spans="2:9" ht="12" customHeight="1">
      <c r="B69" s="1370" t="s">
        <v>503</v>
      </c>
      <c r="C69" s="1371">
        <v>0</v>
      </c>
      <c r="D69" s="1371">
        <f>C69*(1+G69)</f>
        <v>0</v>
      </c>
      <c r="E69" s="1371">
        <f>D69*(1+H69)</f>
        <v>0</v>
      </c>
      <c r="F69" s="299" t="s">
        <v>566</v>
      </c>
      <c r="G69" s="746">
        <v>0.02</v>
      </c>
      <c r="H69" s="746">
        <v>0.02</v>
      </c>
      <c r="I69" s="952"/>
    </row>
    <row r="70" spans="2:9" ht="12" customHeight="1">
      <c r="B70" s="1370" t="s">
        <v>330</v>
      </c>
      <c r="C70" s="1374"/>
      <c r="D70" s="1374"/>
      <c r="E70" s="1374">
        <f>D70</f>
        <v>0</v>
      </c>
      <c r="F70" s="658"/>
      <c r="G70" s="658"/>
      <c r="H70" s="658"/>
      <c r="I70" s="952"/>
    </row>
    <row r="71" spans="2:9" ht="12" customHeight="1">
      <c r="B71" s="1370" t="s">
        <v>122</v>
      </c>
      <c r="C71" s="1378">
        <f>C65*C70*(C66*C67+C66*C67*C68+C69)</f>
        <v>0</v>
      </c>
      <c r="D71" s="1378">
        <f>D65*D70*(D66*D67+D66*D67*D68+D69)</f>
        <v>0</v>
      </c>
      <c r="E71" s="1378">
        <f>E65*E70*(E66*E67+E66*E67*E68+E69)</f>
        <v>0</v>
      </c>
      <c r="F71" s="658"/>
      <c r="G71" s="658"/>
      <c r="H71" s="658"/>
      <c r="I71" s="952"/>
    </row>
    <row r="72" spans="2:9" ht="12" customHeight="1">
      <c r="B72" s="1370" t="s">
        <v>123</v>
      </c>
      <c r="C72" s="1378">
        <f>C65*(C66*C67+C66*C67*C68)*C70</f>
        <v>0</v>
      </c>
      <c r="D72" s="1378">
        <f>D65*(D66*D67+D66*D67*D68)*D70</f>
        <v>0</v>
      </c>
      <c r="E72" s="1378">
        <f>E65*(E66*E67+E66*E67*E68)*E70</f>
        <v>0</v>
      </c>
      <c r="F72" s="658"/>
      <c r="G72" s="658"/>
      <c r="H72" s="658"/>
      <c r="I72" s="952"/>
    </row>
    <row r="73" spans="2:9" ht="4.2" customHeight="1">
      <c r="B73" s="323"/>
      <c r="C73" s="730"/>
      <c r="D73" s="730"/>
      <c r="E73" s="730"/>
      <c r="F73" s="323"/>
      <c r="G73" s="323"/>
      <c r="H73" s="323"/>
      <c r="I73" s="952"/>
    </row>
    <row r="74" spans="2:9" ht="12" customHeight="1">
      <c r="B74" s="1379" t="s">
        <v>0</v>
      </c>
      <c r="C74" s="730"/>
      <c r="D74" s="730"/>
      <c r="E74" s="730"/>
      <c r="F74" s="658"/>
      <c r="G74" s="658"/>
      <c r="H74" s="658"/>
      <c r="I74" s="952"/>
    </row>
    <row r="75" spans="2:9" ht="12" customHeight="1">
      <c r="B75" s="598" t="s">
        <v>237</v>
      </c>
      <c r="C75" s="1371">
        <v>0</v>
      </c>
      <c r="D75" s="1371">
        <f>C75</f>
        <v>0</v>
      </c>
      <c r="E75" s="1371">
        <f>D75</f>
        <v>0</v>
      </c>
      <c r="F75" s="658"/>
      <c r="G75" s="948">
        <f>G$14</f>
        <v>2026</v>
      </c>
      <c r="H75" s="948">
        <f>H$14</f>
        <v>2027</v>
      </c>
      <c r="I75" s="952"/>
    </row>
    <row r="76" spans="2:9" ht="12" customHeight="1">
      <c r="B76" s="1370" t="s">
        <v>318</v>
      </c>
      <c r="C76" s="1372">
        <v>0</v>
      </c>
      <c r="D76" s="1372">
        <f>C76*(1+G76)</f>
        <v>0</v>
      </c>
      <c r="E76" s="1372">
        <f>D76*(1+H76)</f>
        <v>0</v>
      </c>
      <c r="F76" s="299" t="s">
        <v>566</v>
      </c>
      <c r="G76" s="746">
        <v>0.02</v>
      </c>
      <c r="H76" s="746">
        <v>0.02</v>
      </c>
      <c r="I76" s="952"/>
    </row>
    <row r="77" spans="2:9" ht="12" customHeight="1">
      <c r="B77" s="595" t="s">
        <v>329</v>
      </c>
      <c r="C77" s="1374">
        <v>0</v>
      </c>
      <c r="D77" s="1376">
        <f>C77</f>
        <v>0</v>
      </c>
      <c r="E77" s="1376">
        <f>D77</f>
        <v>0</v>
      </c>
      <c r="F77" s="658"/>
      <c r="G77" s="947"/>
      <c r="H77" s="947"/>
      <c r="I77" s="952"/>
    </row>
    <row r="78" spans="2:9" ht="12" customHeight="1">
      <c r="B78" s="1370" t="s">
        <v>382</v>
      </c>
      <c r="C78" s="1376">
        <v>0</v>
      </c>
      <c r="D78" s="1376">
        <f>C78</f>
        <v>0</v>
      </c>
      <c r="E78" s="1376">
        <f>D78</f>
        <v>0</v>
      </c>
      <c r="F78" s="658"/>
      <c r="G78" s="947"/>
      <c r="H78" s="947"/>
      <c r="I78" s="952"/>
    </row>
    <row r="79" spans="2:9" ht="12" customHeight="1">
      <c r="B79" s="1370" t="s">
        <v>503</v>
      </c>
      <c r="C79" s="1371">
        <v>0</v>
      </c>
      <c r="D79" s="1371">
        <f>C79*(1+G79)</f>
        <v>0</v>
      </c>
      <c r="E79" s="1371">
        <f>D79*(1+H79)</f>
        <v>0</v>
      </c>
      <c r="F79" s="299" t="s">
        <v>566</v>
      </c>
      <c r="G79" s="746">
        <v>0.02</v>
      </c>
      <c r="H79" s="746">
        <v>0.02</v>
      </c>
      <c r="I79" s="952"/>
    </row>
    <row r="80" spans="2:9" ht="12" customHeight="1">
      <c r="B80" s="1370" t="s">
        <v>330</v>
      </c>
      <c r="C80" s="1374"/>
      <c r="D80" s="1374">
        <f>C80</f>
        <v>0</v>
      </c>
      <c r="E80" s="1374">
        <f>D80</f>
        <v>0</v>
      </c>
      <c r="F80" s="942"/>
      <c r="G80" s="942"/>
      <c r="H80" s="942"/>
      <c r="I80" s="953"/>
    </row>
    <row r="81" spans="2:9" ht="12" customHeight="1">
      <c r="B81" s="1370" t="s">
        <v>122</v>
      </c>
      <c r="C81" s="1378">
        <f>C75*C80*(C76*C77+C76*C77*C78+C79)</f>
        <v>0</v>
      </c>
      <c r="D81" s="1378">
        <f>D75*D80*(D76*D77+D76*D77*D78+D79)</f>
        <v>0</v>
      </c>
      <c r="E81" s="1378">
        <f>E75*E80*(E76*E77+E76*E77*E78+E79)</f>
        <v>0</v>
      </c>
      <c r="F81" s="942"/>
      <c r="G81" s="942"/>
      <c r="H81" s="942"/>
      <c r="I81" s="953"/>
    </row>
    <row r="82" spans="2:9" ht="12" customHeight="1">
      <c r="B82" s="1370" t="s">
        <v>123</v>
      </c>
      <c r="C82" s="1378">
        <f>C75*(C76*C77+C76*C77*C78)*C80</f>
        <v>0</v>
      </c>
      <c r="D82" s="1378">
        <f>D75*(D76*D77+D76*D77*D78)*D80</f>
        <v>0</v>
      </c>
      <c r="E82" s="1378">
        <f>E75*(E76*E77+E76*E77*E78)*E80</f>
        <v>0</v>
      </c>
      <c r="F82" s="942"/>
      <c r="G82" s="942"/>
      <c r="H82" s="942"/>
      <c r="I82" s="953"/>
    </row>
    <row r="83" spans="2:9" ht="4.2" customHeight="1">
      <c r="B83" s="599"/>
      <c r="C83" s="324"/>
      <c r="D83" s="324"/>
      <c r="E83" s="324"/>
      <c r="F83" s="320"/>
      <c r="G83" s="320"/>
      <c r="H83" s="320"/>
      <c r="I83" s="953"/>
    </row>
    <row r="84" spans="2:9" ht="12" customHeight="1">
      <c r="B84" s="308" t="s">
        <v>120</v>
      </c>
      <c r="C84" s="745">
        <f>C82+C72+C62+C51+C41+C31+C21</f>
        <v>0</v>
      </c>
      <c r="D84" s="745">
        <f>D82+D72+D62+D51+D41+D31+D21</f>
        <v>0</v>
      </c>
      <c r="E84" s="745">
        <f>E82+E72+E62+E51+E41+E31+E21</f>
        <v>0</v>
      </c>
      <c r="F84" s="949"/>
      <c r="G84" s="949"/>
      <c r="H84" s="949"/>
      <c r="I84" s="953"/>
    </row>
    <row r="85" spans="2:9" ht="12" customHeight="1">
      <c r="B85" s="308" t="s">
        <v>504</v>
      </c>
      <c r="C85" s="745">
        <f>C18*IF(C19=12.5,12,C19)*C14+C24*C28*IF(C29=12.5,12,C29)+C34*C38*IF(C39=12.5,12,C39)+C44*C48*IF(C49=12.5,12,C49)+C55*C59*IF(C60=12.5,12,C60)+C65*C69*IF(C70=12.5,12,C70)+C75*C79*IF(C80=12.5,12,C80)</f>
        <v>0</v>
      </c>
      <c r="D85" s="745">
        <f>D18*IF(D19=12.5,12,D19)*D14+D24*D28*IF(D29=12.5,12,D29)+D34*D38*IF(D39=12.5,12,D39)+D44*D48*IF(D49=12.5,12,D49)+D55*D59*IF(D60=12.5,12,D60)+D65*D69*IF(D70=12.5,12,D70)+D75*D79*IF(D80=12.5,12,D80)</f>
        <v>0</v>
      </c>
      <c r="E85" s="745">
        <f>E18*IF(E19=12.5,12,E19)*E14+E24*E28*IF(E29=12.5,12,E29)+E34*E38*IF(E39=12.5,12,E39)+E44*E48*IF(E49=12.5,12,E49)+E55*E59*IF(E60=12.5,12,E60)+E65*E69*IF(E70=12.5,12,E70)+E75*E79*IF(E80=12.5,12,E80)</f>
        <v>0</v>
      </c>
      <c r="F85" s="949"/>
      <c r="G85" s="949"/>
      <c r="H85" s="949"/>
      <c r="I85" s="953"/>
    </row>
    <row r="86" spans="2:9" ht="12" customHeight="1">
      <c r="B86" s="308" t="s">
        <v>121</v>
      </c>
      <c r="C86" s="745">
        <f>SUM(C84:C85)</f>
        <v>0</v>
      </c>
      <c r="D86" s="745">
        <f>SUM(D84:D85)</f>
        <v>0</v>
      </c>
      <c r="E86" s="745">
        <f>SUM(E84:E85)</f>
        <v>0</v>
      </c>
      <c r="F86" s="954"/>
      <c r="G86" s="954"/>
      <c r="H86" s="954"/>
      <c r="I86" s="955"/>
    </row>
    <row r="88" spans="2:9">
      <c r="B88" s="312" t="s">
        <v>331</v>
      </c>
    </row>
    <row r="89" spans="2:9">
      <c r="B89" s="100" t="s">
        <v>332</v>
      </c>
    </row>
    <row r="90" spans="2:9">
      <c r="B90" s="100" t="s">
        <v>333</v>
      </c>
    </row>
  </sheetData>
  <sheetProtection algorithmName="SHA-512" hashValue="FAl36ZI3kxEUXkEEP4qudR4Yf32jdPRKQ0elj1t1GlBLN8ma8bNA8FmEbPeb6DIPKtqVR/OyHaez4V1VLSO5RA==" saltValue="M2tPmxFXn8eVkS7zJzWltQ==" spinCount="100000" sheet="1" objects="1" scenarios="1"/>
  <mergeCells count="2">
    <mergeCell ref="B5:I5"/>
    <mergeCell ref="B52:C53"/>
  </mergeCells>
  <printOptions horizontalCentered="1"/>
  <pageMargins left="0.23622047244094491" right="0.23622047244094491" top="0.74803149606299213" bottom="0.74803149606299213" header="0.31496062992125984" footer="0.31496062992125984"/>
  <pageSetup paperSize="9" scale="80" fitToWidth="0" orientation="portrait" horizontalDpi="1200" verticalDpi="120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ul10">
    <tabColor theme="3" tint="0.79998168889431442"/>
  </sheetPr>
  <dimension ref="A2:T142"/>
  <sheetViews>
    <sheetView showGridLines="0" showZeros="0" zoomScaleNormal="100" workbookViewId="0"/>
  </sheetViews>
  <sheetFormatPr defaultRowHeight="12.45"/>
  <cols>
    <col min="1" max="1" width="5.84375" customWidth="1"/>
    <col min="2" max="2" width="6.84375" customWidth="1"/>
    <col min="3" max="3" width="4" customWidth="1"/>
    <col min="4" max="4" width="50.07421875" customWidth="1"/>
    <col min="5" max="5" width="11.765625" customWidth="1"/>
    <col min="6" max="8" width="10.84375" customWidth="1"/>
    <col min="9" max="9" width="3.07421875" customWidth="1"/>
    <col min="10" max="11" width="9.07421875" customWidth="1"/>
    <col min="12" max="19" width="10.84375" customWidth="1"/>
  </cols>
  <sheetData>
    <row r="2" spans="1:19" ht="15" customHeight="1">
      <c r="A2" s="1854"/>
      <c r="B2" s="1854"/>
      <c r="C2" s="1857" t="s">
        <v>359</v>
      </c>
      <c r="D2" s="1858"/>
      <c r="E2" s="1858"/>
      <c r="F2" s="1858"/>
      <c r="G2" s="1858"/>
      <c r="H2" s="1858"/>
      <c r="J2" s="1680"/>
      <c r="K2" s="1680"/>
      <c r="L2" s="243"/>
      <c r="M2" s="435"/>
      <c r="N2" s="1680"/>
      <c r="O2" s="1680"/>
    </row>
    <row r="3" spans="1:19" ht="15" customHeight="1">
      <c r="J3" s="20"/>
      <c r="M3" s="20"/>
      <c r="N3" s="20"/>
      <c r="O3" s="20"/>
    </row>
    <row r="4" spans="1:19" ht="15" customHeight="1">
      <c r="A4" s="1855"/>
      <c r="B4" s="1855"/>
      <c r="C4" s="1683"/>
      <c r="D4" s="1683"/>
      <c r="E4" s="1683"/>
      <c r="F4" s="1683"/>
      <c r="G4" s="1683"/>
      <c r="H4" s="1683"/>
      <c r="I4" s="410"/>
      <c r="J4" s="410"/>
      <c r="K4" s="410"/>
      <c r="L4" s="410"/>
      <c r="M4" s="410"/>
      <c r="N4" s="20"/>
      <c r="O4" s="20"/>
    </row>
    <row r="5" spans="1:19" ht="12" customHeight="1">
      <c r="C5" s="99" t="str">
        <f>'Kustannukset K1'!C5</f>
        <v>Yritystulkin tarjoavat</v>
      </c>
      <c r="D5" s="99"/>
      <c r="J5" s="20"/>
      <c r="K5" s="20"/>
      <c r="L5" s="20"/>
      <c r="M5" s="20"/>
      <c r="N5" s="20"/>
      <c r="O5" s="20"/>
    </row>
    <row r="6" spans="1:19" ht="12" customHeight="1">
      <c r="C6" s="63" t="str">
        <f>Aloitussivu!J34</f>
        <v>Iisalmi, Lapinlahti, Sonkajärvi, Vieremä</v>
      </c>
      <c r="I6" s="43"/>
      <c r="J6" s="13"/>
    </row>
    <row r="7" spans="1:19" ht="12" customHeight="1">
      <c r="C7" s="99"/>
      <c r="I7" s="43"/>
      <c r="J7" s="13"/>
    </row>
    <row r="8" spans="1:19" ht="13.5" customHeight="1">
      <c r="C8" s="413" t="s">
        <v>22</v>
      </c>
      <c r="D8" s="154"/>
      <c r="H8" s="144"/>
    </row>
    <row r="9" spans="1:19" ht="13.5" customHeight="1">
      <c r="C9" s="1862">
        <v>0</v>
      </c>
      <c r="D9" s="1862"/>
      <c r="E9" s="1691"/>
      <c r="F9" s="1691"/>
      <c r="G9" s="1691"/>
      <c r="H9" s="1691"/>
      <c r="I9" s="409"/>
      <c r="J9" s="412"/>
      <c r="K9" s="409"/>
    </row>
    <row r="10" spans="1:19" ht="6" customHeight="1">
      <c r="F10" s="39"/>
      <c r="G10" s="361"/>
      <c r="H10" s="39"/>
      <c r="I10" s="39"/>
      <c r="J10" s="1687"/>
      <c r="K10" s="1687"/>
      <c r="L10" s="1687"/>
      <c r="M10" s="1687"/>
      <c r="N10" s="1687"/>
    </row>
    <row r="11" spans="1:19" ht="15" customHeight="1">
      <c r="A11" s="1694" t="s">
        <v>775</v>
      </c>
      <c r="B11" s="1694"/>
      <c r="C11" s="1673" t="str">
        <f>IF(F13=12,"TOIMINTAKUSTANNUKSET TILIKAUDELLA (alv 0 %)","TOIMINTAKUSTANNUKSET TILIKAUDELLA (alv 0 %). HUOMIOI KUSTANNUKSISSA TILIKAUDEN PITUUS!")</f>
        <v>TOIMINTAKUSTANNUKSET TILIKAUDELLA (alv 0 %)</v>
      </c>
      <c r="D11" s="1673"/>
      <c r="E11" s="1673"/>
      <c r="F11" s="1290" t="s">
        <v>400</v>
      </c>
      <c r="G11" s="1290" t="s">
        <v>401</v>
      </c>
      <c r="H11" s="1291" t="s">
        <v>444</v>
      </c>
      <c r="I11" s="47"/>
      <c r="J11" s="1859" t="s">
        <v>773</v>
      </c>
      <c r="K11" s="1860"/>
      <c r="L11" s="1860"/>
      <c r="M11" s="1860"/>
      <c r="N11" s="1860"/>
      <c r="O11" s="1860"/>
      <c r="P11" s="1860"/>
      <c r="Q11" s="1860"/>
      <c r="R11" s="1860"/>
      <c r="S11" s="1861"/>
    </row>
    <row r="12" spans="1:19" ht="13.5" customHeight="1">
      <c r="A12" s="1694"/>
      <c r="B12" s="1694"/>
      <c r="C12" s="1673"/>
      <c r="D12" s="1673"/>
      <c r="E12" s="1673"/>
      <c r="F12" s="1286">
        <v>2025</v>
      </c>
      <c r="G12" s="1287">
        <f>F12+1</f>
        <v>2026</v>
      </c>
      <c r="H12" s="1287">
        <f>G12+1</f>
        <v>2027</v>
      </c>
      <c r="I12" s="48"/>
      <c r="J12" s="1556" t="s">
        <v>0</v>
      </c>
      <c r="K12" s="1553"/>
      <c r="L12" s="1389"/>
      <c r="M12" s="1389"/>
      <c r="N12" s="1389"/>
      <c r="O12" s="1386"/>
      <c r="P12" s="1386"/>
      <c r="Q12" s="1386"/>
      <c r="R12" s="1386"/>
      <c r="S12" s="1557"/>
    </row>
    <row r="13" spans="1:19" ht="12.9" thickBot="1">
      <c r="B13" s="600"/>
      <c r="C13" s="1856" t="s">
        <v>380</v>
      </c>
      <c r="D13" s="1856"/>
      <c r="E13" s="1856"/>
      <c r="F13" s="1288">
        <v>12</v>
      </c>
      <c r="G13" s="1289">
        <v>12</v>
      </c>
      <c r="H13" s="1289">
        <v>12</v>
      </c>
      <c r="I13" s="48"/>
      <c r="J13" s="1556"/>
      <c r="K13" s="1553"/>
      <c r="L13" s="1389"/>
      <c r="M13" s="1389"/>
      <c r="N13" s="1389"/>
      <c r="O13" s="1386"/>
      <c r="P13" s="1554" t="s">
        <v>772</v>
      </c>
      <c r="Q13" s="1386"/>
      <c r="R13" s="1386"/>
      <c r="S13" s="1557"/>
    </row>
    <row r="14" spans="1:19" ht="12.9" thickBot="1">
      <c r="B14" s="760" t="s">
        <v>177</v>
      </c>
      <c r="C14" s="618" t="s">
        <v>12</v>
      </c>
      <c r="D14" s="672" t="s">
        <v>840</v>
      </c>
      <c r="E14" s="672"/>
      <c r="F14" s="1247">
        <f>F16*F18</f>
        <v>0</v>
      </c>
      <c r="G14" s="1113">
        <f>G16*G18</f>
        <v>0</v>
      </c>
      <c r="H14" s="1248">
        <f>H16*H18</f>
        <v>0</v>
      </c>
      <c r="I14" s="48"/>
      <c r="J14" s="1863" t="s">
        <v>552</v>
      </c>
      <c r="K14" s="1864"/>
      <c r="L14" s="783"/>
      <c r="M14" s="783"/>
      <c r="N14" s="783"/>
      <c r="O14" s="783"/>
      <c r="P14" s="783"/>
      <c r="Q14" s="783"/>
      <c r="R14" s="783"/>
      <c r="S14" s="1558"/>
    </row>
    <row r="15" spans="1:19">
      <c r="B15" s="581" t="s">
        <v>0</v>
      </c>
      <c r="C15" s="278">
        <v>0</v>
      </c>
      <c r="D15" s="1664" t="s">
        <v>242</v>
      </c>
      <c r="E15" s="1664"/>
      <c r="F15" s="1246">
        <f>(F16+F17)*F18</f>
        <v>0</v>
      </c>
      <c r="G15" s="1238">
        <f>(G16+G17)*G18</f>
        <v>0</v>
      </c>
      <c r="H15" s="1238">
        <f>(H16+H17)*H18</f>
        <v>0</v>
      </c>
      <c r="I15" s="4"/>
      <c r="J15" s="1559">
        <f>G$12</f>
        <v>2026</v>
      </c>
      <c r="K15" s="1560">
        <f>H$12</f>
        <v>2027</v>
      </c>
      <c r="L15" s="783"/>
      <c r="M15" s="783"/>
      <c r="N15" s="783"/>
      <c r="O15" s="783"/>
      <c r="P15" s="783"/>
      <c r="Q15" s="783"/>
      <c r="R15" s="783"/>
      <c r="S15" s="1558"/>
    </row>
    <row r="16" spans="1:19">
      <c r="B16" s="581"/>
      <c r="C16" s="278"/>
      <c r="D16" s="1670" t="s">
        <v>62</v>
      </c>
      <c r="E16" s="1671"/>
      <c r="F16" s="1236">
        <v>0</v>
      </c>
      <c r="G16" s="1239">
        <f>F16 +F16*J16</f>
        <v>0</v>
      </c>
      <c r="H16" s="1239">
        <f>G16 +G16*K16</f>
        <v>0</v>
      </c>
      <c r="I16" s="4"/>
      <c r="J16" s="1351">
        <v>0.03</v>
      </c>
      <c r="K16" s="1351">
        <f>J16</f>
        <v>0.03</v>
      </c>
      <c r="L16" s="783"/>
      <c r="M16" s="783"/>
      <c r="N16" s="783"/>
      <c r="O16" s="783"/>
      <c r="P16" s="783"/>
      <c r="Q16" s="783"/>
      <c r="R16" s="783"/>
      <c r="S16" s="1558"/>
    </row>
    <row r="17" spans="1:19">
      <c r="B17" s="581"/>
      <c r="C17" s="278"/>
      <c r="D17" s="1670" t="s">
        <v>502</v>
      </c>
      <c r="E17" s="1671"/>
      <c r="F17" s="1236">
        <v>0</v>
      </c>
      <c r="G17" s="1239">
        <f>F17 +F17*J17</f>
        <v>0</v>
      </c>
      <c r="H17" s="1239">
        <f>G17 +G17*K17</f>
        <v>0</v>
      </c>
      <c r="I17" s="4"/>
      <c r="J17" s="1351">
        <v>0.03</v>
      </c>
      <c r="K17" s="1351">
        <f>J17</f>
        <v>0.03</v>
      </c>
      <c r="L17" s="783"/>
      <c r="M17" s="783"/>
      <c r="N17" s="783"/>
      <c r="O17" s="783"/>
      <c r="P17" s="783"/>
      <c r="Q17" s="783"/>
      <c r="R17" s="783"/>
      <c r="S17" s="1558"/>
    </row>
    <row r="18" spans="1:19">
      <c r="B18" s="581"/>
      <c r="C18" s="278"/>
      <c r="D18" s="1670" t="s">
        <v>63</v>
      </c>
      <c r="E18" s="1671"/>
      <c r="F18" s="1237">
        <f>F13</f>
        <v>12</v>
      </c>
      <c r="G18" s="1240">
        <v>12.5</v>
      </c>
      <c r="H18" s="1240">
        <f>G18</f>
        <v>12.5</v>
      </c>
      <c r="I18" s="4"/>
      <c r="J18" s="1561"/>
      <c r="K18" s="664"/>
      <c r="L18" s="783"/>
      <c r="M18" s="783"/>
      <c r="N18" s="783"/>
      <c r="O18" s="783"/>
      <c r="P18" s="783"/>
      <c r="Q18" s="783"/>
      <c r="R18" s="783"/>
      <c r="S18" s="1558"/>
    </row>
    <row r="19" spans="1:19" ht="12.9" thickBot="1">
      <c r="B19" s="581"/>
      <c r="C19" s="280"/>
      <c r="D19" s="1669" t="s">
        <v>241</v>
      </c>
      <c r="E19" s="1669"/>
      <c r="F19" s="1252">
        <v>1</v>
      </c>
      <c r="G19" s="1241">
        <f>F19</f>
        <v>1</v>
      </c>
      <c r="H19" s="1241">
        <f>G19</f>
        <v>1</v>
      </c>
      <c r="I19" s="4"/>
      <c r="J19" s="1561"/>
      <c r="K19" s="664"/>
      <c r="L19" s="783"/>
      <c r="M19" s="783"/>
      <c r="N19" s="783"/>
      <c r="O19" s="783"/>
      <c r="P19" s="783"/>
      <c r="Q19" s="783"/>
      <c r="R19" s="783"/>
      <c r="S19" s="1558"/>
    </row>
    <row r="20" spans="1:19" ht="12.9" thickBot="1">
      <c r="A20" s="154"/>
      <c r="B20" s="580" t="s">
        <v>178</v>
      </c>
      <c r="C20" s="278" t="s">
        <v>13</v>
      </c>
      <c r="D20" s="1658" t="s">
        <v>397</v>
      </c>
      <c r="E20" s="1658"/>
      <c r="F20" s="1254">
        <f>IF($F13=6,'5 YP Lainat ja avustukset'!B150,IF($F13=7,'5 YP Lainat ja avustukset'!C151,IF($F13=8,'5 YP Lainat ja avustukset'!D152,IF($F13=9,'5 YP Lainat ja avustukset'!E153,IF($F13=10,'5 YP Lainat ja avustukset'!F154,IF($F13=11,'5 YP Lainat ja avustukset'!G155,IF($F13=12,'5 YP Lainat ja avustukset'!H156,IF($F13=13,'5 YP Lainat ja avustukset'!I157,IF($F13=14,'5 YP Lainat ja avustukset'!J158,IF($F13=15,'5 YP Lainat ja avustukset'!K159,IF($F13=16,'5 YP Lainat ja avustukset'!L160,IF($F13=17,'5 YP Lainat ja avustukset'!M161,'5 YP Lainat ja avustukset'!N162))))))))))))</f>
        <v>0</v>
      </c>
      <c r="G20" s="1242">
        <f>IF($F13=6,'5 YP Lainat ja avustukset'!N150,IF($F13=7,'5 YP Lainat ja avustukset'!O151,IF($F13=8,'5 YP Lainat ja avustukset'!P152,IF($F13=9,'5 YP Lainat ja avustukset'!Q153,IF($F13=10,'5 YP Lainat ja avustukset'!R154,IF($F13=11,'5 YP Lainat ja avustukset'!S155,IF($F13=12,'5 YP Lainat ja avustukset'!T156,IF($F13=13,'5 YP Lainat ja avustukset'!U157,IF($F13=14,'5 YP Lainat ja avustukset'!V158,IF($F13=15,'5 YP Lainat ja avustukset'!W159,IF($F13=16,'5 YP Lainat ja avustukset'!X160,IF($F13=17,'5 YP Lainat ja avustukset'!Y161,'5 YP Lainat ja avustukset'!Z162))))))))))))</f>
        <v>0</v>
      </c>
      <c r="H20" s="1242">
        <f>IF($F13=6,'5 YP Lainat ja avustukset'!Z150,IF($F13=7,'5 YP Lainat ja avustukset'!AA151,IF($F13=8,'5 YP Lainat ja avustukset'!AB152,IF($F13=9,'5 YP Lainat ja avustukset'!AC153,IF($F13=10,'5 YP Lainat ja avustukset'!AD154,IF($F13=11,'5 YP Lainat ja avustukset'!AE155,IF($F13=12,'5 YP Lainat ja avustukset'!AF156,IF($F13=13,'5 YP Lainat ja avustukset'!AG157,IF($F13=14,'5 YP Lainat ja avustukset'!AH158,IF($F13=15,'5 YP Lainat ja avustukset'!AI159,IF($F13=16,'5 YP Lainat ja avustukset'!AJ160,IF($F13=17,'5 YP Lainat ja avustukset'!AK161,'5 YP Lainat ja avustukset'!AL162))))))))))))</f>
        <v>0</v>
      </c>
      <c r="I20" s="6"/>
      <c r="J20" s="1562"/>
      <c r="K20" s="1555"/>
      <c r="L20" s="783"/>
      <c r="M20" s="783"/>
      <c r="N20" s="783"/>
      <c r="O20" s="783"/>
      <c r="P20" s="783"/>
      <c r="Q20" s="783"/>
      <c r="R20" s="783"/>
      <c r="S20" s="1558"/>
    </row>
    <row r="21" spans="1:19">
      <c r="B21" s="581"/>
      <c r="C21" s="278"/>
      <c r="D21" s="1664" t="s">
        <v>52</v>
      </c>
      <c r="E21" s="1664"/>
      <c r="F21" s="1253">
        <f>IF($F13=6,'5 YP Lainat ja avustukset'!B136,IF($F13=7,'5 YP Lainat ja avustukset'!C137,IF($F13=8,'5 YP Lainat ja avustukset'!D138,IF($F13=9,'5 YP Lainat ja avustukset'!E139,IF($F13=10,'5 YP Lainat ja avustukset'!F140,IF($F13=11,'5 YP Lainat ja avustukset'!G141,IF($F13=12,'5 YP Lainat ja avustukset'!H142,IF($F13=13,'5 YP Lainat ja avustukset'!I143,IF($F13=14,'5 YP Lainat ja avustukset'!J144,IF($F13=15,'5 YP Lainat ja avustukset'!K145,IF($F13=16,'5 YP Lainat ja avustukset'!L146,IF($F13=17,'5 YP Lainat ja avustukset'!M147,'5 YP Lainat ja avustukset'!N148))))))))))))</f>
        <v>0</v>
      </c>
      <c r="G21" s="1243">
        <f>IF($F13=6,'5 YP Lainat ja avustukset'!N136,IF($F13=7,'5 YP Lainat ja avustukset'!O137,IF($F13=8,'5 YP Lainat ja avustukset'!P138,IF($F13=9,'5 YP Lainat ja avustukset'!Q139,IF($F13=10,'5 YP Lainat ja avustukset'!R140,IF($F13=11,'5 YP Lainat ja avustukset'!S141,IF($F13=12,'5 YP Lainat ja avustukset'!T142,IF($F13=13,'5 YP Lainat ja avustukset'!U143,IF($F13=14,'5 YP Lainat ja avustukset'!V144,IF($F13=15,'5 YP Lainat ja avustukset'!W145,IF($F13=16,'5 YP Lainat ja avustukset'!X146,IF($F13=17,'5 YP Lainat ja avustukset'!Y147,'5 YP Lainat ja avustukset'!Z148))))))))))))</f>
        <v>0</v>
      </c>
      <c r="H21" s="1243">
        <f>IF($F13=6,'5 YP Lainat ja avustukset'!Z136,IF($F13=7,'5 YP Lainat ja avustukset'!AA137,IF($F13=8,'5 YP Lainat ja avustukset'!AB138,IF($F13=9,'5 YP Lainat ja avustukset'!AC139,IF($F13=10,'5 YP Lainat ja avustukset'!AD140,IF($F13=11,'5 YP Lainat ja avustukset'!AE141,IF($F13=12,'5 YP Lainat ja avustukset'!AF142,IF($F13=13,'5 YP Lainat ja avustukset'!AG143,IF($F13=14,'5 YP Lainat ja avustukset'!AH144,IF($F13=15,'5 YP Lainat ja avustukset'!AI145,IF($F13=16,'5 YP Lainat ja avustukset'!AJ146,IF($F13=17,'5 YP Lainat ja avustukset'!AK147,'5 YP Lainat ja avustukset'!AL148))))))))))))</f>
        <v>0</v>
      </c>
      <c r="I21" s="6"/>
      <c r="J21" s="1561"/>
      <c r="K21" s="1555"/>
      <c r="L21" s="783"/>
      <c r="M21" s="783"/>
      <c r="N21" s="783"/>
      <c r="O21" s="783"/>
      <c r="P21" s="783" t="s">
        <v>0</v>
      </c>
      <c r="Q21" s="783"/>
      <c r="R21" s="783"/>
      <c r="S21" s="1558"/>
    </row>
    <row r="22" spans="1:19" ht="12.9" thickBot="1">
      <c r="A22" s="154"/>
      <c r="B22" s="581"/>
      <c r="C22" s="280"/>
      <c r="D22" s="1666" t="s">
        <v>60</v>
      </c>
      <c r="E22" s="1666"/>
      <c r="F22" s="1249">
        <f>IF($F13&lt;12,'5 YP Lainat ja avustukset'!G133,IF($F13&lt;18,'5 YP Lainat ja avustukset'!M133,'5 YP Lainat ja avustukset'!N133))</f>
        <v>0</v>
      </c>
      <c r="G22" s="1244">
        <f>IF($F13&lt;12,'5 YP Lainat ja avustukset'!S133,IF($F13&lt;18,'5 YP Lainat ja avustukset'!Y133,'5 YP Lainat ja avustukset'!Z133))</f>
        <v>0</v>
      </c>
      <c r="H22" s="1244">
        <f>IF($F13&lt;12,'5 YP Lainat ja avustukset'!AE133,IF($F13&lt;18,'5 YP Lainat ja avustukset'!AK133,'5 YP Lainat ja avustukset'!AL133))</f>
        <v>0</v>
      </c>
      <c r="I22" s="6"/>
      <c r="J22" s="1561"/>
      <c r="K22" s="1555"/>
      <c r="L22" s="783"/>
      <c r="M22" s="783"/>
      <c r="N22" s="783"/>
      <c r="O22" s="783"/>
      <c r="P22" s="783"/>
      <c r="Q22" s="783"/>
      <c r="R22" s="783"/>
      <c r="S22" s="1558"/>
    </row>
    <row r="23" spans="1:19" ht="17.149999999999999" customHeight="1">
      <c r="A23" s="2"/>
      <c r="B23" s="580" t="s">
        <v>179</v>
      </c>
      <c r="C23" s="1142" t="s">
        <v>14</v>
      </c>
      <c r="D23" s="306" t="s">
        <v>196</v>
      </c>
      <c r="E23" s="1251"/>
      <c r="F23" s="1250">
        <f>F14+F20</f>
        <v>0</v>
      </c>
      <c r="G23" s="1245">
        <f>G14+G20</f>
        <v>0</v>
      </c>
      <c r="H23" s="1245">
        <f>H14+H20</f>
        <v>0</v>
      </c>
      <c r="I23" s="6"/>
      <c r="J23" s="1561"/>
      <c r="K23" s="664"/>
      <c r="L23" s="783"/>
      <c r="M23" s="783"/>
      <c r="N23" s="783"/>
      <c r="O23" s="783"/>
      <c r="P23" s="783"/>
      <c r="Q23" s="783"/>
      <c r="R23" s="783"/>
      <c r="S23" s="1558"/>
    </row>
    <row r="24" spans="1:19" ht="7.4" customHeight="1">
      <c r="A24" s="154"/>
      <c r="B24" s="582"/>
      <c r="C24" s="149"/>
      <c r="D24" s="308"/>
      <c r="E24" s="308"/>
      <c r="F24" s="741"/>
      <c r="G24" s="741"/>
      <c r="H24" s="741"/>
      <c r="I24" s="4"/>
      <c r="J24" s="1563"/>
      <c r="K24" s="354"/>
      <c r="L24" s="1389"/>
      <c r="M24" s="1389"/>
      <c r="N24" s="1389"/>
      <c r="O24" s="1389"/>
      <c r="P24" s="1389"/>
      <c r="Q24" s="1389"/>
      <c r="R24" s="1389"/>
      <c r="S24" s="1564"/>
    </row>
    <row r="25" spans="1:19" ht="15" customHeight="1">
      <c r="B25" s="581"/>
      <c r="C25" s="928" t="s">
        <v>0</v>
      </c>
      <c r="D25" s="930" t="s">
        <v>472</v>
      </c>
      <c r="E25" s="930"/>
      <c r="F25" s="844"/>
      <c r="G25" s="844"/>
      <c r="H25" s="844"/>
      <c r="I25" s="1"/>
      <c r="J25" s="1561"/>
      <c r="K25" s="664"/>
      <c r="L25" s="783"/>
      <c r="M25" s="783"/>
      <c r="N25" s="783"/>
      <c r="O25" s="783"/>
      <c r="P25" s="783"/>
      <c r="Q25" s="783"/>
      <c r="R25" s="783"/>
      <c r="S25" s="1558"/>
    </row>
    <row r="26" spans="1:19" ht="12.9" thickBot="1">
      <c r="A26" s="154"/>
      <c r="B26" s="580" t="s">
        <v>254</v>
      </c>
      <c r="C26" s="149" t="s">
        <v>15</v>
      </c>
      <c r="D26" s="1665" t="s">
        <v>821</v>
      </c>
      <c r="E26" s="1665"/>
      <c r="F26" s="1111">
        <f>IF(F27=0,0,-F13*PMT('Rahoitus Y3'!$H22/12,'Rahoitus Y3'!$I22*12,'Rahoitus Y3'!$K22)+10*F13)</f>
        <v>0</v>
      </c>
      <c r="G26" s="1111">
        <f>IF(G27=0,0,-G13*PMT('Rahoitus Y3'!$H22/12,'Rahoitus Y3'!$I22*12,'Rahoitus Y3'!$K22)+10*G13)</f>
        <v>0</v>
      </c>
      <c r="H26" s="1111">
        <f>IF(H27=0,0,-H13*PMT('Rahoitus Y3'!$H22/12,'Rahoitus Y3'!$I22*12,'Rahoitus Y3'!$K22)+10*H13)</f>
        <v>0</v>
      </c>
      <c r="I26" s="50"/>
      <c r="J26" s="1561"/>
      <c r="K26" s="1555"/>
      <c r="L26" s="783"/>
      <c r="M26" s="783"/>
      <c r="N26" s="783"/>
      <c r="O26" s="783"/>
      <c r="P26" s="783"/>
      <c r="Q26" s="783"/>
      <c r="R26" s="783"/>
      <c r="S26" s="1558"/>
    </row>
    <row r="27" spans="1:19" ht="12.9" thickBot="1">
      <c r="B27" s="581"/>
      <c r="C27" s="310"/>
      <c r="D27" s="1660" t="s">
        <v>81</v>
      </c>
      <c r="E27" s="1660"/>
      <c r="F27" s="679">
        <f>'Rahoitus Y3'!K22</f>
        <v>0</v>
      </c>
      <c r="G27" s="679">
        <f>IF('Rahoitus Y3'!$I$22&lt;2,0,F27)</f>
        <v>0</v>
      </c>
      <c r="H27" s="679">
        <f>IF('Rahoitus Y3'!$I$22&lt;3,0,G27)</f>
        <v>0</v>
      </c>
      <c r="I27" s="46"/>
      <c r="J27" s="1561"/>
      <c r="K27" s="1555"/>
      <c r="L27" s="783"/>
      <c r="M27" s="783"/>
      <c r="N27" s="783"/>
      <c r="O27" s="783"/>
      <c r="P27" s="783"/>
      <c r="Q27" s="783"/>
      <c r="R27" s="783"/>
      <c r="S27" s="1558"/>
    </row>
    <row r="28" spans="1:19" ht="12.9" thickBot="1">
      <c r="A28" s="154"/>
      <c r="B28" s="580" t="s">
        <v>392</v>
      </c>
      <c r="C28" s="575" t="s">
        <v>16</v>
      </c>
      <c r="D28" s="929" t="s">
        <v>761</v>
      </c>
      <c r="E28" s="417"/>
      <c r="F28" s="1113">
        <f>'Palkat '!C84</f>
        <v>0</v>
      </c>
      <c r="G28" s="1113">
        <f>'Palkat '!D84</f>
        <v>0</v>
      </c>
      <c r="H28" s="1113">
        <f>'Palkat '!E84</f>
        <v>0</v>
      </c>
      <c r="I28" s="6"/>
      <c r="J28" s="1561"/>
      <c r="K28" s="664"/>
      <c r="L28" s="783"/>
      <c r="M28" s="783"/>
      <c r="N28" s="783"/>
      <c r="O28" s="783"/>
      <c r="P28" s="783"/>
      <c r="Q28" s="783"/>
      <c r="R28" s="783"/>
      <c r="S28" s="1558"/>
    </row>
    <row r="29" spans="1:19" ht="12.9" thickBot="1">
      <c r="A29" s="154"/>
      <c r="B29" s="580" t="s">
        <v>180</v>
      </c>
      <c r="C29" s="149" t="s">
        <v>17</v>
      </c>
      <c r="D29" s="588" t="s">
        <v>841</v>
      </c>
      <c r="E29" s="302"/>
      <c r="F29" s="1113">
        <f>F30+F33</f>
        <v>0</v>
      </c>
      <c r="G29" s="1113">
        <f>G30+G33</f>
        <v>0</v>
      </c>
      <c r="H29" s="1113">
        <f>H30+H33</f>
        <v>0</v>
      </c>
      <c r="I29" s="6"/>
      <c r="J29" s="1561"/>
      <c r="K29" s="664"/>
      <c r="L29" s="783"/>
      <c r="M29" s="783"/>
      <c r="N29" s="783"/>
      <c r="O29" s="783"/>
      <c r="P29" s="783"/>
      <c r="Q29" s="783"/>
      <c r="R29" s="783"/>
      <c r="S29" s="1558"/>
    </row>
    <row r="30" spans="1:19">
      <c r="B30" s="581" t="s">
        <v>0</v>
      </c>
      <c r="C30" s="149" t="s">
        <v>0</v>
      </c>
      <c r="D30" s="586" t="s">
        <v>256</v>
      </c>
      <c r="E30" s="586"/>
      <c r="F30" s="1256">
        <f>F31*F13*F32/12</f>
        <v>0</v>
      </c>
      <c r="G30" s="1256">
        <f>IF(G32&gt;0,G31*G32,G15*G31)</f>
        <v>0</v>
      </c>
      <c r="H30" s="1256">
        <f>IF(H32&gt;0,H31*H32,H15*H31)</f>
        <v>0</v>
      </c>
      <c r="I30" s="6"/>
      <c r="J30" s="1863" t="s">
        <v>552</v>
      </c>
      <c r="K30" s="1864"/>
      <c r="L30" s="783"/>
      <c r="M30" s="783"/>
      <c r="N30" s="783"/>
      <c r="O30" s="783"/>
      <c r="P30" s="783"/>
      <c r="Q30" s="783"/>
      <c r="R30" s="783"/>
      <c r="S30" s="1558"/>
    </row>
    <row r="31" spans="1:19">
      <c r="A31" s="154"/>
      <c r="B31" s="581"/>
      <c r="C31" s="149"/>
      <c r="D31" s="303" t="s">
        <v>500</v>
      </c>
      <c r="E31" s="1108"/>
      <c r="F31" s="1257">
        <v>0.188</v>
      </c>
      <c r="G31" s="1257">
        <f>F31</f>
        <v>0.188</v>
      </c>
      <c r="H31" s="1257">
        <f>G31</f>
        <v>0.188</v>
      </c>
      <c r="I31" s="6"/>
      <c r="J31" s="1559">
        <f>G$12</f>
        <v>2026</v>
      </c>
      <c r="K31" s="1560">
        <f>H$12</f>
        <v>2027</v>
      </c>
      <c r="L31" s="783"/>
      <c r="M31" s="783"/>
      <c r="N31" s="783"/>
      <c r="O31" s="783"/>
      <c r="P31" s="783"/>
      <c r="Q31" s="783"/>
      <c r="R31" s="783"/>
      <c r="S31" s="1558"/>
    </row>
    <row r="32" spans="1:19">
      <c r="A32" s="2"/>
      <c r="B32" s="581"/>
      <c r="C32" s="149"/>
      <c r="D32" s="1662" t="s">
        <v>393</v>
      </c>
      <c r="E32" s="1663"/>
      <c r="F32" s="1258">
        <f>12.5*F16+12.5*F17</f>
        <v>0</v>
      </c>
      <c r="G32" s="1271">
        <f>F32+F32*J32</f>
        <v>0</v>
      </c>
      <c r="H32" s="1271">
        <f>G32 +G32*K32</f>
        <v>0</v>
      </c>
      <c r="I32" s="6"/>
      <c r="J32" s="1570">
        <v>0.03</v>
      </c>
      <c r="K32" s="1570">
        <f>J32</f>
        <v>0.03</v>
      </c>
      <c r="L32" s="783"/>
      <c r="M32" s="783"/>
      <c r="N32" s="783"/>
      <c r="O32" s="783"/>
      <c r="P32" s="783"/>
      <c r="Q32" s="783"/>
      <c r="R32" s="783"/>
      <c r="S32" s="1558"/>
    </row>
    <row r="33" spans="1:19">
      <c r="A33" s="2"/>
      <c r="B33" s="581"/>
      <c r="C33" s="149"/>
      <c r="D33" s="303" t="s">
        <v>257</v>
      </c>
      <c r="E33" s="1108"/>
      <c r="F33" s="1099">
        <f>(F34)*'Palkat '!C86+F35</f>
        <v>0</v>
      </c>
      <c r="G33" s="1099">
        <f>(G34)*'Palkat '!D86+G35</f>
        <v>0</v>
      </c>
      <c r="H33" s="1099">
        <f>(H34)*'Palkat '!E86+H35</f>
        <v>0</v>
      </c>
      <c r="I33" s="6"/>
      <c r="J33" s="1565"/>
      <c r="K33" s="783"/>
      <c r="L33" s="783"/>
      <c r="M33" s="783"/>
      <c r="N33" s="783"/>
      <c r="O33" s="783"/>
      <c r="P33" s="783"/>
      <c r="Q33" s="783"/>
      <c r="R33" s="783"/>
      <c r="S33" s="1558"/>
    </row>
    <row r="34" spans="1:19">
      <c r="A34" s="154"/>
      <c r="B34" s="581"/>
      <c r="C34" s="149"/>
      <c r="D34" s="303" t="s">
        <v>240</v>
      </c>
      <c r="E34" s="1108"/>
      <c r="F34" s="1259">
        <v>0.1734</v>
      </c>
      <c r="G34" s="1257">
        <f t="shared" ref="G34:H35" si="0">F34</f>
        <v>0.1734</v>
      </c>
      <c r="H34" s="1257">
        <f t="shared" si="0"/>
        <v>0.1734</v>
      </c>
      <c r="I34" s="6"/>
      <c r="J34" s="1565"/>
      <c r="K34" s="783"/>
      <c r="L34" s="783"/>
      <c r="M34" s="783"/>
      <c r="N34" s="783"/>
      <c r="O34" s="783"/>
      <c r="P34" s="783"/>
      <c r="Q34" s="783"/>
      <c r="R34" s="783"/>
      <c r="S34" s="1558"/>
    </row>
    <row r="35" spans="1:19" ht="12.9" thickBot="1">
      <c r="A35" s="154"/>
      <c r="B35" s="581"/>
      <c r="C35" s="310"/>
      <c r="D35" s="301" t="s">
        <v>124</v>
      </c>
      <c r="E35" s="301"/>
      <c r="F35" s="1260">
        <v>0</v>
      </c>
      <c r="G35" s="1260">
        <f>F35*12/F$13</f>
        <v>0</v>
      </c>
      <c r="H35" s="1260">
        <f t="shared" si="0"/>
        <v>0</v>
      </c>
      <c r="I35" s="6"/>
      <c r="J35" s="1565"/>
      <c r="K35" s="783"/>
      <c r="L35" s="783"/>
      <c r="M35" s="783"/>
      <c r="N35" s="783"/>
      <c r="O35" s="783"/>
      <c r="P35" s="783"/>
      <c r="Q35" s="783"/>
      <c r="R35" s="783"/>
      <c r="S35" s="1558"/>
    </row>
    <row r="36" spans="1:19" ht="12.9" thickBot="1">
      <c r="A36" s="2"/>
      <c r="B36" s="580" t="s">
        <v>181</v>
      </c>
      <c r="C36" s="149" t="s">
        <v>18</v>
      </c>
      <c r="D36" s="306" t="s">
        <v>842</v>
      </c>
      <c r="E36" s="302"/>
      <c r="F36" s="1113">
        <f>(F37)*'Palkat '!C$86+F40+F38+F39</f>
        <v>0</v>
      </c>
      <c r="G36" s="1113">
        <f>(G37)*'Palkat '!D$86+G40+G38+G39</f>
        <v>0</v>
      </c>
      <c r="H36" s="1113">
        <f>(H37)*'Palkat '!E$86+H40+H38+H39</f>
        <v>0</v>
      </c>
      <c r="I36" s="6"/>
      <c r="J36" s="1565"/>
      <c r="K36" s="783"/>
      <c r="L36" s="783"/>
      <c r="M36" s="783"/>
      <c r="N36" s="783"/>
      <c r="O36" s="783"/>
      <c r="P36" s="783"/>
      <c r="Q36" s="783"/>
      <c r="R36" s="783"/>
      <c r="S36" s="1558"/>
    </row>
    <row r="37" spans="1:19">
      <c r="B37" s="581"/>
      <c r="C37" s="149"/>
      <c r="D37" s="586" t="s">
        <v>285</v>
      </c>
      <c r="E37" s="586"/>
      <c r="F37" s="1261">
        <v>2.06E-2</v>
      </c>
      <c r="G37" s="1261">
        <f>F37</f>
        <v>2.06E-2</v>
      </c>
      <c r="H37" s="1261">
        <f>G37</f>
        <v>2.06E-2</v>
      </c>
      <c r="I37" s="6"/>
      <c r="J37" s="1863" t="s">
        <v>552</v>
      </c>
      <c r="K37" s="1864"/>
      <c r="L37" s="783"/>
      <c r="M37" s="783"/>
      <c r="N37" s="783"/>
      <c r="O37" s="783"/>
      <c r="P37" s="783"/>
      <c r="Q37" s="783"/>
      <c r="R37" s="783"/>
      <c r="S37" s="1558"/>
    </row>
    <row r="38" spans="1:19">
      <c r="B38" s="581"/>
      <c r="C38" s="149"/>
      <c r="D38" s="303" t="s">
        <v>520</v>
      </c>
      <c r="E38" s="1108"/>
      <c r="F38" s="1099">
        <f>F13*(1.7%*F32+1.16%*F15+0.008*'Rahoitus Y3'!$K16)/12</f>
        <v>0</v>
      </c>
      <c r="G38" s="1099">
        <f>G13*(1.7%*G32+1.16%*G15+0.008*'Rahoitus Y3'!$K16)/12</f>
        <v>0</v>
      </c>
      <c r="H38" s="1099">
        <f>H13*(1.7%*H32+1.16%*H15+0.008*'Rahoitus Y3'!$K16)/12</f>
        <v>0</v>
      </c>
      <c r="I38" s="6"/>
      <c r="J38" s="1559">
        <f>G$12</f>
        <v>2026</v>
      </c>
      <c r="K38" s="1560">
        <f>H$12</f>
        <v>2027</v>
      </c>
      <c r="L38" s="783"/>
      <c r="M38" s="783"/>
      <c r="N38" s="783"/>
      <c r="O38" s="783"/>
      <c r="P38" s="783"/>
      <c r="Q38" s="783"/>
      <c r="R38" s="783"/>
      <c r="S38" s="1558"/>
    </row>
    <row r="39" spans="1:19">
      <c r="A39" s="154"/>
      <c r="B39" s="581"/>
      <c r="C39" s="149"/>
      <c r="D39" s="303" t="s">
        <v>267</v>
      </c>
      <c r="E39" s="1108"/>
      <c r="F39" s="1234">
        <v>0</v>
      </c>
      <c r="G39" s="1234">
        <f>F39*12/F$13+J39*F39*12/F$13</f>
        <v>0</v>
      </c>
      <c r="H39" s="1234">
        <f t="shared" ref="H39:H40" si="1">G39 +G39*K39</f>
        <v>0</v>
      </c>
      <c r="I39" s="6"/>
      <c r="J39" s="1570">
        <v>0.03</v>
      </c>
      <c r="K39" s="1570">
        <f>J39</f>
        <v>0.03</v>
      </c>
      <c r="L39" s="783"/>
      <c r="M39" s="783"/>
      <c r="N39" s="783"/>
      <c r="O39" s="783"/>
      <c r="P39" s="783"/>
      <c r="Q39" s="783"/>
      <c r="R39" s="783"/>
      <c r="S39" s="1558"/>
    </row>
    <row r="40" spans="1:19" ht="12.9" thickBot="1">
      <c r="A40" s="2"/>
      <c r="B40" s="581"/>
      <c r="C40" s="310"/>
      <c r="D40" s="1660" t="s">
        <v>250</v>
      </c>
      <c r="E40" s="1660"/>
      <c r="F40" s="1260">
        <v>0</v>
      </c>
      <c r="G40" s="1260">
        <f>F40*12/F$13+J40*F40*12/F$13</f>
        <v>0</v>
      </c>
      <c r="H40" s="1260">
        <f t="shared" si="1"/>
        <v>0</v>
      </c>
      <c r="I40" s="6"/>
      <c r="J40" s="1570">
        <v>0.03</v>
      </c>
      <c r="K40" s="1570">
        <f>J40</f>
        <v>0.03</v>
      </c>
      <c r="L40" s="783"/>
      <c r="M40" s="783"/>
      <c r="N40" s="783"/>
      <c r="O40" s="783"/>
      <c r="P40" s="783"/>
      <c r="Q40" s="783"/>
      <c r="R40" s="783"/>
      <c r="S40" s="1558"/>
    </row>
    <row r="41" spans="1:19" ht="12.9" thickBot="1">
      <c r="A41" s="154"/>
      <c r="B41" s="580" t="s">
        <v>182</v>
      </c>
      <c r="C41" s="149" t="s">
        <v>19</v>
      </c>
      <c r="D41" s="306" t="s">
        <v>843</v>
      </c>
      <c r="E41" s="304"/>
      <c r="F41" s="1113">
        <f>SUM(F42:F46)</f>
        <v>0</v>
      </c>
      <c r="G41" s="1113">
        <f>SUM(G42:G46)</f>
        <v>0</v>
      </c>
      <c r="H41" s="1113">
        <f>SUM(H42:H46)</f>
        <v>0</v>
      </c>
      <c r="I41" s="6"/>
      <c r="J41" s="1559">
        <f>G$12</f>
        <v>2026</v>
      </c>
      <c r="K41" s="1560">
        <f>H$12</f>
        <v>2027</v>
      </c>
      <c r="L41" s="783"/>
      <c r="M41" s="783"/>
      <c r="N41" s="783"/>
      <c r="O41" s="783"/>
      <c r="P41" s="783"/>
      <c r="Q41" s="783"/>
      <c r="R41" s="783"/>
      <c r="S41" s="1558"/>
    </row>
    <row r="42" spans="1:19">
      <c r="B42" s="581"/>
      <c r="C42" s="149"/>
      <c r="D42" s="586" t="s">
        <v>297</v>
      </c>
      <c r="E42" s="587"/>
      <c r="F42" s="1262">
        <v>0</v>
      </c>
      <c r="G42" s="1262">
        <f>F42*12/F$13+J42*F42*12/F$13</f>
        <v>0</v>
      </c>
      <c r="H42" s="1262">
        <f t="shared" ref="H42:H46" si="2">G42 +G42*K42</f>
        <v>0</v>
      </c>
      <c r="I42" s="6"/>
      <c r="J42" s="1570">
        <v>0.03</v>
      </c>
      <c r="K42" s="1570">
        <f>J42</f>
        <v>0.03</v>
      </c>
      <c r="L42" s="783"/>
      <c r="M42" s="783"/>
      <c r="N42" s="783"/>
      <c r="O42" s="783"/>
      <c r="P42" s="783"/>
      <c r="Q42" s="783"/>
      <c r="R42" s="783"/>
      <c r="S42" s="1558"/>
    </row>
    <row r="43" spans="1:19">
      <c r="A43" s="154"/>
      <c r="B43" s="581"/>
      <c r="C43" s="149"/>
      <c r="D43" s="303" t="s">
        <v>298</v>
      </c>
      <c r="E43" s="1109"/>
      <c r="F43" s="1234">
        <v>0</v>
      </c>
      <c r="G43" s="1234">
        <f>F43*12/F$13+J43*F43*12/F$13</f>
        <v>0</v>
      </c>
      <c r="H43" s="1234">
        <f t="shared" si="2"/>
        <v>0</v>
      </c>
      <c r="I43" s="6"/>
      <c r="J43" s="1570">
        <v>0.03</v>
      </c>
      <c r="K43" s="1570">
        <f>J43</f>
        <v>0.03</v>
      </c>
      <c r="L43" s="783"/>
      <c r="M43" s="783"/>
      <c r="N43" s="783"/>
      <c r="O43" s="783"/>
      <c r="P43" s="783"/>
      <c r="Q43" s="783"/>
      <c r="R43" s="783"/>
      <c r="S43" s="1558"/>
    </row>
    <row r="44" spans="1:19">
      <c r="A44" s="2"/>
      <c r="B44" s="581"/>
      <c r="C44" s="149"/>
      <c r="D44" s="303" t="s">
        <v>243</v>
      </c>
      <c r="E44" s="1109"/>
      <c r="F44" s="1234">
        <v>0</v>
      </c>
      <c r="G44" s="1234">
        <f>F44*12/F$13+J44*F44*12/F$13</f>
        <v>0</v>
      </c>
      <c r="H44" s="1234">
        <f t="shared" si="2"/>
        <v>0</v>
      </c>
      <c r="I44" s="6"/>
      <c r="J44" s="1570">
        <v>0.03</v>
      </c>
      <c r="K44" s="1570">
        <f>J44</f>
        <v>0.03</v>
      </c>
      <c r="L44" s="783"/>
      <c r="M44" s="783"/>
      <c r="N44" s="783"/>
      <c r="O44" s="783"/>
      <c r="P44" s="783"/>
      <c r="Q44" s="783"/>
      <c r="R44" s="783"/>
      <c r="S44" s="1558"/>
    </row>
    <row r="45" spans="1:19">
      <c r="B45" s="581"/>
      <c r="C45" s="149"/>
      <c r="D45" s="303" t="s">
        <v>244</v>
      </c>
      <c r="E45" s="1109"/>
      <c r="F45" s="1234">
        <v>0</v>
      </c>
      <c r="G45" s="1234">
        <f>F45*12/F$13+J45*F45*12/F$13</f>
        <v>0</v>
      </c>
      <c r="H45" s="1234">
        <f t="shared" si="2"/>
        <v>0</v>
      </c>
      <c r="I45" s="6"/>
      <c r="J45" s="1570">
        <v>0.03</v>
      </c>
      <c r="K45" s="1570">
        <f>J45</f>
        <v>0.03</v>
      </c>
      <c r="L45" s="783"/>
      <c r="M45" s="783"/>
      <c r="N45" s="783"/>
      <c r="O45" s="783"/>
      <c r="P45" s="783"/>
      <c r="Q45" s="783"/>
      <c r="R45" s="783"/>
      <c r="S45" s="1558"/>
    </row>
    <row r="46" spans="1:19" ht="12.9" thickBot="1">
      <c r="A46" s="154"/>
      <c r="B46" s="581"/>
      <c r="C46" s="310"/>
      <c r="D46" s="1660" t="s">
        <v>245</v>
      </c>
      <c r="E46" s="1660"/>
      <c r="F46" s="1260">
        <v>0</v>
      </c>
      <c r="G46" s="1260">
        <f>F46*12/F$13+J46*F46*12/F$13</f>
        <v>0</v>
      </c>
      <c r="H46" s="1260">
        <f t="shared" si="2"/>
        <v>0</v>
      </c>
      <c r="I46" s="6"/>
      <c r="J46" s="1570">
        <v>0.03</v>
      </c>
      <c r="K46" s="1570">
        <f>J46</f>
        <v>0.03</v>
      </c>
      <c r="L46" s="783"/>
      <c r="M46" s="783"/>
      <c r="N46" s="783"/>
      <c r="O46" s="783"/>
      <c r="P46" s="783"/>
      <c r="Q46" s="783"/>
      <c r="R46" s="783"/>
      <c r="S46" s="1558"/>
    </row>
    <row r="47" spans="1:19" ht="12.9" thickBot="1">
      <c r="B47" s="580" t="s">
        <v>183</v>
      </c>
      <c r="C47" s="149" t="s">
        <v>20</v>
      </c>
      <c r="D47" s="306" t="s">
        <v>824</v>
      </c>
      <c r="E47" s="304"/>
      <c r="F47" s="1113">
        <f>F48+F51+F52+F53+F54+F55+F56+F57*0.003*F13/12+F58</f>
        <v>0</v>
      </c>
      <c r="G47" s="1113">
        <f>G48+G51+G52+G53+G54+G55+G56+G57*0.003+G58</f>
        <v>0</v>
      </c>
      <c r="H47" s="1113">
        <f>H48+H51+H52+H53+H54+H55+H56+H57*0.003+H58</f>
        <v>0</v>
      </c>
      <c r="I47" s="6"/>
      <c r="J47" s="1565"/>
      <c r="K47" s="783"/>
      <c r="L47" s="783"/>
      <c r="M47" s="783"/>
      <c r="N47" s="783"/>
      <c r="O47" s="783"/>
      <c r="P47" s="783"/>
      <c r="Q47" s="783"/>
      <c r="R47" s="783"/>
      <c r="S47" s="1558"/>
    </row>
    <row r="48" spans="1:19">
      <c r="A48" s="154"/>
      <c r="B48" s="581" t="s">
        <v>0</v>
      </c>
      <c r="C48" s="149">
        <v>0</v>
      </c>
      <c r="D48" s="586" t="s">
        <v>251</v>
      </c>
      <c r="E48" s="586"/>
      <c r="F48" s="1256">
        <f>F50*F49</f>
        <v>0</v>
      </c>
      <c r="G48" s="1256">
        <f>G50*G49</f>
        <v>0</v>
      </c>
      <c r="H48" s="1256">
        <f>H50*H49</f>
        <v>0</v>
      </c>
      <c r="I48" s="6"/>
      <c r="J48" s="1559">
        <f>G$12</f>
        <v>2026</v>
      </c>
      <c r="K48" s="1560">
        <f>H$12</f>
        <v>2027</v>
      </c>
      <c r="L48" s="783"/>
      <c r="M48" s="783"/>
      <c r="N48" s="783"/>
      <c r="O48" s="783"/>
      <c r="P48" s="783"/>
      <c r="Q48" s="783"/>
      <c r="R48" s="783"/>
      <c r="S48" s="1558"/>
    </row>
    <row r="49" spans="1:19">
      <c r="A49" s="2"/>
      <c r="B49" s="581" t="s">
        <v>0</v>
      </c>
      <c r="C49" s="149"/>
      <c r="D49" s="303" t="s">
        <v>707</v>
      </c>
      <c r="E49" s="1108"/>
      <c r="F49" s="1234">
        <v>0</v>
      </c>
      <c r="G49" s="1234">
        <f>F49 +F49*J49</f>
        <v>0</v>
      </c>
      <c r="H49" s="1234">
        <f>G49 +G49*K49</f>
        <v>0</v>
      </c>
      <c r="I49" s="18"/>
      <c r="J49" s="1570">
        <v>0.03</v>
      </c>
      <c r="K49" s="1570">
        <v>0.03</v>
      </c>
      <c r="L49" s="783"/>
      <c r="M49" s="783"/>
      <c r="N49" s="783"/>
      <c r="O49" s="783"/>
      <c r="P49" s="783"/>
      <c r="Q49" s="783"/>
      <c r="R49" s="783"/>
      <c r="S49" s="1558"/>
    </row>
    <row r="50" spans="1:19">
      <c r="B50" s="581" t="s">
        <v>0</v>
      </c>
      <c r="C50" s="149"/>
      <c r="D50" s="303" t="s">
        <v>253</v>
      </c>
      <c r="E50" s="1108"/>
      <c r="F50" s="1235">
        <f>F13</f>
        <v>12</v>
      </c>
      <c r="G50" s="1235">
        <v>12</v>
      </c>
      <c r="H50" s="1235">
        <f>G50</f>
        <v>12</v>
      </c>
      <c r="I50" s="49"/>
      <c r="J50" s="1559"/>
      <c r="K50" s="1560"/>
      <c r="L50" s="783"/>
      <c r="M50" s="783"/>
      <c r="N50" s="783"/>
      <c r="O50" s="783"/>
      <c r="P50" s="783"/>
      <c r="Q50" s="783"/>
      <c r="R50" s="783"/>
      <c r="S50" s="1558"/>
    </row>
    <row r="51" spans="1:19">
      <c r="B51" s="581"/>
      <c r="C51" s="149"/>
      <c r="D51" s="303" t="s">
        <v>246</v>
      </c>
      <c r="E51" s="1109"/>
      <c r="F51" s="1234">
        <v>0</v>
      </c>
      <c r="G51" s="1234">
        <f t="shared" ref="G51:G56" si="3">F51*12/F$13+J51*F51*12/F$13</f>
        <v>0</v>
      </c>
      <c r="H51" s="1234">
        <f t="shared" ref="H51:H58" si="4">G51 +G51*K51</f>
        <v>0</v>
      </c>
      <c r="I51" s="279"/>
      <c r="J51" s="1570">
        <v>0.03</v>
      </c>
      <c r="K51" s="1570">
        <f t="shared" ref="K51:K58" si="5">J51</f>
        <v>0.03</v>
      </c>
      <c r="L51" s="783"/>
      <c r="M51" s="783"/>
      <c r="N51" s="783"/>
      <c r="O51" s="783"/>
      <c r="P51" s="783"/>
      <c r="Q51" s="783"/>
      <c r="R51" s="783"/>
      <c r="S51" s="1558"/>
    </row>
    <row r="52" spans="1:19">
      <c r="B52" s="581"/>
      <c r="C52" s="149"/>
      <c r="D52" s="303" t="s">
        <v>247</v>
      </c>
      <c r="E52" s="1109"/>
      <c r="F52" s="1234">
        <v>0</v>
      </c>
      <c r="G52" s="1234">
        <f t="shared" si="3"/>
        <v>0</v>
      </c>
      <c r="H52" s="1234">
        <f t="shared" si="4"/>
        <v>0</v>
      </c>
      <c r="I52" s="279"/>
      <c r="J52" s="1570">
        <v>0.03</v>
      </c>
      <c r="K52" s="1570">
        <f t="shared" si="5"/>
        <v>0.03</v>
      </c>
      <c r="L52" s="783"/>
      <c r="M52" s="783"/>
      <c r="N52" s="783"/>
      <c r="O52" s="783"/>
      <c r="P52" s="783"/>
      <c r="Q52" s="783"/>
      <c r="R52" s="783"/>
      <c r="S52" s="1558"/>
    </row>
    <row r="53" spans="1:19">
      <c r="B53" s="581"/>
      <c r="C53" s="149"/>
      <c r="D53" s="303" t="s">
        <v>248</v>
      </c>
      <c r="E53" s="1109"/>
      <c r="F53" s="1234">
        <v>0</v>
      </c>
      <c r="G53" s="1234">
        <f t="shared" si="3"/>
        <v>0</v>
      </c>
      <c r="H53" s="1234">
        <f t="shared" si="4"/>
        <v>0</v>
      </c>
      <c r="I53" s="279"/>
      <c r="J53" s="1570">
        <v>0.03</v>
      </c>
      <c r="K53" s="1570">
        <f t="shared" si="5"/>
        <v>0.03</v>
      </c>
      <c r="L53" s="783"/>
      <c r="M53" s="783"/>
      <c r="N53" s="783"/>
      <c r="O53" s="783"/>
      <c r="P53" s="783"/>
      <c r="Q53" s="783"/>
      <c r="R53" s="783"/>
      <c r="S53" s="1558"/>
    </row>
    <row r="54" spans="1:19">
      <c r="B54" s="581"/>
      <c r="C54" s="149"/>
      <c r="D54" s="303" t="s">
        <v>334</v>
      </c>
      <c r="E54" s="1109"/>
      <c r="F54" s="1234">
        <v>0</v>
      </c>
      <c r="G54" s="1234">
        <f t="shared" si="3"/>
        <v>0</v>
      </c>
      <c r="H54" s="1234">
        <f t="shared" si="4"/>
        <v>0</v>
      </c>
      <c r="I54" s="279"/>
      <c r="J54" s="1570">
        <v>0.03</v>
      </c>
      <c r="K54" s="1570">
        <f t="shared" si="5"/>
        <v>0.03</v>
      </c>
      <c r="L54" s="783"/>
      <c r="M54" s="783"/>
      <c r="N54" s="783"/>
      <c r="O54" s="783"/>
      <c r="P54" s="783"/>
      <c r="Q54" s="783"/>
      <c r="R54" s="783"/>
      <c r="S54" s="1558"/>
    </row>
    <row r="55" spans="1:19">
      <c r="B55" s="581"/>
      <c r="C55" s="149"/>
      <c r="D55" s="303" t="s">
        <v>249</v>
      </c>
      <c r="E55" s="1109"/>
      <c r="F55" s="1234">
        <v>0</v>
      </c>
      <c r="G55" s="1234">
        <f t="shared" si="3"/>
        <v>0</v>
      </c>
      <c r="H55" s="1234">
        <f t="shared" si="4"/>
        <v>0</v>
      </c>
      <c r="I55" s="279"/>
      <c r="J55" s="1570">
        <v>0.03</v>
      </c>
      <c r="K55" s="1570">
        <f t="shared" si="5"/>
        <v>0.03</v>
      </c>
      <c r="L55" s="783"/>
      <c r="M55" s="783"/>
      <c r="N55" s="783"/>
      <c r="O55" s="783"/>
      <c r="P55" s="783"/>
      <c r="Q55" s="783"/>
      <c r="R55" s="783"/>
      <c r="S55" s="1558"/>
    </row>
    <row r="56" spans="1:19">
      <c r="B56" s="581"/>
      <c r="C56" s="149"/>
      <c r="D56" s="1662" t="s">
        <v>335</v>
      </c>
      <c r="E56" s="1663"/>
      <c r="F56" s="1234">
        <v>0</v>
      </c>
      <c r="G56" s="1234">
        <f t="shared" si="3"/>
        <v>0</v>
      </c>
      <c r="H56" s="1234">
        <f>G56 +G56*K56</f>
        <v>0</v>
      </c>
      <c r="I56" s="279"/>
      <c r="J56" s="1570">
        <v>0.03</v>
      </c>
      <c r="K56" s="1570">
        <f t="shared" si="5"/>
        <v>0.03</v>
      </c>
      <c r="L56" s="783"/>
      <c r="M56" s="783"/>
      <c r="N56" s="783"/>
      <c r="O56" s="783"/>
      <c r="P56" s="783"/>
      <c r="Q56" s="783"/>
      <c r="R56" s="783"/>
      <c r="S56" s="1558"/>
    </row>
    <row r="57" spans="1:19">
      <c r="B57" s="581"/>
      <c r="C57" s="149"/>
      <c r="D57" s="303" t="s">
        <v>268</v>
      </c>
      <c r="E57" s="1109"/>
      <c r="F57" s="1234">
        <v>0</v>
      </c>
      <c r="G57" s="1234">
        <f>F57 +F57*J57</f>
        <v>0</v>
      </c>
      <c r="H57" s="1234">
        <f>G57 +G57*K57</f>
        <v>0</v>
      </c>
      <c r="I57" s="279"/>
      <c r="J57" s="1570">
        <v>0.03</v>
      </c>
      <c r="K57" s="1570">
        <f t="shared" si="5"/>
        <v>0.03</v>
      </c>
      <c r="L57" s="783"/>
      <c r="M57" s="783"/>
      <c r="N57" s="783"/>
      <c r="O57" s="783"/>
      <c r="P57" s="783"/>
      <c r="Q57" s="783"/>
      <c r="R57" s="783"/>
      <c r="S57" s="1558"/>
    </row>
    <row r="58" spans="1:19" ht="12.9" thickBot="1">
      <c r="B58" s="581"/>
      <c r="C58" s="310"/>
      <c r="D58" s="1661" t="s">
        <v>336</v>
      </c>
      <c r="E58" s="1661"/>
      <c r="F58" s="1260">
        <v>0</v>
      </c>
      <c r="G58" s="1260">
        <f>F58*12/F$13+J58*F58*12/F$13</f>
        <v>0</v>
      </c>
      <c r="H58" s="1260">
        <f t="shared" si="4"/>
        <v>0</v>
      </c>
      <c r="I58" s="279"/>
      <c r="J58" s="1570">
        <v>0.03</v>
      </c>
      <c r="K58" s="1570">
        <f t="shared" si="5"/>
        <v>0.03</v>
      </c>
      <c r="L58" s="783"/>
      <c r="M58" s="783"/>
      <c r="N58" s="783"/>
      <c r="O58" s="783"/>
      <c r="P58" s="783"/>
      <c r="Q58" s="783"/>
      <c r="R58" s="783"/>
      <c r="S58" s="1558"/>
    </row>
    <row r="59" spans="1:19" ht="12.9" thickBot="1">
      <c r="B59" s="580" t="s">
        <v>184</v>
      </c>
      <c r="C59" s="149" t="s">
        <v>21</v>
      </c>
      <c r="D59" s="307" t="s">
        <v>793</v>
      </c>
      <c r="E59" s="1255">
        <v>0.3</v>
      </c>
      <c r="F59" s="1113">
        <f>IF(F60=0,0,F13*'5 YP Lainat ja avustukset'!$G68/12)</f>
        <v>0</v>
      </c>
      <c r="G59" s="1113">
        <f>IF(G60=0,0,G13*'5 YP Lainat ja avustukset'!$G68/12)</f>
        <v>0</v>
      </c>
      <c r="H59" s="1113">
        <f>IF(H60=0,0,H13*'5 YP Lainat ja avustukset'!$G68/12)</f>
        <v>0</v>
      </c>
      <c r="I59" s="46"/>
      <c r="J59" s="1565"/>
      <c r="K59" s="783"/>
      <c r="L59" s="783"/>
      <c r="M59" s="783"/>
      <c r="N59" s="783"/>
      <c r="O59" s="783"/>
      <c r="P59" s="783"/>
      <c r="Q59" s="783"/>
      <c r="R59" s="783"/>
      <c r="S59" s="1558"/>
    </row>
    <row r="60" spans="1:19" ht="12.9" thickBot="1">
      <c r="B60" s="581"/>
      <c r="C60" s="149"/>
      <c r="D60" s="354" t="s">
        <v>453</v>
      </c>
      <c r="E60" s="354"/>
      <c r="F60" s="1263">
        <f>'Rahoitus Y3'!K21</f>
        <v>0</v>
      </c>
      <c r="G60" s="1263">
        <f>IF('Rahoitus Y3'!I21&gt;1,F60,0)</f>
        <v>0</v>
      </c>
      <c r="H60" s="1263">
        <f>IF('Rahoitus Y3'!I21&gt;2,G60,0)</f>
        <v>0</v>
      </c>
      <c r="I60" s="46"/>
      <c r="J60" s="1565"/>
      <c r="K60" s="783"/>
      <c r="L60" s="783"/>
      <c r="M60" s="783"/>
      <c r="N60" s="783"/>
      <c r="O60" s="783"/>
      <c r="P60" s="783"/>
      <c r="Q60" s="783"/>
      <c r="R60" s="783"/>
      <c r="S60" s="1558"/>
    </row>
    <row r="61" spans="1:19" ht="12.9" thickBot="1">
      <c r="B61" s="580" t="s">
        <v>185</v>
      </c>
      <c r="C61" s="671" t="s">
        <v>606</v>
      </c>
      <c r="D61" s="1659" t="s">
        <v>844</v>
      </c>
      <c r="E61" s="1659"/>
      <c r="F61" s="1113">
        <f>F62*F63*F64+F65+F66+F67+F68</f>
        <v>0</v>
      </c>
      <c r="G61" s="1113">
        <f t="shared" ref="G61:H61" si="6">G62*G63*G64+G65+G66+G67+G68</f>
        <v>0</v>
      </c>
      <c r="H61" s="1113">
        <f t="shared" si="6"/>
        <v>0</v>
      </c>
      <c r="I61" s="46"/>
      <c r="J61" s="1559">
        <f>G$12</f>
        <v>2026</v>
      </c>
      <c r="K61" s="1560">
        <f>H$12</f>
        <v>2027</v>
      </c>
      <c r="L61" s="783"/>
      <c r="M61" s="783"/>
      <c r="N61" s="783"/>
      <c r="O61" s="783"/>
      <c r="P61" s="783"/>
      <c r="Q61" s="783"/>
      <c r="R61" s="783"/>
      <c r="S61" s="1558"/>
    </row>
    <row r="62" spans="1:19">
      <c r="B62" s="581"/>
      <c r="C62" s="149"/>
      <c r="D62" s="303" t="s">
        <v>28</v>
      </c>
      <c r="E62" s="1110"/>
      <c r="F62" s="1262">
        <v>0</v>
      </c>
      <c r="G62" s="1262">
        <f>F62*12/F$13+J62*F62*12/F$13</f>
        <v>0</v>
      </c>
      <c r="H62" s="1262">
        <f t="shared" ref="H62" si="7">G62 +G62*K62</f>
        <v>0</v>
      </c>
      <c r="I62" s="46"/>
      <c r="J62" s="1570">
        <v>0.03</v>
      </c>
      <c r="K62" s="1570">
        <f>J62</f>
        <v>0.03</v>
      </c>
      <c r="L62" s="783"/>
      <c r="M62" s="783"/>
      <c r="N62" s="783"/>
      <c r="O62" s="783"/>
      <c r="P62" s="783"/>
      <c r="Q62" s="783"/>
      <c r="R62" s="783"/>
      <c r="S62" s="1558"/>
    </row>
    <row r="63" spans="1:19">
      <c r="B63" s="581"/>
      <c r="C63" s="149"/>
      <c r="D63" s="303" t="s">
        <v>759</v>
      </c>
      <c r="E63" s="1110"/>
      <c r="F63" s="1264">
        <v>0</v>
      </c>
      <c r="G63" s="1264">
        <f>F63</f>
        <v>0</v>
      </c>
      <c r="H63" s="1264">
        <f>G63</f>
        <v>0</v>
      </c>
      <c r="I63" s="46"/>
      <c r="J63" s="1559"/>
      <c r="K63" s="1560"/>
      <c r="L63" s="783"/>
      <c r="M63" s="783"/>
      <c r="N63" s="783"/>
      <c r="O63" s="783"/>
      <c r="P63" s="783"/>
      <c r="Q63" s="783"/>
      <c r="R63" s="783"/>
      <c r="S63" s="1558"/>
    </row>
    <row r="64" spans="1:19">
      <c r="B64" s="581"/>
      <c r="C64" s="149"/>
      <c r="D64" s="303" t="s">
        <v>760</v>
      </c>
      <c r="E64" s="1110"/>
      <c r="F64" s="1264">
        <v>0</v>
      </c>
      <c r="G64" s="1130">
        <f t="shared" ref="G64:H68" si="8">F64 +F64*J64</f>
        <v>0</v>
      </c>
      <c r="H64" s="1130">
        <f t="shared" si="8"/>
        <v>0</v>
      </c>
      <c r="I64" s="46"/>
      <c r="J64" s="1570">
        <v>0.03</v>
      </c>
      <c r="K64" s="1570">
        <f>J64</f>
        <v>0.03</v>
      </c>
      <c r="L64" s="783"/>
      <c r="M64" s="783"/>
      <c r="N64" s="783"/>
      <c r="O64" s="783"/>
      <c r="P64" s="783"/>
      <c r="Q64" s="783"/>
      <c r="R64" s="783"/>
      <c r="S64" s="1558"/>
    </row>
    <row r="65" spans="1:20">
      <c r="B65" s="581"/>
      <c r="C65" s="149"/>
      <c r="D65" s="303" t="s">
        <v>273</v>
      </c>
      <c r="E65" s="1110"/>
      <c r="F65" s="1234">
        <v>0</v>
      </c>
      <c r="G65" s="1234">
        <f>F65*12/F$13+J65*F65*12/F$13</f>
        <v>0</v>
      </c>
      <c r="H65" s="1234">
        <f t="shared" si="8"/>
        <v>0</v>
      </c>
      <c r="I65" s="46"/>
      <c r="J65" s="1570">
        <v>0.03</v>
      </c>
      <c r="K65" s="1570">
        <f>J65</f>
        <v>0.03</v>
      </c>
      <c r="L65" s="783"/>
      <c r="M65" s="783"/>
      <c r="N65" s="783"/>
      <c r="O65" s="783"/>
      <c r="P65" s="783"/>
      <c r="Q65" s="783"/>
      <c r="R65" s="783"/>
      <c r="S65" s="1558"/>
    </row>
    <row r="66" spans="1:20">
      <c r="B66" s="581"/>
      <c r="C66" s="149"/>
      <c r="D66" s="303" t="s">
        <v>274</v>
      </c>
      <c r="E66" s="1110"/>
      <c r="F66" s="1234">
        <v>0</v>
      </c>
      <c r="G66" s="1234">
        <f>F66*12/F$13+J66*F66*12/F$13</f>
        <v>0</v>
      </c>
      <c r="H66" s="1234">
        <f t="shared" si="8"/>
        <v>0</v>
      </c>
      <c r="I66" s="46"/>
      <c r="J66" s="1570">
        <v>0.03</v>
      </c>
      <c r="K66" s="1570">
        <f>J66</f>
        <v>0.03</v>
      </c>
      <c r="L66" s="783"/>
      <c r="M66" s="783"/>
      <c r="N66" s="783"/>
      <c r="O66" s="783"/>
      <c r="P66" s="783"/>
      <c r="Q66" s="783"/>
      <c r="R66" s="783"/>
      <c r="S66" s="1558"/>
    </row>
    <row r="67" spans="1:20" ht="12.75" customHeight="1">
      <c r="B67" s="581"/>
      <c r="C67" s="149"/>
      <c r="D67" s="303" t="s">
        <v>794</v>
      </c>
      <c r="E67" s="1110"/>
      <c r="F67" s="1584">
        <v>0</v>
      </c>
      <c r="G67" s="1584">
        <f t="shared" ref="G67" si="9">F67*12/F$13+J67*F67*12/F$13</f>
        <v>0</v>
      </c>
      <c r="H67" s="1584">
        <f>G67 +G67*K67</f>
        <v>0</v>
      </c>
      <c r="I67" s="46"/>
      <c r="J67" s="1585">
        <v>0.03</v>
      </c>
      <c r="K67" s="1585">
        <f t="shared" ref="K67" si="10">J67</f>
        <v>0.03</v>
      </c>
      <c r="L67" s="783"/>
      <c r="M67" s="783"/>
      <c r="N67" s="783"/>
      <c r="O67" s="783"/>
      <c r="P67" s="783"/>
      <c r="Q67" s="783"/>
      <c r="R67" s="783"/>
      <c r="S67" s="783"/>
      <c r="T67" s="1387"/>
    </row>
    <row r="68" spans="1:20" ht="12.9" thickBot="1">
      <c r="B68" s="581"/>
      <c r="C68" s="310"/>
      <c r="D68" s="296" t="s">
        <v>275</v>
      </c>
      <c r="E68" s="589"/>
      <c r="F68" s="1260">
        <v>0</v>
      </c>
      <c r="G68" s="1260">
        <f>F68*12/F$13+J68*F68*12/F$13</f>
        <v>0</v>
      </c>
      <c r="H68" s="1260">
        <f t="shared" si="8"/>
        <v>0</v>
      </c>
      <c r="I68" s="46"/>
      <c r="J68" s="1570">
        <v>0.03</v>
      </c>
      <c r="K68" s="1570">
        <f>J68</f>
        <v>0.03</v>
      </c>
      <c r="L68" s="783"/>
      <c r="M68" s="783"/>
      <c r="N68" s="783"/>
      <c r="O68" s="783"/>
      <c r="P68" s="783"/>
      <c r="Q68" s="783"/>
      <c r="R68" s="783"/>
      <c r="S68" s="1558"/>
    </row>
    <row r="69" spans="1:20" ht="12.9" thickBot="1">
      <c r="B69" s="580" t="s">
        <v>186</v>
      </c>
      <c r="C69" s="149" t="s">
        <v>607</v>
      </c>
      <c r="D69" s="668" t="s">
        <v>845</v>
      </c>
      <c r="E69" s="586"/>
      <c r="F69" s="1113">
        <f>SUM(F70:F73)</f>
        <v>0</v>
      </c>
      <c r="G69" s="1113">
        <f>SUM(G70:G73)</f>
        <v>0</v>
      </c>
      <c r="H69" s="1113">
        <f>SUM(H70:H73)</f>
        <v>0</v>
      </c>
      <c r="I69" s="46"/>
      <c r="J69" s="1559">
        <f>G$12</f>
        <v>2026</v>
      </c>
      <c r="K69" s="1560">
        <f>H$12</f>
        <v>2027</v>
      </c>
      <c r="L69" s="783"/>
      <c r="M69" s="783"/>
      <c r="N69" s="783"/>
      <c r="O69" s="783"/>
      <c r="P69" s="783"/>
      <c r="Q69" s="783"/>
      <c r="R69" s="783"/>
      <c r="S69" s="1558"/>
    </row>
    <row r="70" spans="1:20">
      <c r="B70" s="581"/>
      <c r="C70" s="149"/>
      <c r="D70" s="303" t="s">
        <v>543</v>
      </c>
      <c r="E70" s="1108"/>
      <c r="F70" s="1262">
        <v>0</v>
      </c>
      <c r="G70" s="1262">
        <f>F70*12/F$13+J70*F70*12/F$13</f>
        <v>0</v>
      </c>
      <c r="H70" s="1262">
        <f t="shared" ref="H70:H73" si="11">G70 +G70*K70</f>
        <v>0</v>
      </c>
      <c r="I70" s="46"/>
      <c r="J70" s="1570">
        <v>0.03</v>
      </c>
      <c r="K70" s="1570">
        <f>J70</f>
        <v>0.03</v>
      </c>
      <c r="L70" s="783"/>
      <c r="M70" s="783"/>
      <c r="N70" s="783"/>
      <c r="O70" s="783"/>
      <c r="P70" s="783"/>
      <c r="Q70" s="783"/>
      <c r="R70" s="783"/>
      <c r="S70" s="1558"/>
    </row>
    <row r="71" spans="1:20">
      <c r="B71" s="581"/>
      <c r="C71" s="149"/>
      <c r="D71" s="303" t="s">
        <v>255</v>
      </c>
      <c r="E71" s="1108"/>
      <c r="F71" s="1234">
        <v>0</v>
      </c>
      <c r="G71" s="1234">
        <f>F71*12/F$13+J71*F71*12/F$13</f>
        <v>0</v>
      </c>
      <c r="H71" s="1234">
        <f t="shared" si="11"/>
        <v>0</v>
      </c>
      <c r="I71" s="46"/>
      <c r="J71" s="1570">
        <v>0.03</v>
      </c>
      <c r="K71" s="1570">
        <f>J71</f>
        <v>0.03</v>
      </c>
      <c r="L71" s="783"/>
      <c r="M71" s="783"/>
      <c r="N71" s="783"/>
      <c r="O71" s="783"/>
      <c r="P71" s="783"/>
      <c r="Q71" s="783"/>
      <c r="R71" s="783"/>
      <c r="S71" s="1558"/>
    </row>
    <row r="72" spans="1:20">
      <c r="B72" s="581"/>
      <c r="C72" s="149"/>
      <c r="D72" s="303" t="s">
        <v>505</v>
      </c>
      <c r="E72" s="1108"/>
      <c r="F72" s="1234">
        <v>0</v>
      </c>
      <c r="G72" s="1234">
        <f>F72*12/F$13+J72*F72*12/F$13</f>
        <v>0</v>
      </c>
      <c r="H72" s="1234">
        <f t="shared" si="11"/>
        <v>0</v>
      </c>
      <c r="I72" s="46"/>
      <c r="J72" s="1570">
        <v>0.03</v>
      </c>
      <c r="K72" s="1570">
        <f>J72</f>
        <v>0.03</v>
      </c>
      <c r="L72" s="783"/>
      <c r="M72" s="783"/>
      <c r="N72" s="783"/>
      <c r="O72" s="783"/>
      <c r="P72" s="783"/>
      <c r="Q72" s="783"/>
      <c r="R72" s="783"/>
      <c r="S72" s="1558"/>
    </row>
    <row r="73" spans="1:20" ht="12.9" thickBot="1">
      <c r="B73" s="581"/>
      <c r="C73" s="149"/>
      <c r="D73" s="354" t="s">
        <v>506</v>
      </c>
      <c r="E73" s="354"/>
      <c r="F73" s="1260">
        <v>0</v>
      </c>
      <c r="G73" s="1260">
        <f>F73*12/F$13+J73*F73*12/F$13</f>
        <v>0</v>
      </c>
      <c r="H73" s="1260">
        <f t="shared" si="11"/>
        <v>0</v>
      </c>
      <c r="I73" s="46"/>
      <c r="J73" s="1570">
        <v>0.03</v>
      </c>
      <c r="K73" s="1570">
        <f>J73</f>
        <v>0.03</v>
      </c>
      <c r="L73" s="783"/>
      <c r="M73" s="783"/>
      <c r="N73" s="783"/>
      <c r="O73" s="783"/>
      <c r="P73" s="783"/>
      <c r="Q73" s="783"/>
      <c r="R73" s="783"/>
      <c r="S73" s="1558"/>
    </row>
    <row r="74" spans="1:20" ht="12.9" thickBot="1">
      <c r="B74" s="1069" t="s">
        <v>187</v>
      </c>
      <c r="C74" s="671" t="s">
        <v>608</v>
      </c>
      <c r="D74" s="306" t="s">
        <v>827</v>
      </c>
      <c r="E74" s="302"/>
      <c r="F74" s="1113">
        <f>SUM(F75:F78)</f>
        <v>0</v>
      </c>
      <c r="G74" s="1113">
        <f>SUM(G75:G78)</f>
        <v>0</v>
      </c>
      <c r="H74" s="1113">
        <f>SUM(H75:H78)</f>
        <v>0</v>
      </c>
      <c r="I74" s="46"/>
      <c r="J74" s="1559"/>
      <c r="K74" s="1560"/>
      <c r="L74" s="783"/>
      <c r="M74" s="783"/>
      <c r="N74" s="783"/>
      <c r="O74" s="783"/>
      <c r="P74" s="783"/>
      <c r="Q74" s="783"/>
      <c r="R74" s="783"/>
      <c r="S74" s="1558"/>
    </row>
    <row r="75" spans="1:20">
      <c r="B75" s="581"/>
      <c r="C75" s="149"/>
      <c r="D75" s="303" t="s">
        <v>705</v>
      </c>
      <c r="E75" s="1108"/>
      <c r="F75" s="1262">
        <v>0</v>
      </c>
      <c r="G75" s="1262">
        <f>F75*12/F$13+J75*F75*12/F$13</f>
        <v>0</v>
      </c>
      <c r="H75" s="1262">
        <f t="shared" ref="H75:H78" si="12">G75 +G75*K75</f>
        <v>0</v>
      </c>
      <c r="I75" s="46"/>
      <c r="J75" s="1570">
        <v>0.03</v>
      </c>
      <c r="K75" s="1570">
        <f>J75</f>
        <v>0.03</v>
      </c>
      <c r="L75" s="783"/>
      <c r="M75" s="783"/>
      <c r="N75" s="783"/>
      <c r="O75" s="783"/>
      <c r="P75" s="783"/>
      <c r="Q75" s="783"/>
      <c r="R75" s="783"/>
      <c r="S75" s="1558"/>
    </row>
    <row r="76" spans="1:20">
      <c r="A76" s="154"/>
      <c r="B76" s="581"/>
      <c r="C76" s="149"/>
      <c r="D76" s="303" t="s">
        <v>796</v>
      </c>
      <c r="E76" s="1108"/>
      <c r="F76" s="1234">
        <v>0</v>
      </c>
      <c r="G76" s="1234">
        <f>F76*12/F$13+J76*F76*12/F$13</f>
        <v>0</v>
      </c>
      <c r="H76" s="1234">
        <f t="shared" si="12"/>
        <v>0</v>
      </c>
      <c r="I76" s="46"/>
      <c r="J76" s="1570">
        <v>0.03</v>
      </c>
      <c r="K76" s="1570">
        <f>J76</f>
        <v>0.03</v>
      </c>
      <c r="L76" s="783"/>
      <c r="M76" s="783"/>
      <c r="N76" s="783"/>
      <c r="O76" s="783"/>
      <c r="P76" s="783"/>
      <c r="Q76" s="783"/>
      <c r="R76" s="783"/>
      <c r="S76" s="1558"/>
    </row>
    <row r="77" spans="1:20">
      <c r="B77" s="581"/>
      <c r="C77" s="149"/>
      <c r="D77" s="303" t="s">
        <v>605</v>
      </c>
      <c r="E77" s="1108"/>
      <c r="F77" s="1234">
        <v>0</v>
      </c>
      <c r="G77" s="1234">
        <f>F77*12/F$13+J77*F77*12/F$13</f>
        <v>0</v>
      </c>
      <c r="H77" s="1234">
        <f t="shared" si="12"/>
        <v>0</v>
      </c>
      <c r="I77" s="46"/>
      <c r="J77" s="1570">
        <v>0.03</v>
      </c>
      <c r="K77" s="1570">
        <f>J77</f>
        <v>0.03</v>
      </c>
      <c r="L77" s="783"/>
      <c r="M77" s="783"/>
      <c r="N77" s="783"/>
      <c r="O77" s="783"/>
      <c r="P77" s="783"/>
      <c r="Q77" s="783"/>
      <c r="R77" s="783"/>
      <c r="S77" s="1558"/>
    </row>
    <row r="78" spans="1:20" ht="12.9" thickBot="1">
      <c r="A78" s="154"/>
      <c r="B78" s="581"/>
      <c r="C78" s="310"/>
      <c r="D78" s="296" t="s">
        <v>258</v>
      </c>
      <c r="E78" s="296"/>
      <c r="F78" s="1260">
        <v>0</v>
      </c>
      <c r="G78" s="1260">
        <f>F78*12/F$13+J78*F78*12/F$13</f>
        <v>0</v>
      </c>
      <c r="H78" s="1260">
        <f t="shared" si="12"/>
        <v>0</v>
      </c>
      <c r="I78" s="46"/>
      <c r="J78" s="1570">
        <v>0.03</v>
      </c>
      <c r="K78" s="1570">
        <f>J78</f>
        <v>0.03</v>
      </c>
      <c r="L78" s="783"/>
      <c r="M78" s="783"/>
      <c r="N78" s="783"/>
      <c r="O78" s="783"/>
      <c r="P78" s="783"/>
      <c r="Q78" s="783"/>
      <c r="R78" s="783"/>
      <c r="S78" s="1558"/>
    </row>
    <row r="79" spans="1:20" ht="12.9" thickBot="1">
      <c r="A79" s="2"/>
      <c r="B79" s="1069" t="s">
        <v>188</v>
      </c>
      <c r="C79" s="149" t="s">
        <v>609</v>
      </c>
      <c r="D79" s="1665" t="s">
        <v>846</v>
      </c>
      <c r="E79" s="1665"/>
      <c r="F79" s="1113">
        <f>F82+F80+F81</f>
        <v>0</v>
      </c>
      <c r="G79" s="1113">
        <f>G82+G80+G81</f>
        <v>0</v>
      </c>
      <c r="H79" s="1113">
        <f>H82+H80+H81</f>
        <v>0</v>
      </c>
      <c r="I79" s="6"/>
      <c r="J79" s="1559"/>
      <c r="K79" s="1560"/>
      <c r="L79" s="783"/>
      <c r="M79" s="783"/>
      <c r="N79" s="783"/>
      <c r="O79" s="783"/>
      <c r="P79" s="783"/>
      <c r="Q79" s="783"/>
      <c r="R79" s="783"/>
      <c r="S79" s="1558"/>
    </row>
    <row r="80" spans="1:20">
      <c r="A80" s="154"/>
      <c r="B80" s="581"/>
      <c r="C80" s="149"/>
      <c r="D80" s="303" t="s">
        <v>259</v>
      </c>
      <c r="E80" s="1108"/>
      <c r="F80" s="1262">
        <v>0</v>
      </c>
      <c r="G80" s="1262">
        <f>F80*12/F$13+J80*F80*12/F$13</f>
        <v>0</v>
      </c>
      <c r="H80" s="1262">
        <f t="shared" ref="H80:H82" si="13">G80 +G80*K80</f>
        <v>0</v>
      </c>
      <c r="I80" s="18"/>
      <c r="J80" s="1570">
        <v>0.03</v>
      </c>
      <c r="K80" s="1570">
        <f>J80</f>
        <v>0.03</v>
      </c>
      <c r="L80" s="783"/>
      <c r="M80" s="783"/>
      <c r="N80" s="783"/>
      <c r="O80" s="783"/>
      <c r="P80" s="783"/>
      <c r="Q80" s="783"/>
      <c r="R80" s="783"/>
      <c r="S80" s="1558"/>
    </row>
    <row r="81" spans="1:19">
      <c r="A81" s="154"/>
      <c r="B81" s="581"/>
      <c r="C81" s="149"/>
      <c r="D81" s="303" t="s">
        <v>260</v>
      </c>
      <c r="E81" s="1108"/>
      <c r="F81" s="1234">
        <v>0</v>
      </c>
      <c r="G81" s="1234">
        <f>F81*12/F$13+J81*F81*12/F$13</f>
        <v>0</v>
      </c>
      <c r="H81" s="1234">
        <f t="shared" si="13"/>
        <v>0</v>
      </c>
      <c r="I81" s="18"/>
      <c r="J81" s="1570">
        <v>0.03</v>
      </c>
      <c r="K81" s="1570">
        <f>J81</f>
        <v>0.03</v>
      </c>
      <c r="L81" s="783"/>
      <c r="M81" s="783"/>
      <c r="N81" s="783"/>
      <c r="O81" s="783"/>
      <c r="P81" s="783"/>
      <c r="Q81" s="783"/>
      <c r="R81" s="783"/>
      <c r="S81" s="1558"/>
    </row>
    <row r="82" spans="1:19" ht="12.9" thickBot="1">
      <c r="B82" s="581" t="s">
        <v>0</v>
      </c>
      <c r="C82" s="149"/>
      <c r="D82" s="354" t="s">
        <v>3</v>
      </c>
      <c r="E82" s="354"/>
      <c r="F82" s="1260">
        <v>0</v>
      </c>
      <c r="G82" s="1260">
        <f>F82*12/F$13+J82*F82*12/F$13</f>
        <v>0</v>
      </c>
      <c r="H82" s="1260">
        <f t="shared" si="13"/>
        <v>0</v>
      </c>
      <c r="I82" s="46"/>
      <c r="J82" s="1570">
        <v>0.03</v>
      </c>
      <c r="K82" s="1570">
        <f>J82</f>
        <v>0.03</v>
      </c>
      <c r="L82" s="783"/>
      <c r="M82" s="783"/>
      <c r="N82" s="783"/>
      <c r="O82" s="783"/>
      <c r="P82" s="783"/>
      <c r="Q82" s="783"/>
      <c r="R82" s="783"/>
      <c r="S82" s="1558"/>
    </row>
    <row r="83" spans="1:19" ht="12.9" thickBot="1">
      <c r="A83" s="154"/>
      <c r="B83" s="1069" t="s">
        <v>189</v>
      </c>
      <c r="C83" s="671" t="s">
        <v>610</v>
      </c>
      <c r="D83" s="306" t="s">
        <v>829</v>
      </c>
      <c r="E83" s="302"/>
      <c r="F83" s="1113">
        <f>F84*F85+F87*F86</f>
        <v>0</v>
      </c>
      <c r="G83" s="1113">
        <f>G84*G85+G87*G86</f>
        <v>0</v>
      </c>
      <c r="H83" s="1113">
        <f>H84*H85+H87*H86</f>
        <v>0</v>
      </c>
      <c r="I83" s="46"/>
      <c r="J83" s="1565"/>
      <c r="K83" s="783"/>
      <c r="L83" s="783"/>
      <c r="M83" s="783"/>
      <c r="N83" s="783"/>
      <c r="O83" s="783"/>
      <c r="P83" s="783"/>
      <c r="Q83" s="783"/>
      <c r="R83" s="783"/>
      <c r="S83" s="1558"/>
    </row>
    <row r="84" spans="1:19">
      <c r="A84" s="2"/>
      <c r="B84" s="581" t="s">
        <v>0</v>
      </c>
      <c r="C84" s="149"/>
      <c r="D84" s="303" t="s">
        <v>7</v>
      </c>
      <c r="E84" s="1108"/>
      <c r="F84" s="1262">
        <v>0</v>
      </c>
      <c r="G84" s="1262">
        <f>F84*12/F$13</f>
        <v>0</v>
      </c>
      <c r="H84" s="1262">
        <f t="shared" ref="G84:H86" si="14">G84</f>
        <v>0</v>
      </c>
      <c r="I84" s="46"/>
      <c r="J84" s="1565"/>
      <c r="K84" s="783"/>
      <c r="L84" s="783"/>
      <c r="M84" s="783"/>
      <c r="N84" s="783"/>
      <c r="O84" s="783"/>
      <c r="P84" s="783"/>
      <c r="Q84" s="783"/>
      <c r="R84" s="783"/>
      <c r="S84" s="1558"/>
    </row>
    <row r="85" spans="1:19">
      <c r="A85" s="2"/>
      <c r="B85" s="581" t="s">
        <v>0</v>
      </c>
      <c r="C85" s="149"/>
      <c r="D85" s="303" t="s">
        <v>1</v>
      </c>
      <c r="E85" s="1108"/>
      <c r="F85" s="1265">
        <v>0.56999999999999995</v>
      </c>
      <c r="G85" s="1265">
        <f t="shared" si="14"/>
        <v>0.56999999999999995</v>
      </c>
      <c r="H85" s="1265">
        <f t="shared" si="14"/>
        <v>0.56999999999999995</v>
      </c>
      <c r="I85" s="51"/>
      <c r="J85" s="1565"/>
      <c r="K85" s="783"/>
      <c r="L85" s="783"/>
      <c r="M85" s="783"/>
      <c r="N85" s="783"/>
      <c r="O85" s="783"/>
      <c r="P85" s="783"/>
      <c r="Q85" s="783"/>
      <c r="R85" s="783"/>
      <c r="S85" s="1558"/>
    </row>
    <row r="86" spans="1:19">
      <c r="A86" s="154"/>
      <c r="B86" s="581" t="s">
        <v>0</v>
      </c>
      <c r="C86" s="149"/>
      <c r="D86" s="303" t="s">
        <v>8</v>
      </c>
      <c r="E86" s="1108"/>
      <c r="F86" s="1234">
        <v>0</v>
      </c>
      <c r="G86" s="1234">
        <f t="shared" si="14"/>
        <v>0</v>
      </c>
      <c r="H86" s="1234">
        <f t="shared" si="14"/>
        <v>0</v>
      </c>
      <c r="I86" s="46"/>
      <c r="J86" s="1565"/>
      <c r="K86" s="783"/>
      <c r="L86" s="783"/>
      <c r="M86" s="783"/>
      <c r="N86" s="783"/>
      <c r="O86" s="783"/>
      <c r="P86" s="783"/>
      <c r="Q86" s="783"/>
      <c r="R86" s="783"/>
      <c r="S86" s="1558"/>
    </row>
    <row r="87" spans="1:19" ht="12.9" thickBot="1">
      <c r="B87" s="581" t="s">
        <v>0</v>
      </c>
      <c r="C87" s="310"/>
      <c r="D87" s="296" t="s">
        <v>2</v>
      </c>
      <c r="E87" s="296"/>
      <c r="F87" s="1266">
        <v>51</v>
      </c>
      <c r="G87" s="1266">
        <f>F87</f>
        <v>51</v>
      </c>
      <c r="H87" s="1266">
        <f>G87</f>
        <v>51</v>
      </c>
      <c r="I87" s="46"/>
      <c r="J87" s="1559">
        <f>G$12</f>
        <v>2026</v>
      </c>
      <c r="K87" s="1560">
        <f>H$12</f>
        <v>2027</v>
      </c>
      <c r="L87" s="783"/>
      <c r="M87" s="783"/>
      <c r="N87" s="783"/>
      <c r="O87" s="783"/>
      <c r="P87" s="783"/>
      <c r="Q87" s="783"/>
      <c r="R87" s="783"/>
      <c r="S87" s="1558"/>
    </row>
    <row r="88" spans="1:19" ht="12.9" thickBot="1">
      <c r="A88" s="154"/>
      <c r="B88" s="1069" t="s">
        <v>190</v>
      </c>
      <c r="C88" s="575" t="s">
        <v>611</v>
      </c>
      <c r="D88" s="305" t="s">
        <v>847</v>
      </c>
      <c r="E88" s="305"/>
      <c r="F88" s="1267">
        <v>0</v>
      </c>
      <c r="G88" s="1267">
        <f>F88*12/F$13+J88*F88*12/F$13</f>
        <v>0</v>
      </c>
      <c r="H88" s="1267">
        <f>G88 +G88*K88</f>
        <v>0</v>
      </c>
      <c r="I88" s="18"/>
      <c r="J88" s="1570">
        <v>0.03</v>
      </c>
      <c r="K88" s="1570">
        <f>J88</f>
        <v>0.03</v>
      </c>
      <c r="L88" s="783"/>
      <c r="M88" s="783"/>
      <c r="N88" s="783"/>
      <c r="O88" s="783"/>
      <c r="P88" s="783"/>
      <c r="Q88" s="783"/>
      <c r="R88" s="783"/>
      <c r="S88" s="1558"/>
    </row>
    <row r="89" spans="1:19" ht="12.9" thickBot="1">
      <c r="A89" s="2"/>
      <c r="B89" s="580" t="s">
        <v>191</v>
      </c>
      <c r="C89" s="671" t="s">
        <v>612</v>
      </c>
      <c r="D89" s="306" t="s">
        <v>848</v>
      </c>
      <c r="E89" s="306"/>
      <c r="F89" s="1113">
        <f>SUM(F90:F94)</f>
        <v>0</v>
      </c>
      <c r="G89" s="1113">
        <f>SUM(G90:G94)</f>
        <v>0</v>
      </c>
      <c r="H89" s="1113">
        <f>SUM(H90:H94)</f>
        <v>0</v>
      </c>
      <c r="I89" s="18"/>
      <c r="J89" s="1559"/>
      <c r="K89" s="1560"/>
      <c r="L89" s="783"/>
      <c r="M89" s="783"/>
      <c r="N89" s="783"/>
      <c r="O89" s="783"/>
      <c r="P89" s="783"/>
      <c r="Q89" s="783"/>
      <c r="R89" s="783"/>
      <c r="S89" s="1558"/>
    </row>
    <row r="90" spans="1:19">
      <c r="B90" s="581"/>
      <c r="C90" s="149"/>
      <c r="D90" s="303" t="s">
        <v>299</v>
      </c>
      <c r="E90" s="1103"/>
      <c r="F90" s="1262">
        <v>0</v>
      </c>
      <c r="G90" s="1262">
        <f>F90*12/F$13+J90*F90*12/F$13</f>
        <v>0</v>
      </c>
      <c r="H90" s="1262">
        <f t="shared" ref="H90:H94" si="15">G90 +G90*K90</f>
        <v>0</v>
      </c>
      <c r="I90" s="18"/>
      <c r="J90" s="1570">
        <v>0.03</v>
      </c>
      <c r="K90" s="1570">
        <f>J90</f>
        <v>0.03</v>
      </c>
      <c r="L90" s="783"/>
      <c r="M90" s="783"/>
      <c r="N90" s="783"/>
      <c r="O90" s="783"/>
      <c r="P90" s="783"/>
      <c r="Q90" s="783"/>
      <c r="R90" s="783"/>
      <c r="S90" s="1558"/>
    </row>
    <row r="91" spans="1:19">
      <c r="A91" s="154"/>
      <c r="B91" s="581"/>
      <c r="C91" s="149"/>
      <c r="D91" s="303" t="s">
        <v>261</v>
      </c>
      <c r="E91" s="1103"/>
      <c r="F91" s="1234">
        <v>0</v>
      </c>
      <c r="G91" s="1234">
        <f>F91*12/F$13+J91*F91*12/F$13</f>
        <v>0</v>
      </c>
      <c r="H91" s="1234">
        <f t="shared" si="15"/>
        <v>0</v>
      </c>
      <c r="I91" s="18"/>
      <c r="J91" s="1570">
        <v>0.03</v>
      </c>
      <c r="K91" s="1570">
        <f>J91</f>
        <v>0.03</v>
      </c>
      <c r="L91" s="783"/>
      <c r="M91" s="783"/>
      <c r="N91" s="783"/>
      <c r="O91" s="783"/>
      <c r="P91" s="783"/>
      <c r="Q91" s="783"/>
      <c r="R91" s="783"/>
      <c r="S91" s="1558"/>
    </row>
    <row r="92" spans="1:19">
      <c r="B92" s="581"/>
      <c r="C92" s="149"/>
      <c r="D92" s="303" t="s">
        <v>495</v>
      </c>
      <c r="E92" s="1103"/>
      <c r="F92" s="1234">
        <v>0</v>
      </c>
      <c r="G92" s="1234">
        <f>F92*12/F$13+J92*F92*12/F$13</f>
        <v>0</v>
      </c>
      <c r="H92" s="1234">
        <f t="shared" si="15"/>
        <v>0</v>
      </c>
      <c r="I92" s="18"/>
      <c r="J92" s="1570">
        <v>0.03</v>
      </c>
      <c r="K92" s="1570">
        <f>J92</f>
        <v>0.03</v>
      </c>
      <c r="L92" s="783"/>
      <c r="M92" s="783"/>
      <c r="N92" s="783"/>
      <c r="O92" s="783"/>
      <c r="P92" s="783"/>
      <c r="Q92" s="783"/>
      <c r="R92" s="783"/>
      <c r="S92" s="1558"/>
    </row>
    <row r="93" spans="1:19">
      <c r="A93" s="154"/>
      <c r="B93" s="581"/>
      <c r="C93" s="149"/>
      <c r="D93" s="303" t="s">
        <v>872</v>
      </c>
      <c r="E93" s="1103"/>
      <c r="F93" s="1234">
        <v>0</v>
      </c>
      <c r="G93" s="1234">
        <f>F93*12/F$13+J93*F93*12/F$13</f>
        <v>0</v>
      </c>
      <c r="H93" s="1234">
        <f t="shared" si="15"/>
        <v>0</v>
      </c>
      <c r="I93" s="18"/>
      <c r="J93" s="1570">
        <v>0.03</v>
      </c>
      <c r="K93" s="1570">
        <f>J93</f>
        <v>0.03</v>
      </c>
      <c r="L93" s="783"/>
      <c r="M93" s="783"/>
      <c r="N93" s="783"/>
      <c r="O93" s="783"/>
      <c r="P93" s="783"/>
      <c r="Q93" s="783"/>
      <c r="R93" s="783"/>
      <c r="S93" s="1558"/>
    </row>
    <row r="94" spans="1:19" ht="12.9" thickBot="1">
      <c r="A94" s="2"/>
      <c r="B94" s="581"/>
      <c r="C94" s="310">
        <v>0</v>
      </c>
      <c r="D94" s="296" t="s">
        <v>871</v>
      </c>
      <c r="E94" s="296"/>
      <c r="F94" s="1260">
        <v>0</v>
      </c>
      <c r="G94" s="1260">
        <f>F94*12/F$13+J94*F94*12/F$13</f>
        <v>0</v>
      </c>
      <c r="H94" s="1260">
        <f t="shared" si="15"/>
        <v>0</v>
      </c>
      <c r="I94" s="6"/>
      <c r="J94" s="1570">
        <v>0.03</v>
      </c>
      <c r="K94" s="1570">
        <f>J94</f>
        <v>0.03</v>
      </c>
      <c r="L94" s="783"/>
      <c r="M94" s="783"/>
      <c r="N94" s="783"/>
      <c r="O94" s="783"/>
      <c r="P94" s="783"/>
      <c r="Q94" s="783"/>
      <c r="R94" s="783"/>
      <c r="S94" s="1558"/>
    </row>
    <row r="95" spans="1:19" ht="12.9" thickBot="1">
      <c r="A95" s="154"/>
      <c r="B95" s="580" t="s">
        <v>192</v>
      </c>
      <c r="C95" s="149" t="s">
        <v>613</v>
      </c>
      <c r="D95" s="668" t="s">
        <v>849</v>
      </c>
      <c r="E95" s="586"/>
      <c r="F95" s="1113">
        <f>SUM(F96:F97)</f>
        <v>0</v>
      </c>
      <c r="G95" s="1113">
        <f>SUM(G96:G97)</f>
        <v>0</v>
      </c>
      <c r="H95" s="1113">
        <f>SUM(H96:H97)</f>
        <v>0</v>
      </c>
      <c r="I95" s="6"/>
      <c r="J95" s="1559">
        <v>0</v>
      </c>
      <c r="K95" s="1560">
        <v>0</v>
      </c>
      <c r="L95" s="783"/>
      <c r="M95" s="783"/>
      <c r="N95" s="783"/>
      <c r="O95" s="783">
        <v>0</v>
      </c>
      <c r="P95" s="783"/>
      <c r="Q95" s="783"/>
      <c r="R95" s="783"/>
      <c r="S95" s="1558"/>
    </row>
    <row r="96" spans="1:19">
      <c r="B96" s="581"/>
      <c r="C96" s="149"/>
      <c r="D96" s="303" t="s">
        <v>279</v>
      </c>
      <c r="E96" s="1108"/>
      <c r="F96" s="1262">
        <v>0</v>
      </c>
      <c r="G96" s="1262">
        <f>F96*12/F$13+J96*F96*12/F$13</f>
        <v>0</v>
      </c>
      <c r="H96" s="1262">
        <f>G96 +G96*K96</f>
        <v>0</v>
      </c>
      <c r="I96" s="6"/>
      <c r="J96" s="1570">
        <v>0.03</v>
      </c>
      <c r="K96" s="1570">
        <f>J96</f>
        <v>0.03</v>
      </c>
      <c r="L96" s="783"/>
      <c r="M96" s="783"/>
      <c r="N96" s="783"/>
      <c r="O96" s="783"/>
      <c r="P96" s="783"/>
      <c r="Q96" s="783"/>
      <c r="R96" s="783"/>
      <c r="S96" s="1558"/>
    </row>
    <row r="97" spans="1:19" ht="12.9" thickBot="1">
      <c r="A97" s="154"/>
      <c r="B97" s="581"/>
      <c r="C97" s="149"/>
      <c r="D97" s="354" t="s">
        <v>263</v>
      </c>
      <c r="E97" s="354"/>
      <c r="F97" s="1260">
        <v>0</v>
      </c>
      <c r="G97" s="1260">
        <f>F97*12/F$13+J97*F97*12/F$13</f>
        <v>0</v>
      </c>
      <c r="H97" s="1260">
        <f>G97 +G97*K97</f>
        <v>0</v>
      </c>
      <c r="I97" s="6"/>
      <c r="J97" s="1570">
        <v>0.03</v>
      </c>
      <c r="K97" s="1570">
        <f>J97</f>
        <v>0.03</v>
      </c>
      <c r="L97" s="783"/>
      <c r="M97" s="783"/>
      <c r="N97" s="783"/>
      <c r="O97" s="783"/>
      <c r="P97" s="783"/>
      <c r="Q97" s="783"/>
      <c r="R97" s="783"/>
      <c r="S97" s="1558"/>
    </row>
    <row r="98" spans="1:19" ht="12.75" customHeight="1" thickBot="1">
      <c r="A98" s="2"/>
      <c r="B98" s="580" t="s">
        <v>193</v>
      </c>
      <c r="C98" s="671" t="s">
        <v>614</v>
      </c>
      <c r="D98" s="306" t="s">
        <v>850</v>
      </c>
      <c r="E98" s="302"/>
      <c r="F98" s="1113">
        <f>SUM(F99:F101)</f>
        <v>0</v>
      </c>
      <c r="G98" s="1113">
        <f>SUM(G99:G101)</f>
        <v>0</v>
      </c>
      <c r="H98" s="1113">
        <f>SUM(H99:H101)</f>
        <v>0</v>
      </c>
      <c r="I98" s="6"/>
      <c r="J98" s="1559">
        <v>0</v>
      </c>
      <c r="K98" s="1560">
        <v>0</v>
      </c>
      <c r="L98" s="783"/>
      <c r="M98" s="783"/>
      <c r="N98" s="783"/>
      <c r="O98" s="783"/>
      <c r="P98" s="783"/>
      <c r="Q98" s="783"/>
      <c r="R98" s="783"/>
      <c r="S98" s="1558"/>
    </row>
    <row r="99" spans="1:19">
      <c r="B99" s="581"/>
      <c r="C99" s="149"/>
      <c r="D99" s="303" t="s">
        <v>264</v>
      </c>
      <c r="E99" s="1108"/>
      <c r="F99" s="1262">
        <v>0</v>
      </c>
      <c r="G99" s="1262">
        <f>F99*12/F$13+J99*F99*12/F$13</f>
        <v>0</v>
      </c>
      <c r="H99" s="1262">
        <f t="shared" ref="H99:H101" si="16">G99 +G99*K99</f>
        <v>0</v>
      </c>
      <c r="I99" s="6"/>
      <c r="J99" s="1570">
        <v>0.03</v>
      </c>
      <c r="K99" s="1570">
        <f>J99</f>
        <v>0.03</v>
      </c>
      <c r="L99" s="783"/>
      <c r="M99" s="783"/>
      <c r="N99" s="783"/>
      <c r="O99" s="783"/>
      <c r="P99" s="783"/>
      <c r="Q99" s="783"/>
      <c r="R99" s="783"/>
      <c r="S99" s="1558"/>
    </row>
    <row r="100" spans="1:19">
      <c r="A100" s="154"/>
      <c r="B100" s="581"/>
      <c r="C100" s="149"/>
      <c r="D100" s="303" t="s">
        <v>265</v>
      </c>
      <c r="E100" s="1108"/>
      <c r="F100" s="1234">
        <v>0</v>
      </c>
      <c r="G100" s="1234">
        <f>F100*12/F$13+J100*F100*12/F$13</f>
        <v>0</v>
      </c>
      <c r="H100" s="1234">
        <f t="shared" si="16"/>
        <v>0</v>
      </c>
      <c r="I100" s="6"/>
      <c r="J100" s="1570">
        <v>0.03</v>
      </c>
      <c r="K100" s="1570">
        <f>J100</f>
        <v>0.03</v>
      </c>
      <c r="L100" s="783"/>
      <c r="M100" s="783"/>
      <c r="N100" s="783"/>
      <c r="O100" s="783"/>
      <c r="P100" s="783"/>
      <c r="Q100" s="783"/>
      <c r="R100" s="783"/>
      <c r="S100" s="1558"/>
    </row>
    <row r="101" spans="1:19" ht="12.9" thickBot="1">
      <c r="B101" s="581"/>
      <c r="C101" s="310"/>
      <c r="D101" s="296" t="s">
        <v>864</v>
      </c>
      <c r="E101" s="296"/>
      <c r="F101" s="1260">
        <v>0</v>
      </c>
      <c r="G101" s="1260">
        <f>F101*12/F$13+J101*F101*12/F$13</f>
        <v>0</v>
      </c>
      <c r="H101" s="1260">
        <f t="shared" si="16"/>
        <v>0</v>
      </c>
      <c r="I101" s="6"/>
      <c r="J101" s="1570">
        <v>0.03</v>
      </c>
      <c r="K101" s="1570">
        <f>J101</f>
        <v>0.03</v>
      </c>
      <c r="L101" s="783"/>
      <c r="M101" s="783"/>
      <c r="N101" s="783"/>
      <c r="O101" s="783"/>
      <c r="P101" s="783"/>
      <c r="Q101" s="783"/>
      <c r="R101" s="1421"/>
      <c r="S101" s="1566"/>
    </row>
    <row r="102" spans="1:19" ht="12.9" thickBot="1">
      <c r="A102" s="154"/>
      <c r="B102" s="580" t="s">
        <v>194</v>
      </c>
      <c r="C102" s="149" t="s">
        <v>615</v>
      </c>
      <c r="D102" s="668" t="s">
        <v>851</v>
      </c>
      <c r="E102" s="668"/>
      <c r="F102" s="1268">
        <f>SUM(F103:F105)</f>
        <v>0</v>
      </c>
      <c r="G102" s="1268">
        <f>SUM(G103:G105)</f>
        <v>0</v>
      </c>
      <c r="H102" s="1268">
        <f>SUM(H103:H105)</f>
        <v>0</v>
      </c>
      <c r="I102" s="6"/>
      <c r="J102" s="1559">
        <f>G$12</f>
        <v>2026</v>
      </c>
      <c r="K102" s="1560">
        <f>H$12</f>
        <v>2027</v>
      </c>
      <c r="L102" s="783"/>
      <c r="M102" s="783"/>
      <c r="N102" s="783"/>
      <c r="O102" s="783"/>
      <c r="P102" s="783"/>
      <c r="Q102" s="783"/>
      <c r="R102" s="783"/>
      <c r="S102" s="1558"/>
    </row>
    <row r="103" spans="1:19">
      <c r="A103" s="2"/>
      <c r="B103" s="581"/>
      <c r="C103" s="149"/>
      <c r="D103" s="303" t="s">
        <v>266</v>
      </c>
      <c r="E103" s="1108"/>
      <c r="F103" s="1262">
        <v>0</v>
      </c>
      <c r="G103" s="1262">
        <f>F103*12/F$13+J103*F103*12/F$13</f>
        <v>0</v>
      </c>
      <c r="H103" s="1262">
        <f t="shared" ref="H103:H105" si="17">G103 +G103*K103</f>
        <v>0</v>
      </c>
      <c r="I103" s="6"/>
      <c r="J103" s="1570">
        <v>0.03</v>
      </c>
      <c r="K103" s="1570">
        <f>J103</f>
        <v>0.03</v>
      </c>
      <c r="L103" s="783"/>
      <c r="M103" s="783"/>
      <c r="N103" s="783"/>
      <c r="O103" s="783"/>
      <c r="P103" s="783"/>
      <c r="Q103" s="783"/>
      <c r="R103" s="783"/>
      <c r="S103" s="1558"/>
    </row>
    <row r="104" spans="1:19">
      <c r="B104" s="581"/>
      <c r="C104" s="149"/>
      <c r="D104" s="303" t="s">
        <v>501</v>
      </c>
      <c r="E104" s="1108"/>
      <c r="F104" s="1234">
        <v>0</v>
      </c>
      <c r="G104" s="1234">
        <f>F104*12/F$13+J104*F104*12/F$13</f>
        <v>0</v>
      </c>
      <c r="H104" s="1234">
        <f t="shared" si="17"/>
        <v>0</v>
      </c>
      <c r="I104" s="6"/>
      <c r="J104" s="1570">
        <v>0.03</v>
      </c>
      <c r="K104" s="1570">
        <f>J104</f>
        <v>0.03</v>
      </c>
      <c r="L104" s="783"/>
      <c r="M104" s="783"/>
      <c r="N104" s="783"/>
      <c r="O104" s="783"/>
      <c r="P104" s="783"/>
      <c r="Q104" s="783"/>
      <c r="R104" s="783"/>
      <c r="S104" s="1558"/>
    </row>
    <row r="105" spans="1:19" ht="12.9" thickBot="1">
      <c r="B105" s="581"/>
      <c r="C105" s="149"/>
      <c r="D105" s="354" t="s">
        <v>6</v>
      </c>
      <c r="E105" s="354"/>
      <c r="F105" s="1260">
        <v>0</v>
      </c>
      <c r="G105" s="1260">
        <f>F105*12/F$13+J105*F105*12/F$13</f>
        <v>0</v>
      </c>
      <c r="H105" s="1260">
        <f t="shared" si="17"/>
        <v>0</v>
      </c>
      <c r="I105" s="6"/>
      <c r="J105" s="1570">
        <v>0.03</v>
      </c>
      <c r="K105" s="1570">
        <f>J105</f>
        <v>0.03</v>
      </c>
      <c r="L105" s="783"/>
      <c r="M105" s="783"/>
      <c r="N105" s="783"/>
      <c r="O105" s="783"/>
      <c r="P105" s="783"/>
      <c r="Q105" s="783"/>
      <c r="R105" s="783"/>
      <c r="S105" s="1558"/>
    </row>
    <row r="106" spans="1:19" ht="12.75" customHeight="1" thickBot="1">
      <c r="B106" s="580" t="s">
        <v>195</v>
      </c>
      <c r="C106" s="671" t="s">
        <v>616</v>
      </c>
      <c r="D106" s="306" t="s">
        <v>835</v>
      </c>
      <c r="E106" s="306"/>
      <c r="F106" s="1113">
        <f>SUM(F107:F110)</f>
        <v>0</v>
      </c>
      <c r="G106" s="1113">
        <f>SUM(G107:G110)</f>
        <v>0</v>
      </c>
      <c r="H106" s="1113">
        <f>SUM(H107:H110)</f>
        <v>0</v>
      </c>
      <c r="I106" s="6"/>
      <c r="J106" s="1559">
        <v>0</v>
      </c>
      <c r="K106" s="1560">
        <v>0</v>
      </c>
      <c r="L106" s="783"/>
      <c r="M106" s="783"/>
      <c r="N106" s="783"/>
      <c r="O106" s="783"/>
      <c r="P106" s="783"/>
      <c r="Q106" s="783"/>
      <c r="R106" s="783"/>
      <c r="S106" s="1558"/>
    </row>
    <row r="107" spans="1:19">
      <c r="B107" s="581"/>
      <c r="C107" s="149"/>
      <c r="D107" s="303" t="s">
        <v>269</v>
      </c>
      <c r="E107" s="1108"/>
      <c r="F107" s="1262">
        <v>0</v>
      </c>
      <c r="G107" s="1262">
        <f>F107*12/F$13+J107*F107*12/F$13</f>
        <v>0</v>
      </c>
      <c r="H107" s="1262">
        <f t="shared" ref="H107:H110" si="18">G107 +G107*K107</f>
        <v>0</v>
      </c>
      <c r="I107" s="6"/>
      <c r="J107" s="1570">
        <v>0.03</v>
      </c>
      <c r="K107" s="1570">
        <f>J107</f>
        <v>0.03</v>
      </c>
      <c r="L107" s="783"/>
      <c r="M107" s="783"/>
      <c r="N107" s="783"/>
      <c r="O107" s="783"/>
      <c r="P107" s="783"/>
      <c r="Q107" s="783"/>
      <c r="R107" s="783"/>
      <c r="S107" s="1558"/>
    </row>
    <row r="108" spans="1:19">
      <c r="B108" s="581"/>
      <c r="C108" s="149"/>
      <c r="D108" s="303" t="s">
        <v>270</v>
      </c>
      <c r="E108" s="1108"/>
      <c r="F108" s="1234">
        <v>0</v>
      </c>
      <c r="G108" s="1234">
        <f>F108*12/F$13+J108*F108*12/F$13</f>
        <v>0</v>
      </c>
      <c r="H108" s="1234">
        <f t="shared" si="18"/>
        <v>0</v>
      </c>
      <c r="I108" s="6"/>
      <c r="J108" s="1570">
        <v>0.03</v>
      </c>
      <c r="K108" s="1570">
        <f>J108</f>
        <v>0.03</v>
      </c>
      <c r="L108" s="783"/>
      <c r="M108" s="783"/>
      <c r="N108" s="783"/>
      <c r="O108" s="783"/>
      <c r="P108" s="783"/>
      <c r="Q108" s="783"/>
      <c r="R108" s="783"/>
      <c r="S108" s="1558"/>
    </row>
    <row r="109" spans="1:19">
      <c r="B109" s="581"/>
      <c r="C109" s="149"/>
      <c r="D109" s="303" t="s">
        <v>271</v>
      </c>
      <c r="E109" s="1108"/>
      <c r="F109" s="1234">
        <v>0</v>
      </c>
      <c r="G109" s="1234">
        <f>F109*12/F$13+J109*F109*12/F$13</f>
        <v>0</v>
      </c>
      <c r="H109" s="1234">
        <f t="shared" si="18"/>
        <v>0</v>
      </c>
      <c r="I109" s="6"/>
      <c r="J109" s="1570">
        <v>0.03</v>
      </c>
      <c r="K109" s="1570">
        <f>J109</f>
        <v>0.03</v>
      </c>
      <c r="L109" s="783"/>
      <c r="M109" s="783"/>
      <c r="N109" s="783"/>
      <c r="O109" s="783"/>
      <c r="P109" s="783"/>
      <c r="Q109" s="783"/>
      <c r="R109" s="783"/>
      <c r="S109" s="1558"/>
    </row>
    <row r="110" spans="1:19" ht="12.9" thickBot="1">
      <c r="B110" s="581"/>
      <c r="C110" s="310">
        <v>0</v>
      </c>
      <c r="D110" s="296" t="s">
        <v>272</v>
      </c>
      <c r="E110" s="590"/>
      <c r="F110" s="1260">
        <v>0</v>
      </c>
      <c r="G110" s="1260">
        <f>F110*12/F$13+J110*F110*12/F$13</f>
        <v>0</v>
      </c>
      <c r="H110" s="1260">
        <f t="shared" si="18"/>
        <v>0</v>
      </c>
      <c r="I110" s="4"/>
      <c r="J110" s="1570">
        <v>0.03</v>
      </c>
      <c r="K110" s="1570">
        <f>J110</f>
        <v>0.03</v>
      </c>
      <c r="L110" s="783"/>
      <c r="M110" s="783"/>
      <c r="N110" s="783"/>
      <c r="O110" s="783"/>
      <c r="P110" s="783"/>
      <c r="Q110" s="783"/>
      <c r="R110" s="783"/>
      <c r="S110" s="1558"/>
    </row>
    <row r="111" spans="1:19" ht="12.9" thickBot="1">
      <c r="B111" s="580" t="s">
        <v>277</v>
      </c>
      <c r="C111" s="149" t="s">
        <v>617</v>
      </c>
      <c r="D111" s="668" t="s">
        <v>852</v>
      </c>
      <c r="E111" s="591"/>
      <c r="F111" s="1113">
        <f>SUM(F112:F113)</f>
        <v>0</v>
      </c>
      <c r="G111" s="1113">
        <f>SUM(G112:G113)</f>
        <v>0</v>
      </c>
      <c r="H111" s="1113">
        <f>SUM(H112:H113)</f>
        <v>0</v>
      </c>
      <c r="I111" s="4"/>
      <c r="J111" s="1559">
        <v>0</v>
      </c>
      <c r="K111" s="1560">
        <v>0</v>
      </c>
      <c r="L111" s="783"/>
      <c r="M111" s="783"/>
      <c r="N111" s="783"/>
      <c r="O111" s="783"/>
      <c r="P111" s="783"/>
      <c r="Q111" s="783"/>
      <c r="R111" s="783"/>
      <c r="S111" s="1558"/>
    </row>
    <row r="112" spans="1:19">
      <c r="B112" s="581"/>
      <c r="C112" s="149"/>
      <c r="D112" s="303" t="s">
        <v>286</v>
      </c>
      <c r="E112" s="1177"/>
      <c r="F112" s="1262">
        <v>0</v>
      </c>
      <c r="G112" s="1262">
        <f>F112*12/F$13+J112*F112*12/F$13</f>
        <v>0</v>
      </c>
      <c r="H112" s="1262">
        <f t="shared" ref="H112:H117" si="19">G112 +G112*K112</f>
        <v>0</v>
      </c>
      <c r="I112" s="4"/>
      <c r="J112" s="1570">
        <v>0.03</v>
      </c>
      <c r="K112" s="1570">
        <f>J112</f>
        <v>0.03</v>
      </c>
      <c r="L112" s="783"/>
      <c r="M112" s="783"/>
      <c r="N112" s="783"/>
      <c r="O112" s="783"/>
      <c r="P112" s="783"/>
      <c r="Q112" s="783"/>
      <c r="R112" s="783"/>
      <c r="S112" s="1558"/>
    </row>
    <row r="113" spans="2:19" ht="12.9" thickBot="1">
      <c r="B113" s="581"/>
      <c r="C113" s="149"/>
      <c r="D113" s="354" t="s">
        <v>288</v>
      </c>
      <c r="E113" s="570"/>
      <c r="F113" s="1269">
        <v>0</v>
      </c>
      <c r="G113" s="1269">
        <f>F113*12/F$13+J113*F113*12/F$13</f>
        <v>0</v>
      </c>
      <c r="H113" s="1269">
        <f t="shared" si="19"/>
        <v>0</v>
      </c>
      <c r="I113" s="4"/>
      <c r="J113" s="1570">
        <v>0.03</v>
      </c>
      <c r="K113" s="1570">
        <f>J113</f>
        <v>0.03</v>
      </c>
      <c r="L113" s="783"/>
      <c r="M113" s="783"/>
      <c r="N113" s="783"/>
      <c r="O113" s="783"/>
      <c r="P113" s="783"/>
      <c r="Q113" s="783"/>
      <c r="R113" s="783"/>
      <c r="S113" s="1558"/>
    </row>
    <row r="114" spans="2:19">
      <c r="B114" s="580" t="s">
        <v>390</v>
      </c>
      <c r="C114" s="1272" t="s">
        <v>618</v>
      </c>
      <c r="D114" s="1273" t="s">
        <v>853</v>
      </c>
      <c r="E114" s="1274"/>
      <c r="F114" s="1275">
        <v>0</v>
      </c>
      <c r="G114" s="1275">
        <f>F114*12/F$13+J114*F114*12/F$13</f>
        <v>0</v>
      </c>
      <c r="H114" s="1275">
        <f t="shared" si="19"/>
        <v>0</v>
      </c>
      <c r="I114" s="4"/>
      <c r="J114" s="1570">
        <v>0.03</v>
      </c>
      <c r="K114" s="1570">
        <f>J114</f>
        <v>0.03</v>
      </c>
      <c r="L114" s="783"/>
      <c r="M114" s="783"/>
      <c r="N114" s="783"/>
      <c r="O114" s="783"/>
      <c r="P114" s="783"/>
      <c r="Q114" s="783"/>
      <c r="R114" s="783"/>
      <c r="S114" s="1558"/>
    </row>
    <row r="115" spans="2:19">
      <c r="B115" s="580" t="s">
        <v>388</v>
      </c>
      <c r="C115" s="1146" t="s">
        <v>619</v>
      </c>
      <c r="D115" s="1151" t="s">
        <v>854</v>
      </c>
      <c r="E115" s="1148"/>
      <c r="F115" s="1276">
        <v>0</v>
      </c>
      <c r="G115" s="1276">
        <f>F115*12/F$13+J115*F115*12/F$13</f>
        <v>0</v>
      </c>
      <c r="H115" s="1276">
        <f t="shared" si="19"/>
        <v>0</v>
      </c>
      <c r="I115" s="4"/>
      <c r="J115" s="1570">
        <v>0.03</v>
      </c>
      <c r="K115" s="1570">
        <f>J115</f>
        <v>0.03</v>
      </c>
      <c r="L115" s="783"/>
      <c r="M115" s="783"/>
      <c r="N115" s="783"/>
      <c r="O115" s="783"/>
      <c r="P115" s="783"/>
      <c r="Q115" s="783"/>
      <c r="R115" s="783"/>
      <c r="S115" s="1558"/>
    </row>
    <row r="116" spans="2:19">
      <c r="B116" s="580" t="s">
        <v>389</v>
      </c>
      <c r="C116" s="1146" t="s">
        <v>620</v>
      </c>
      <c r="D116" s="1147" t="s">
        <v>855</v>
      </c>
      <c r="E116" s="1148"/>
      <c r="F116" s="1276">
        <v>0</v>
      </c>
      <c r="G116" s="1276">
        <f>F116*12/F$13+J116*F116*12/F$13</f>
        <v>0</v>
      </c>
      <c r="H116" s="1276">
        <f t="shared" si="19"/>
        <v>0</v>
      </c>
      <c r="I116" s="4"/>
      <c r="J116" s="1570">
        <v>0.03</v>
      </c>
      <c r="K116" s="1570">
        <f>J116</f>
        <v>0.03</v>
      </c>
      <c r="L116" s="783"/>
      <c r="M116" s="783"/>
      <c r="N116" s="783"/>
      <c r="O116" s="783"/>
      <c r="P116" s="783"/>
      <c r="Q116" s="783"/>
      <c r="R116" s="783"/>
      <c r="S116" s="1558"/>
    </row>
    <row r="117" spans="2:19">
      <c r="B117" s="581"/>
      <c r="C117" s="1146" t="s">
        <v>621</v>
      </c>
      <c r="D117" s="1151" t="s">
        <v>527</v>
      </c>
      <c r="E117" s="1148"/>
      <c r="F117" s="1276">
        <v>0</v>
      </c>
      <c r="G117" s="1276">
        <f t="shared" ref="G117" si="20">F117*12/F$13+J117*F117*12/F$13</f>
        <v>0</v>
      </c>
      <c r="H117" s="1276">
        <f t="shared" si="19"/>
        <v>0</v>
      </c>
      <c r="I117" s="4"/>
      <c r="J117" s="1570">
        <v>0.03</v>
      </c>
      <c r="K117" s="1570">
        <f t="shared" ref="K117" si="21">J117</f>
        <v>0.03</v>
      </c>
      <c r="L117" s="783"/>
      <c r="M117" s="783"/>
      <c r="N117" s="783"/>
      <c r="O117" s="783"/>
      <c r="P117" s="783"/>
      <c r="Q117" s="783"/>
      <c r="R117" s="783"/>
      <c r="S117" s="1558"/>
    </row>
    <row r="118" spans="2:19">
      <c r="B118" s="580" t="s">
        <v>391</v>
      </c>
      <c r="C118" s="1146" t="s">
        <v>622</v>
      </c>
      <c r="D118" s="1756" t="s">
        <v>798</v>
      </c>
      <c r="E118" s="1756"/>
      <c r="F118" s="1276">
        <v>0</v>
      </c>
      <c r="G118" s="1278"/>
      <c r="H118" s="1278"/>
      <c r="I118" s="4"/>
      <c r="J118" s="1567"/>
      <c r="K118" s="1568"/>
      <c r="L118" s="1568"/>
      <c r="M118" s="1568"/>
      <c r="N118" s="1568"/>
      <c r="O118" s="1568"/>
      <c r="P118" s="1568"/>
      <c r="Q118" s="1568"/>
      <c r="R118" s="1568"/>
      <c r="S118" s="1569"/>
    </row>
    <row r="119" spans="2:19" ht="12.9" thickBot="1">
      <c r="C119" s="149" t="s">
        <v>623</v>
      </c>
      <c r="D119" s="308" t="s">
        <v>469</v>
      </c>
      <c r="E119" s="308"/>
      <c r="F119" s="1277">
        <f>-'Rahoitus Y3'!F51</f>
        <v>0</v>
      </c>
      <c r="G119" s="1277">
        <f>-'Rahoitus Y3'!H51</f>
        <v>0</v>
      </c>
      <c r="H119" s="1277">
        <f>-'Rahoitus Y3'!K51</f>
        <v>0</v>
      </c>
      <c r="I119" s="6"/>
      <c r="J119" s="570"/>
      <c r="K119" s="1352"/>
      <c r="L119" s="314"/>
      <c r="M119" s="314"/>
      <c r="N119" s="314"/>
      <c r="O119" s="314"/>
      <c r="P119" s="314"/>
      <c r="Q119" s="314"/>
      <c r="R119" s="314"/>
      <c r="S119" s="314"/>
    </row>
    <row r="120" spans="2:19" ht="12.9" thickBot="1">
      <c r="B120" s="581"/>
      <c r="C120" s="575" t="s">
        <v>624</v>
      </c>
      <c r="D120" s="417" t="s">
        <v>528</v>
      </c>
      <c r="E120" s="417"/>
      <c r="F120" s="1270">
        <f>F26+F28+F29+F36+F41+F47+F61+F69+F74+F79+F88+F89+F95+F98+F102+F106+F111+F114+F115+F116+F83+F59+F119+F117+F118</f>
        <v>0</v>
      </c>
      <c r="G120" s="1270">
        <f>G26+G28+G29+G36+G41+G47+G61+G69+G74+G79+G88+G89+G95+G98+G102+G106+G111+G114+G115+G116+G83+G59+G119+G117+G118</f>
        <v>0</v>
      </c>
      <c r="H120" s="1270">
        <f>H26+H28+H29+H36+H41+H47+H61+H69+H74+H79+H88+H89+H95+H98+H102+H106+H111+H114+H115+H116+H83+H59+H119+H117+H118</f>
        <v>0</v>
      </c>
      <c r="I120" s="18"/>
      <c r="J120" s="350"/>
      <c r="K120" s="314"/>
      <c r="L120" s="314"/>
      <c r="M120" s="314"/>
      <c r="N120" s="314"/>
      <c r="O120" s="314"/>
      <c r="P120" s="314"/>
      <c r="Q120" s="314"/>
      <c r="R120" s="314"/>
      <c r="S120" s="314"/>
    </row>
    <row r="121" spans="2:19" ht="12.9" thickBot="1">
      <c r="B121" s="581"/>
      <c r="C121" s="575" t="s">
        <v>625</v>
      </c>
      <c r="D121" s="417" t="s">
        <v>815</v>
      </c>
      <c r="E121" s="417"/>
      <c r="F121" s="1270">
        <f>F122/F13</f>
        <v>0</v>
      </c>
      <c r="G121" s="1270">
        <f>G122/G13</f>
        <v>0</v>
      </c>
      <c r="H121" s="1270">
        <f>H122/H13</f>
        <v>0</v>
      </c>
      <c r="I121" s="18"/>
      <c r="J121" s="350"/>
      <c r="K121" s="314"/>
      <c r="L121" s="314"/>
      <c r="M121" s="314"/>
      <c r="N121" s="314"/>
      <c r="O121" s="314"/>
      <c r="P121" s="314"/>
      <c r="Q121" s="314"/>
      <c r="R121" s="314"/>
      <c r="S121" s="314"/>
    </row>
    <row r="122" spans="2:19" ht="12.9" thickBot="1">
      <c r="B122" s="582" t="s">
        <v>0</v>
      </c>
      <c r="C122" s="575" t="s">
        <v>626</v>
      </c>
      <c r="D122" s="305" t="s">
        <v>529</v>
      </c>
      <c r="E122" s="305"/>
      <c r="F122" s="1113">
        <f>F120+F23</f>
        <v>0</v>
      </c>
      <c r="G122" s="1113">
        <f>G120+G23</f>
        <v>0</v>
      </c>
      <c r="H122" s="1113">
        <f>H120+H23</f>
        <v>0</v>
      </c>
      <c r="I122" s="6"/>
      <c r="J122" s="350"/>
      <c r="K122" s="314"/>
      <c r="L122" s="314"/>
      <c r="M122" s="314"/>
      <c r="N122" s="314"/>
      <c r="O122" s="314"/>
      <c r="P122" s="314"/>
      <c r="Q122" s="314"/>
      <c r="R122" s="314"/>
      <c r="S122" s="314"/>
    </row>
    <row r="123" spans="2:19" ht="6" customHeight="1">
      <c r="B123" s="582"/>
      <c r="C123" s="149"/>
      <c r="D123" s="308"/>
      <c r="E123" s="308"/>
      <c r="F123" s="667"/>
      <c r="G123" s="667"/>
      <c r="H123" s="667"/>
      <c r="I123" s="6"/>
      <c r="J123" s="350"/>
      <c r="K123" s="314"/>
      <c r="L123" s="314"/>
      <c r="M123" s="314"/>
      <c r="N123" s="314"/>
      <c r="O123" s="314"/>
      <c r="P123" s="314"/>
      <c r="Q123" s="314"/>
      <c r="R123" s="314"/>
      <c r="S123" s="314"/>
    </row>
    <row r="124" spans="2:19">
      <c r="B124" s="581" t="s">
        <v>0</v>
      </c>
      <c r="C124" s="823" t="s">
        <v>627</v>
      </c>
      <c r="D124" s="670" t="s">
        <v>319</v>
      </c>
      <c r="E124" s="1279"/>
      <c r="F124" s="1280">
        <f>'Myynti Y2'!C238-'Myynti Y2'!C239</f>
        <v>0</v>
      </c>
      <c r="G124" s="1280">
        <f>'Myynti Y2'!D238-'Myynti Y2'!D239</f>
        <v>0</v>
      </c>
      <c r="H124" s="1280">
        <f>'Myynti Y2'!E238-'Myynti Y2'!E239</f>
        <v>0</v>
      </c>
      <c r="I124" s="6"/>
      <c r="J124" s="570" t="s">
        <v>0</v>
      </c>
      <c r="K124" s="314"/>
      <c r="L124" s="314"/>
      <c r="M124" s="314"/>
      <c r="N124" s="314"/>
      <c r="O124" s="314"/>
      <c r="P124" s="314"/>
      <c r="Q124" s="314"/>
      <c r="R124" s="314"/>
      <c r="S124" s="314"/>
    </row>
    <row r="125" spans="2:19">
      <c r="B125" s="581"/>
      <c r="C125" s="824" t="s">
        <v>630</v>
      </c>
      <c r="D125" s="1656" t="s">
        <v>320</v>
      </c>
      <c r="E125" s="1657"/>
      <c r="F125" s="1281">
        <f>F124-F122</f>
        <v>0</v>
      </c>
      <c r="G125" s="1281">
        <f>G124-G122</f>
        <v>0</v>
      </c>
      <c r="H125" s="1281">
        <f>H124-H122</f>
        <v>0</v>
      </c>
      <c r="I125" s="45"/>
      <c r="J125" s="416"/>
      <c r="K125" s="314"/>
      <c r="L125" s="314"/>
      <c r="M125" s="314"/>
      <c r="N125" s="314"/>
      <c r="O125" s="314"/>
      <c r="P125" s="314"/>
      <c r="Q125" s="314"/>
      <c r="R125" s="314"/>
      <c r="S125" s="314"/>
    </row>
    <row r="126" spans="2:19">
      <c r="B126" s="583"/>
      <c r="C126" s="825" t="s">
        <v>631</v>
      </c>
      <c r="D126" s="845" t="s">
        <v>321</v>
      </c>
      <c r="E126" s="845"/>
      <c r="F126" s="1282">
        <f>IF(F124=0,0,F125/F124)</f>
        <v>0</v>
      </c>
      <c r="G126" s="1282">
        <f>IF(G124=0,0,G125/G124)</f>
        <v>0</v>
      </c>
      <c r="H126" s="1282">
        <f>IF(H124=0,0,H125/H124)</f>
        <v>0</v>
      </c>
      <c r="I126" s="45"/>
      <c r="J126" s="570"/>
      <c r="K126" s="314"/>
      <c r="L126" s="314"/>
      <c r="M126" s="314"/>
      <c r="N126" s="314"/>
      <c r="O126" s="314"/>
      <c r="P126" s="314"/>
      <c r="Q126" s="314"/>
      <c r="R126" s="314"/>
      <c r="S126" s="314"/>
    </row>
    <row r="127" spans="2:19" ht="6" customHeight="1">
      <c r="B127" s="583"/>
      <c r="C127" s="846"/>
      <c r="D127" s="847"/>
      <c r="E127" s="847"/>
      <c r="F127" s="848"/>
      <c r="G127" s="848"/>
      <c r="H127" s="848"/>
      <c r="I127" s="45"/>
      <c r="J127" s="570"/>
      <c r="K127" s="314"/>
      <c r="L127" s="314"/>
      <c r="M127" s="314"/>
      <c r="N127" s="314"/>
      <c r="O127" s="314"/>
      <c r="P127" s="314"/>
      <c r="Q127" s="314"/>
      <c r="R127" s="314"/>
      <c r="S127" s="314"/>
    </row>
    <row r="128" spans="2:19">
      <c r="B128" s="582"/>
      <c r="C128" s="823" t="s">
        <v>632</v>
      </c>
      <c r="D128" s="670" t="s">
        <v>700</v>
      </c>
      <c r="E128" s="1279"/>
      <c r="F128" s="1283">
        <f>'Myynti Y2'!C238</f>
        <v>0</v>
      </c>
      <c r="G128" s="1283">
        <f>'Myynti Y2'!D238</f>
        <v>0</v>
      </c>
      <c r="H128" s="1093">
        <f>'Myynti Y2'!E238</f>
        <v>0</v>
      </c>
      <c r="I128" s="6"/>
      <c r="J128" s="314"/>
      <c r="K128" s="314"/>
      <c r="L128" s="314"/>
      <c r="M128" s="314"/>
      <c r="N128" s="314"/>
      <c r="O128" s="314"/>
      <c r="P128" s="314"/>
      <c r="Q128" s="314"/>
      <c r="R128" s="314"/>
      <c r="S128" s="314"/>
    </row>
    <row r="129" spans="2:17">
      <c r="B129" s="584"/>
      <c r="C129" s="829" t="s">
        <v>628</v>
      </c>
      <c r="D129" s="303" t="s">
        <v>323</v>
      </c>
      <c r="E129" s="1108"/>
      <c r="F129" s="1284">
        <f>-'Rahoitus Y3'!F42</f>
        <v>0</v>
      </c>
      <c r="G129" s="1284">
        <f>-'Rahoitus Y3'!H42</f>
        <v>0</v>
      </c>
      <c r="H129" s="1094">
        <f>-'Rahoitus Y3'!K42</f>
        <v>0</v>
      </c>
      <c r="I129" s="18"/>
      <c r="J129" s="139"/>
      <c r="K129" s="139"/>
      <c r="L129" s="139"/>
      <c r="M129" s="139"/>
      <c r="N129" s="139"/>
      <c r="O129" s="139"/>
      <c r="P129" s="139"/>
      <c r="Q129" s="139"/>
    </row>
    <row r="130" spans="2:17">
      <c r="B130" s="585"/>
      <c r="C130" s="830" t="s">
        <v>629</v>
      </c>
      <c r="D130" s="668" t="s">
        <v>701</v>
      </c>
      <c r="E130" s="668"/>
      <c r="F130" s="1285">
        <f>F128+F129</f>
        <v>0</v>
      </c>
      <c r="G130" s="1285">
        <f>G128+G129</f>
        <v>0</v>
      </c>
      <c r="H130" s="1095">
        <f>H128+H129</f>
        <v>0</v>
      </c>
      <c r="I130" s="6"/>
      <c r="J130" s="139"/>
      <c r="K130" s="139"/>
      <c r="L130" s="139"/>
      <c r="M130" s="139"/>
      <c r="N130" s="139"/>
      <c r="O130" s="139"/>
      <c r="P130" s="139"/>
      <c r="Q130" s="139"/>
    </row>
    <row r="132" spans="2:17">
      <c r="C132" s="61"/>
      <c r="D132" s="153"/>
    </row>
    <row r="133" spans="2:17">
      <c r="B133" s="312" t="s">
        <v>331</v>
      </c>
      <c r="C133" s="61"/>
      <c r="D133" s="153"/>
      <c r="F133" s="52"/>
      <c r="G133" s="52"/>
      <c r="H133" s="52"/>
    </row>
    <row r="134" spans="2:17">
      <c r="B134" s="100" t="s">
        <v>332</v>
      </c>
      <c r="C134" s="61"/>
      <c r="D134" s="153"/>
    </row>
    <row r="135" spans="2:17">
      <c r="B135" s="100" t="s">
        <v>333</v>
      </c>
      <c r="C135" s="61"/>
      <c r="D135" s="153"/>
    </row>
    <row r="136" spans="2:17">
      <c r="C136" s="61"/>
      <c r="D136" s="9"/>
    </row>
    <row r="137" spans="2:17">
      <c r="D137" s="283"/>
    </row>
    <row r="138" spans="2:17">
      <c r="D138" s="9"/>
    </row>
    <row r="139" spans="2:17">
      <c r="D139" s="9"/>
    </row>
    <row r="140" spans="2:17">
      <c r="D140" s="9"/>
    </row>
    <row r="141" spans="2:17">
      <c r="D141" s="283"/>
    </row>
    <row r="142" spans="2:17">
      <c r="F142" s="52"/>
    </row>
  </sheetData>
  <sheetProtection algorithmName="SHA-512" hashValue="58xqmdjEaVIyUiD74hdC9j/eU81jWlu2uPByiOVGkr5+mUzQvtXBOVbboT/MteYvza7j5TNKLQddzM2JfpxW6Q==" saltValue="X5DTpv5++1TeuN2+hYYcRA==" spinCount="100000" sheet="1" objects="1" scenarios="1"/>
  <mergeCells count="35">
    <mergeCell ref="D46:E46"/>
    <mergeCell ref="C4:H4"/>
    <mergeCell ref="E9:H9"/>
    <mergeCell ref="C11:E12"/>
    <mergeCell ref="J37:K37"/>
    <mergeCell ref="D21:E21"/>
    <mergeCell ref="D22:E22"/>
    <mergeCell ref="D18:E18"/>
    <mergeCell ref="D19:E19"/>
    <mergeCell ref="A11:B12"/>
    <mergeCell ref="J2:K2"/>
    <mergeCell ref="D32:E32"/>
    <mergeCell ref="J10:N10"/>
    <mergeCell ref="N2:O2"/>
    <mergeCell ref="C2:H2"/>
    <mergeCell ref="J11:S11"/>
    <mergeCell ref="C9:D9"/>
    <mergeCell ref="J14:K14"/>
    <mergeCell ref="J30:K30"/>
    <mergeCell ref="D118:E118"/>
    <mergeCell ref="A2:B2"/>
    <mergeCell ref="A4:B4"/>
    <mergeCell ref="D27:E27"/>
    <mergeCell ref="D125:E125"/>
    <mergeCell ref="D15:E15"/>
    <mergeCell ref="D20:E20"/>
    <mergeCell ref="D26:E26"/>
    <mergeCell ref="D58:E58"/>
    <mergeCell ref="D79:E79"/>
    <mergeCell ref="D61:E61"/>
    <mergeCell ref="C13:E13"/>
    <mergeCell ref="D40:E40"/>
    <mergeCell ref="D56:E56"/>
    <mergeCell ref="D16:E16"/>
    <mergeCell ref="D17:E17"/>
  </mergeCells>
  <hyperlinks>
    <hyperlink ref="D28" location="'Palkat '!A1" display=" TyEL-työntekijöiden ja TyEL-yrittäjien rahapalkat tilikaudella" xr:uid="{00000000-0004-0000-0900-000000000000}"/>
  </hyperlinks>
  <printOptions horizontalCentered="1"/>
  <pageMargins left="0.23622047244094491" right="0.23622047244094491" top="0.74803149606299213" bottom="0.74803149606299213" header="0.31496062992125984" footer="0.31496062992125984"/>
  <pageSetup paperSize="9" scale="85" orientation="portrait" r:id="rId1"/>
  <headerFooter>
    <oddFooter xml:space="preserve">&amp;C&amp;8YT5 ALOITTAVAN YRITYKSEN TALOUSSUUNNITELMA&amp;10
</oddFooter>
  </headerFooter>
  <rowBreaks count="1" manualBreakCount="1">
    <brk id="68" min="2" max="18" man="1"/>
  </rowBreaks>
  <colBreaks count="1" manualBreakCount="1">
    <brk id="8" min="3" max="127"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ul11">
    <tabColor theme="3" tint="0.79998168889431442"/>
  </sheetPr>
  <dimension ref="A1:W244"/>
  <sheetViews>
    <sheetView showGridLines="0" showZeros="0" workbookViewId="0">
      <selection activeCell="B15" sqref="B15"/>
    </sheetView>
  </sheetViews>
  <sheetFormatPr defaultRowHeight="12.45"/>
  <cols>
    <col min="1" max="1" width="5.84375" customWidth="1"/>
    <col min="2" max="2" width="29.84375" customWidth="1"/>
    <col min="3" max="5" width="11.84375" customWidth="1"/>
    <col min="6" max="6" width="1.3046875" style="250" customWidth="1"/>
    <col min="7" max="8" width="5.84375" customWidth="1"/>
    <col min="9" max="9" width="23.07421875" customWidth="1"/>
    <col min="10" max="10" width="2.84375" customWidth="1"/>
    <col min="12" max="12" width="10.53515625" customWidth="1"/>
    <col min="13" max="13" width="11" customWidth="1"/>
    <col min="20" max="20" width="10.3046875" customWidth="1"/>
    <col min="23" max="23" width="5.3046875" customWidth="1"/>
  </cols>
  <sheetData>
    <row r="1" spans="1:23">
      <c r="B1" s="1695"/>
      <c r="C1" s="1695"/>
      <c r="D1" s="1695"/>
      <c r="E1" s="1695"/>
      <c r="F1" s="1695"/>
      <c r="G1" s="1695"/>
      <c r="H1" s="1695"/>
      <c r="I1" s="42"/>
    </row>
    <row r="2" spans="1:23" ht="15" customHeight="1">
      <c r="B2" s="1857" t="s">
        <v>358</v>
      </c>
      <c r="C2" s="1868"/>
      <c r="D2" s="1868"/>
      <c r="E2" s="1868"/>
      <c r="F2" s="1868"/>
      <c r="G2" s="1868"/>
      <c r="H2" s="1868"/>
      <c r="I2" s="1868"/>
      <c r="J2" s="363"/>
      <c r="K2" s="363"/>
      <c r="L2" s="363"/>
      <c r="M2" s="20"/>
      <c r="N2" s="20"/>
      <c r="O2" s="20"/>
      <c r="P2" s="20"/>
      <c r="Q2" s="20"/>
      <c r="R2" s="20"/>
      <c r="S2" s="20"/>
      <c r="T2" s="20"/>
      <c r="U2" s="20"/>
      <c r="V2" s="20"/>
      <c r="W2" s="20"/>
    </row>
    <row r="3" spans="1:23" ht="15" customHeight="1">
      <c r="K3" s="1694" t="s">
        <v>348</v>
      </c>
      <c r="L3" s="1694"/>
      <c r="N3" s="1680"/>
      <c r="O3" s="1680"/>
      <c r="P3" s="20"/>
      <c r="Q3" s="20"/>
      <c r="R3" s="20"/>
      <c r="S3" s="20"/>
      <c r="T3" s="20"/>
      <c r="U3" s="20"/>
      <c r="V3" s="20"/>
      <c r="W3" s="20"/>
    </row>
    <row r="4" spans="1:23" ht="15" customHeight="1">
      <c r="B4" s="1683"/>
      <c r="C4" s="1683"/>
      <c r="D4" s="1683"/>
      <c r="E4" s="1683"/>
      <c r="F4" s="1683"/>
      <c r="G4" s="1683"/>
      <c r="H4" s="1683"/>
      <c r="I4" s="1683"/>
      <c r="M4" s="20"/>
      <c r="N4" s="20"/>
      <c r="O4" s="20"/>
      <c r="P4" s="20"/>
      <c r="Q4" s="20"/>
      <c r="R4" s="20"/>
      <c r="S4" s="20"/>
      <c r="T4" s="20"/>
      <c r="U4" s="20"/>
      <c r="V4" s="20"/>
      <c r="W4" s="20"/>
    </row>
    <row r="5" spans="1:23" ht="15" customHeight="1">
      <c r="B5" s="99" t="str">
        <f>'Kustannukset K1'!C5</f>
        <v>Yritystulkin tarjoavat</v>
      </c>
      <c r="F5" s="421"/>
      <c r="G5" s="13"/>
      <c r="J5" s="77"/>
      <c r="K5" s="675"/>
      <c r="L5" s="675"/>
      <c r="M5" s="675"/>
      <c r="N5" s="20"/>
      <c r="O5" s="20"/>
      <c r="P5" s="20"/>
      <c r="Q5" s="20"/>
      <c r="R5" s="20"/>
      <c r="S5" s="20"/>
      <c r="T5" s="20"/>
      <c r="U5" s="20"/>
      <c r="V5" s="20"/>
      <c r="W5" s="20"/>
    </row>
    <row r="6" spans="1:23" ht="12" customHeight="1">
      <c r="B6" s="437" t="str">
        <f>Aloitussivu!J34</f>
        <v>Iisalmi, Lapinlahti, Sonkajärvi, Vieremä</v>
      </c>
      <c r="C6" s="437"/>
      <c r="D6" s="437"/>
      <c r="E6" s="437"/>
      <c r="F6" s="421"/>
      <c r="G6" s="13"/>
      <c r="J6" s="77"/>
      <c r="K6" s="355"/>
      <c r="L6" s="356"/>
      <c r="M6" s="356"/>
      <c r="N6" s="20"/>
      <c r="O6" s="20"/>
      <c r="P6" s="20"/>
      <c r="Q6" s="20"/>
      <c r="R6" s="20"/>
      <c r="S6" s="20"/>
      <c r="T6" s="20"/>
      <c r="U6" s="20"/>
      <c r="V6" s="20"/>
      <c r="W6" s="20"/>
    </row>
    <row r="7" spans="1:23" ht="12" customHeight="1">
      <c r="B7" s="423"/>
      <c r="C7" s="423"/>
      <c r="D7" s="423"/>
      <c r="E7" s="423"/>
      <c r="F7" s="421"/>
      <c r="G7" s="13"/>
      <c r="J7" s="77"/>
      <c r="K7" s="355"/>
      <c r="L7" s="356"/>
      <c r="M7" s="356"/>
      <c r="N7" s="20"/>
      <c r="O7" s="20"/>
      <c r="P7" s="20"/>
      <c r="Q7" s="20"/>
      <c r="R7" s="20"/>
      <c r="S7" s="20"/>
      <c r="T7" s="20"/>
      <c r="U7" s="20"/>
      <c r="V7" s="20"/>
      <c r="W7" s="20"/>
    </row>
    <row r="8" spans="1:23" ht="12" customHeight="1">
      <c r="B8" s="414" t="s">
        <v>22</v>
      </c>
      <c r="C8" s="1687"/>
      <c r="D8" s="1867"/>
      <c r="E8" s="1867"/>
      <c r="F8" s="251" t="s">
        <v>0</v>
      </c>
      <c r="G8" s="41"/>
      <c r="H8" s="43"/>
      <c r="I8" s="47"/>
      <c r="J8" s="77"/>
      <c r="K8" s="355"/>
      <c r="L8" s="356"/>
      <c r="M8" s="356"/>
      <c r="N8" s="20"/>
      <c r="O8" s="20"/>
      <c r="P8" s="20"/>
      <c r="Q8" s="20"/>
      <c r="R8" s="20"/>
      <c r="S8" s="20"/>
      <c r="T8" s="20"/>
      <c r="U8" s="20"/>
      <c r="V8" s="20"/>
      <c r="W8" s="20"/>
    </row>
    <row r="9" spans="1:23" ht="13.5" customHeight="1">
      <c r="B9" s="257">
        <f>'Kustannukset Y1'!C9</f>
        <v>0</v>
      </c>
      <c r="C9" s="2"/>
      <c r="D9" s="1"/>
      <c r="E9" s="1"/>
      <c r="F9" s="1691" t="s">
        <v>0</v>
      </c>
      <c r="G9" s="1691"/>
      <c r="H9" s="1691"/>
      <c r="I9" s="1691"/>
      <c r="K9" s="154"/>
      <c r="L9" s="154"/>
      <c r="M9" s="154"/>
      <c r="N9" s="20"/>
      <c r="O9" s="20"/>
      <c r="P9" s="20"/>
      <c r="Q9" s="20"/>
      <c r="R9" s="20"/>
      <c r="S9" s="20"/>
      <c r="T9" s="20"/>
      <c r="U9" s="20"/>
      <c r="V9" s="20"/>
      <c r="W9" s="20"/>
    </row>
    <row r="10" spans="1:23" ht="12.75" customHeight="1">
      <c r="B10" s="1"/>
      <c r="C10" s="1"/>
      <c r="D10" s="1"/>
      <c r="E10" s="1"/>
      <c r="F10" s="252"/>
      <c r="G10" s="36"/>
      <c r="H10" s="39"/>
      <c r="I10" s="39"/>
      <c r="K10" s="154"/>
      <c r="L10" s="154"/>
      <c r="M10" s="154"/>
      <c r="N10" s="20"/>
      <c r="O10" s="20"/>
      <c r="P10" s="20"/>
      <c r="Q10" s="20"/>
      <c r="R10" s="20"/>
      <c r="S10" s="20"/>
      <c r="T10" s="20"/>
      <c r="U10" s="20"/>
      <c r="V10" s="20"/>
      <c r="W10" s="20"/>
    </row>
    <row r="11" spans="1:23">
      <c r="B11" s="1692">
        <f>IF(C13=12,0,"HUOMIOI TILIKAUDEN PITUUS!")</f>
        <v>0</v>
      </c>
      <c r="C11" s="802" t="s">
        <v>400</v>
      </c>
      <c r="D11" s="802" t="s">
        <v>401</v>
      </c>
      <c r="E11" s="802" t="s">
        <v>454</v>
      </c>
      <c r="K11" s="154"/>
      <c r="L11" s="154"/>
      <c r="M11" s="154"/>
      <c r="N11" s="902"/>
      <c r="O11" s="20"/>
      <c r="P11" s="20"/>
      <c r="Q11" s="20"/>
      <c r="R11" s="20"/>
      <c r="S11" s="20"/>
      <c r="T11" s="20"/>
      <c r="U11" s="20"/>
      <c r="V11" s="20"/>
      <c r="W11" s="20"/>
    </row>
    <row r="12" spans="1:23" ht="12" customHeight="1">
      <c r="B12" s="1692"/>
      <c r="C12" s="803">
        <f>'Kustannukset Y1'!F12</f>
        <v>2025</v>
      </c>
      <c r="D12" s="803">
        <f>'Kustannukset Y1'!G12</f>
        <v>2026</v>
      </c>
      <c r="E12" s="803">
        <f>'Kustannukset Y1'!H12</f>
        <v>2027</v>
      </c>
      <c r="K12" s="154"/>
      <c r="L12" s="154"/>
      <c r="M12" s="154"/>
      <c r="N12" s="24"/>
      <c r="O12" s="20"/>
      <c r="P12" s="20"/>
      <c r="Q12" s="20"/>
      <c r="R12" s="20"/>
      <c r="S12" s="20"/>
      <c r="T12" s="20"/>
      <c r="U12" s="20"/>
      <c r="V12" s="20"/>
      <c r="W12" s="20"/>
    </row>
    <row r="13" spans="1:23">
      <c r="B13" s="804" t="s">
        <v>560</v>
      </c>
      <c r="C13" s="801">
        <f>'Kustannukset Y1'!F13</f>
        <v>12</v>
      </c>
      <c r="D13" s="801">
        <f>'Kustannukset Y1'!G13</f>
        <v>12</v>
      </c>
      <c r="E13" s="801">
        <f>'Kustannukset Y1'!H13</f>
        <v>12</v>
      </c>
      <c r="F13"/>
      <c r="L13" s="1680"/>
      <c r="M13" s="1680"/>
      <c r="N13" s="1680"/>
      <c r="O13" s="1680"/>
      <c r="P13" s="1680"/>
      <c r="Q13" s="1680"/>
      <c r="R13" s="1680"/>
    </row>
    <row r="14" spans="1:23" ht="4.5" customHeight="1">
      <c r="B14" s="15"/>
      <c r="C14" s="98"/>
      <c r="D14" s="98"/>
      <c r="E14" s="98"/>
      <c r="J14" s="38"/>
      <c r="L14" s="76"/>
      <c r="M14" s="76"/>
      <c r="N14" s="24"/>
      <c r="O14" s="20"/>
      <c r="P14" s="20"/>
      <c r="Q14" s="20"/>
      <c r="R14" s="20"/>
      <c r="S14" s="20"/>
      <c r="T14" s="20"/>
      <c r="U14" s="20"/>
      <c r="V14" s="20"/>
      <c r="W14" s="20"/>
    </row>
    <row r="15" spans="1:23" ht="12" customHeight="1">
      <c r="B15" s="945" t="s">
        <v>774</v>
      </c>
      <c r="C15" s="933">
        <v>0.24</v>
      </c>
      <c r="D15" s="933">
        <f>C15</f>
        <v>0.24</v>
      </c>
      <c r="E15" s="933">
        <f>D15</f>
        <v>0.24</v>
      </c>
      <c r="F15" s="798"/>
      <c r="G15" s="1866" t="s">
        <v>552</v>
      </c>
      <c r="H15" s="1866"/>
      <c r="I15" s="805"/>
      <c r="J15" s="22"/>
      <c r="K15" s="1439" t="s">
        <v>773</v>
      </c>
      <c r="L15" s="1440"/>
      <c r="M15" s="1441"/>
      <c r="N15" s="1442"/>
      <c r="O15" s="1442"/>
      <c r="P15" s="1442"/>
      <c r="Q15" s="1442"/>
      <c r="R15" s="1442"/>
      <c r="S15" s="1442"/>
      <c r="T15" s="1443"/>
      <c r="U15" s="20"/>
      <c r="V15" s="20"/>
      <c r="W15" s="20"/>
    </row>
    <row r="16" spans="1:23" ht="12" customHeight="1">
      <c r="A16" s="154"/>
      <c r="B16" s="601" t="s">
        <v>160</v>
      </c>
      <c r="C16" s="734">
        <f>C17*C18</f>
        <v>0</v>
      </c>
      <c r="D16" s="734">
        <f>D17*D18</f>
        <v>0</v>
      </c>
      <c r="E16" s="742">
        <f>E17*E18</f>
        <v>0</v>
      </c>
      <c r="F16" s="806"/>
      <c r="G16" s="656">
        <f>D12</f>
        <v>2026</v>
      </c>
      <c r="H16" s="656">
        <f>E12</f>
        <v>2027</v>
      </c>
      <c r="I16" s="807"/>
      <c r="J16" s="22"/>
      <c r="K16" s="1444"/>
      <c r="L16" s="76"/>
      <c r="M16" s="83"/>
      <c r="N16" s="1445"/>
      <c r="O16" s="1445"/>
      <c r="P16" s="1445"/>
      <c r="Q16" s="1445"/>
      <c r="R16" s="1445"/>
      <c r="S16" s="1445"/>
      <c r="T16" s="1446"/>
      <c r="U16" s="20"/>
      <c r="V16" s="20"/>
      <c r="W16" s="20"/>
    </row>
    <row r="17" spans="1:23" ht="12" customHeight="1">
      <c r="B17" s="593" t="s">
        <v>315</v>
      </c>
      <c r="C17" s="792">
        <v>0</v>
      </c>
      <c r="D17" s="792">
        <f>C17*(1+G17)</f>
        <v>0</v>
      </c>
      <c r="E17" s="793">
        <f>D17*(1+H17)</f>
        <v>0</v>
      </c>
      <c r="F17" s="808"/>
      <c r="G17" s="933">
        <v>0.03</v>
      </c>
      <c r="H17" s="933">
        <f>G17</f>
        <v>0.03</v>
      </c>
      <c r="I17" s="809" t="s">
        <v>555</v>
      </c>
      <c r="J17" s="22"/>
      <c r="K17" s="1424"/>
      <c r="L17" s="675"/>
      <c r="M17" s="675"/>
      <c r="N17" s="750"/>
      <c r="O17" s="750"/>
      <c r="P17" s="1043" t="s">
        <v>772</v>
      </c>
      <c r="Q17" s="345"/>
      <c r="R17" s="750"/>
      <c r="S17" s="750"/>
      <c r="T17" s="1447"/>
      <c r="U17" s="20"/>
      <c r="V17" s="20"/>
      <c r="W17" s="20"/>
    </row>
    <row r="18" spans="1:23" ht="12" customHeight="1">
      <c r="A18" s="581"/>
      <c r="B18" s="796" t="s">
        <v>645</v>
      </c>
      <c r="C18" s="794">
        <v>1</v>
      </c>
      <c r="D18" s="794">
        <f>C18*12/C$13+G18*C18*12/C$13</f>
        <v>1</v>
      </c>
      <c r="E18" s="795">
        <f>D18*(1+H18)</f>
        <v>1</v>
      </c>
      <c r="F18" s="808"/>
      <c r="G18" s="933">
        <v>0</v>
      </c>
      <c r="H18" s="933">
        <f>G18</f>
        <v>0</v>
      </c>
      <c r="I18" s="809" t="s">
        <v>556</v>
      </c>
      <c r="J18" s="22"/>
      <c r="K18" s="1448"/>
      <c r="L18" s="1421"/>
      <c r="M18" s="1421"/>
      <c r="N18" s="1421"/>
      <c r="O18" s="1421"/>
      <c r="P18" s="1421"/>
      <c r="Q18" s="1421"/>
      <c r="R18" s="1421"/>
      <c r="S18" s="1421"/>
      <c r="T18" s="1449"/>
      <c r="U18" s="20"/>
      <c r="V18" s="20"/>
      <c r="W18" s="20"/>
    </row>
    <row r="19" spans="1:23" ht="6" customHeight="1">
      <c r="A19" s="2"/>
      <c r="B19" s="931"/>
      <c r="C19" s="932"/>
      <c r="D19" s="733"/>
      <c r="E19" s="733"/>
      <c r="F19" s="320"/>
      <c r="G19" s="657"/>
      <c r="H19" s="657"/>
      <c r="I19" s="809"/>
      <c r="J19" s="22"/>
      <c r="K19" s="1450"/>
      <c r="L19" s="1451"/>
      <c r="M19" s="1451"/>
      <c r="N19" s="1451"/>
      <c r="O19" s="1451"/>
      <c r="P19" s="1451"/>
      <c r="Q19" s="1451"/>
      <c r="R19" s="1451"/>
      <c r="S19" s="1451"/>
      <c r="T19" s="1452"/>
      <c r="U19" s="20"/>
      <c r="V19" s="20"/>
      <c r="W19" s="20"/>
    </row>
    <row r="20" spans="1:23" ht="12" customHeight="1">
      <c r="A20" s="154"/>
      <c r="B20" s="945">
        <v>0</v>
      </c>
      <c r="C20" s="933">
        <v>0.24</v>
      </c>
      <c r="D20" s="933">
        <f>C20</f>
        <v>0.24</v>
      </c>
      <c r="E20" s="933">
        <f>D20</f>
        <v>0.24</v>
      </c>
      <c r="F20" s="810"/>
      <c r="G20" s="658"/>
      <c r="H20" s="658"/>
      <c r="I20" s="811"/>
      <c r="J20" s="22"/>
      <c r="K20" s="1448"/>
      <c r="L20" s="1421"/>
      <c r="M20" s="1421"/>
      <c r="N20" s="1421"/>
      <c r="O20" s="1421"/>
      <c r="P20" s="1421"/>
      <c r="Q20" s="1421"/>
      <c r="R20" s="1421"/>
      <c r="S20" s="1421"/>
      <c r="T20" s="1449"/>
      <c r="U20" s="20"/>
      <c r="V20" s="20"/>
      <c r="W20" s="20"/>
    </row>
    <row r="21" spans="1:23" ht="12" customHeight="1">
      <c r="B21" s="602" t="s">
        <v>160</v>
      </c>
      <c r="C21" s="734">
        <f>C22*C23</f>
        <v>0</v>
      </c>
      <c r="D21" s="734">
        <f>D22*D23</f>
        <v>0</v>
      </c>
      <c r="E21" s="742">
        <f>E22*E23</f>
        <v>0</v>
      </c>
      <c r="F21" s="812"/>
      <c r="G21" s="1576"/>
      <c r="H21" s="1576"/>
      <c r="I21" s="813"/>
      <c r="J21" s="22"/>
      <c r="K21" s="1448"/>
      <c r="L21" s="1421"/>
      <c r="M21" s="1421"/>
      <c r="N21" s="1421"/>
      <c r="O21" s="1421"/>
      <c r="P21" s="1421"/>
      <c r="Q21" s="1421"/>
      <c r="R21" s="1421"/>
      <c r="S21" s="1421"/>
      <c r="T21" s="1449"/>
      <c r="U21" s="20"/>
      <c r="V21" s="20"/>
      <c r="W21" s="20"/>
    </row>
    <row r="22" spans="1:23" ht="12" customHeight="1">
      <c r="A22" s="154"/>
      <c r="B22" s="603" t="s">
        <v>315</v>
      </c>
      <c r="C22" s="792">
        <v>0</v>
      </c>
      <c r="D22" s="792">
        <f>C22*(1+G22)</f>
        <v>0</v>
      </c>
      <c r="E22" s="793">
        <f>D22*(1+H22)</f>
        <v>0</v>
      </c>
      <c r="F22" s="808"/>
      <c r="G22" s="933">
        <v>0.03</v>
      </c>
      <c r="H22" s="933">
        <f>G22</f>
        <v>0.03</v>
      </c>
      <c r="I22" s="809" t="s">
        <v>555</v>
      </c>
      <c r="J22" s="26"/>
      <c r="K22" s="678"/>
      <c r="L22" s="783"/>
      <c r="M22" s="783"/>
      <c r="N22" s="783"/>
      <c r="O22" s="783"/>
      <c r="P22" s="1421"/>
      <c r="Q22" s="1421"/>
      <c r="R22" s="1421"/>
      <c r="S22" s="1421"/>
      <c r="T22" s="1449"/>
      <c r="U22" s="20"/>
      <c r="V22" s="20"/>
      <c r="W22" s="20"/>
    </row>
    <row r="23" spans="1:23" ht="12" customHeight="1">
      <c r="A23" s="2"/>
      <c r="B23" s="797" t="s">
        <v>645</v>
      </c>
      <c r="C23" s="794">
        <v>0</v>
      </c>
      <c r="D23" s="794">
        <f>C23*12/C$13+G23*C23*12/C$13</f>
        <v>0</v>
      </c>
      <c r="E23" s="795">
        <f>D23*(1+H23)</f>
        <v>0</v>
      </c>
      <c r="F23" s="808"/>
      <c r="G23" s="933">
        <v>0</v>
      </c>
      <c r="H23" s="933">
        <f>G23</f>
        <v>0</v>
      </c>
      <c r="I23" s="809" t="s">
        <v>556</v>
      </c>
      <c r="J23" s="32"/>
      <c r="K23" s="678"/>
      <c r="L23" s="783"/>
      <c r="M23" s="783"/>
      <c r="N23" s="783"/>
      <c r="O23" s="783"/>
      <c r="P23" s="1421"/>
      <c r="Q23" s="1421"/>
      <c r="R23" s="1421"/>
      <c r="S23" s="1421"/>
      <c r="T23" s="1449"/>
      <c r="U23" s="20"/>
      <c r="V23" s="20"/>
      <c r="W23" s="20"/>
    </row>
    <row r="24" spans="1:23" ht="6" customHeight="1">
      <c r="A24" s="154"/>
      <c r="B24" s="931"/>
      <c r="C24" s="932"/>
      <c r="D24" s="733"/>
      <c r="E24" s="733"/>
      <c r="F24" s="320"/>
      <c r="G24" s="657"/>
      <c r="H24" s="657"/>
      <c r="I24" s="809"/>
      <c r="J24" s="32"/>
      <c r="K24" s="1388"/>
      <c r="L24" s="1389"/>
      <c r="M24" s="1389"/>
      <c r="N24" s="1389"/>
      <c r="O24" s="1389"/>
      <c r="P24" s="1451"/>
      <c r="Q24" s="1451"/>
      <c r="R24" s="1451"/>
      <c r="S24" s="1451"/>
      <c r="T24" s="1452"/>
      <c r="U24" s="20"/>
      <c r="V24" s="20"/>
      <c r="W24" s="20"/>
    </row>
    <row r="25" spans="1:23" ht="12" customHeight="1">
      <c r="A25" s="154"/>
      <c r="B25" s="945">
        <v>0</v>
      </c>
      <c r="C25" s="933">
        <v>0.24</v>
      </c>
      <c r="D25" s="933">
        <f>C25</f>
        <v>0.24</v>
      </c>
      <c r="E25" s="933">
        <f>D25</f>
        <v>0.24</v>
      </c>
      <c r="F25" s="810" t="s">
        <v>0</v>
      </c>
      <c r="G25" s="658"/>
      <c r="H25" s="658"/>
      <c r="I25" s="811"/>
      <c r="J25" s="32"/>
      <c r="K25" s="678"/>
      <c r="L25" s="783"/>
      <c r="M25" s="783"/>
      <c r="N25" s="783"/>
      <c r="O25" s="783"/>
      <c r="P25" s="1421"/>
      <c r="Q25" s="1421"/>
      <c r="R25" s="1421"/>
      <c r="S25" s="1421"/>
      <c r="T25" s="1449"/>
      <c r="U25" s="20"/>
      <c r="V25" s="20"/>
      <c r="W25" s="20"/>
    </row>
    <row r="26" spans="1:23" ht="12" customHeight="1">
      <c r="B26" s="604" t="s">
        <v>160</v>
      </c>
      <c r="C26" s="734">
        <f>C27*C28</f>
        <v>0</v>
      </c>
      <c r="D26" s="734">
        <f>D27*D28</f>
        <v>0</v>
      </c>
      <c r="E26" s="742">
        <f>E27*E28</f>
        <v>0</v>
      </c>
      <c r="F26" s="806"/>
      <c r="G26" s="1576"/>
      <c r="H26" s="1577"/>
      <c r="I26" s="813"/>
      <c r="K26" s="678"/>
      <c r="L26" s="783"/>
      <c r="M26" s="783"/>
      <c r="N26" s="783">
        <v>0</v>
      </c>
      <c r="O26" s="783"/>
      <c r="P26" s="1421"/>
      <c r="Q26" s="1421"/>
      <c r="R26" s="1421"/>
      <c r="S26" s="1421"/>
      <c r="T26" s="1449"/>
      <c r="U26" s="20"/>
      <c r="V26" s="20"/>
      <c r="W26" s="20"/>
    </row>
    <row r="27" spans="1:23" ht="12" customHeight="1">
      <c r="A27" s="154"/>
      <c r="B27" s="603" t="s">
        <v>315</v>
      </c>
      <c r="C27" s="792">
        <v>0</v>
      </c>
      <c r="D27" s="792">
        <f>C27*(1+G27)</f>
        <v>0</v>
      </c>
      <c r="E27" s="793">
        <f>D27*(1+H27)</f>
        <v>0</v>
      </c>
      <c r="F27" s="808"/>
      <c r="G27" s="933">
        <v>0.03</v>
      </c>
      <c r="H27" s="933">
        <f>G27</f>
        <v>0.03</v>
      </c>
      <c r="I27" s="809" t="s">
        <v>555</v>
      </c>
      <c r="K27" s="678"/>
      <c r="L27" s="783"/>
      <c r="M27" s="783"/>
      <c r="N27" s="783"/>
      <c r="O27" s="783"/>
      <c r="P27" s="1421"/>
      <c r="Q27" s="1421"/>
      <c r="R27" s="1421"/>
      <c r="S27" s="1421"/>
      <c r="T27" s="1449"/>
      <c r="U27" s="20"/>
      <c r="V27" s="20"/>
      <c r="W27" s="20"/>
    </row>
    <row r="28" spans="1:23" ht="12" customHeight="1">
      <c r="A28" s="2"/>
      <c r="B28" s="797" t="s">
        <v>645</v>
      </c>
      <c r="C28" s="794">
        <v>0</v>
      </c>
      <c r="D28" s="794">
        <f>C28*12/C$13+G28*C28*12/C$13</f>
        <v>0</v>
      </c>
      <c r="E28" s="795">
        <f>D28*(1+H28)</f>
        <v>0</v>
      </c>
      <c r="F28" s="808"/>
      <c r="G28" s="933">
        <v>0</v>
      </c>
      <c r="H28" s="933">
        <f>G28</f>
        <v>0</v>
      </c>
      <c r="I28" s="809" t="s">
        <v>556</v>
      </c>
      <c r="K28" s="678"/>
      <c r="L28" s="783"/>
      <c r="M28" s="783"/>
      <c r="N28" s="783"/>
      <c r="O28" s="783"/>
      <c r="P28" s="1421"/>
      <c r="Q28" s="1421"/>
      <c r="R28" s="1421"/>
      <c r="S28" s="1421"/>
      <c r="T28" s="1449"/>
      <c r="U28" s="20"/>
      <c r="V28" s="20"/>
      <c r="W28" s="20"/>
    </row>
    <row r="29" spans="1:23" ht="6" customHeight="1">
      <c r="A29" s="2"/>
      <c r="B29" s="931"/>
      <c r="C29" s="932"/>
      <c r="D29" s="733"/>
      <c r="E29" s="733"/>
      <c r="F29" s="320"/>
      <c r="G29" s="657"/>
      <c r="H29" s="657"/>
      <c r="I29" s="809"/>
      <c r="K29" s="1388"/>
      <c r="L29" s="1389"/>
      <c r="M29" s="1389"/>
      <c r="N29" s="1389"/>
      <c r="O29" s="1389"/>
      <c r="P29" s="1451"/>
      <c r="Q29" s="1451"/>
      <c r="R29" s="1451"/>
      <c r="S29" s="1451"/>
      <c r="T29" s="1452"/>
      <c r="U29" s="20"/>
      <c r="V29" s="20"/>
      <c r="W29" s="20"/>
    </row>
    <row r="30" spans="1:23" ht="12" customHeight="1">
      <c r="A30" s="154"/>
      <c r="B30" s="945">
        <v>0</v>
      </c>
      <c r="C30" s="933">
        <v>0.24</v>
      </c>
      <c r="D30" s="933">
        <f>C30</f>
        <v>0.24</v>
      </c>
      <c r="E30" s="933">
        <f>D30</f>
        <v>0.24</v>
      </c>
      <c r="F30" s="810"/>
      <c r="G30" s="658"/>
      <c r="H30" s="658"/>
      <c r="I30" s="811"/>
      <c r="K30" s="678"/>
      <c r="L30" s="783"/>
      <c r="M30" s="783"/>
      <c r="N30" s="783"/>
      <c r="O30" s="783"/>
      <c r="P30" s="1421"/>
      <c r="Q30" s="1421"/>
      <c r="R30" s="1421"/>
      <c r="S30" s="1421"/>
      <c r="T30" s="1449"/>
      <c r="U30" s="20"/>
      <c r="V30" s="20"/>
      <c r="W30" s="20"/>
    </row>
    <row r="31" spans="1:23" ht="12" customHeight="1">
      <c r="B31" s="604" t="s">
        <v>160</v>
      </c>
      <c r="C31" s="734">
        <f>C32*C33</f>
        <v>0</v>
      </c>
      <c r="D31" s="734">
        <f>D32*D33</f>
        <v>0</v>
      </c>
      <c r="E31" s="742">
        <f>E32*E33</f>
        <v>0</v>
      </c>
      <c r="F31" s="806"/>
      <c r="G31" s="1576"/>
      <c r="H31" s="1577"/>
      <c r="I31" s="811" t="s">
        <v>0</v>
      </c>
      <c r="K31" s="678"/>
      <c r="L31" s="783"/>
      <c r="M31" s="783"/>
      <c r="N31" s="783"/>
      <c r="O31" s="783"/>
      <c r="P31" s="1421"/>
      <c r="Q31" s="1421"/>
      <c r="R31" s="1421"/>
      <c r="S31" s="1421"/>
      <c r="T31" s="1449"/>
      <c r="U31" s="20"/>
      <c r="V31" s="20"/>
      <c r="W31" s="20"/>
    </row>
    <row r="32" spans="1:23" ht="12" customHeight="1">
      <c r="A32" s="154"/>
      <c r="B32" s="603" t="s">
        <v>315</v>
      </c>
      <c r="C32" s="792">
        <v>0</v>
      </c>
      <c r="D32" s="792">
        <f>C32*(1+G32)</f>
        <v>0</v>
      </c>
      <c r="E32" s="793">
        <f>D32*(1+H32)</f>
        <v>0</v>
      </c>
      <c r="F32" s="808"/>
      <c r="G32" s="933">
        <v>0.03</v>
      </c>
      <c r="H32" s="933">
        <f>G32</f>
        <v>0.03</v>
      </c>
      <c r="I32" s="811" t="s">
        <v>555</v>
      </c>
      <c r="K32" s="678"/>
      <c r="L32" s="783"/>
      <c r="M32" s="783"/>
      <c r="N32" s="783"/>
      <c r="O32" s="783"/>
      <c r="P32" s="1421"/>
      <c r="Q32" s="1421"/>
      <c r="R32" s="1421"/>
      <c r="S32" s="1421"/>
      <c r="T32" s="1449"/>
      <c r="U32" s="20"/>
      <c r="V32" s="20"/>
      <c r="W32" s="20"/>
    </row>
    <row r="33" spans="1:23" ht="12" customHeight="1">
      <c r="A33" s="2"/>
      <c r="B33" s="797" t="s">
        <v>645</v>
      </c>
      <c r="C33" s="794">
        <v>0</v>
      </c>
      <c r="D33" s="794">
        <f>C33*12/C$13+G33*C33*12/C$13</f>
        <v>0</v>
      </c>
      <c r="E33" s="795">
        <f>D33*(1+H33)</f>
        <v>0</v>
      </c>
      <c r="F33" s="808"/>
      <c r="G33" s="933">
        <v>0</v>
      </c>
      <c r="H33" s="933">
        <f>G33</f>
        <v>0</v>
      </c>
      <c r="I33" s="814" t="s">
        <v>556</v>
      </c>
      <c r="K33" s="678"/>
      <c r="L33" s="783"/>
      <c r="M33" s="783"/>
      <c r="N33" s="783"/>
      <c r="O33" s="783"/>
      <c r="P33" s="1421"/>
      <c r="Q33" s="1421"/>
      <c r="R33" s="1421"/>
      <c r="S33" s="1421"/>
      <c r="T33" s="1449"/>
      <c r="U33" s="20"/>
      <c r="V33" s="20"/>
      <c r="W33" s="20"/>
    </row>
    <row r="34" spans="1:23" ht="6" customHeight="1">
      <c r="B34" s="931"/>
      <c r="C34" s="932"/>
      <c r="D34" s="932"/>
      <c r="E34" s="932"/>
      <c r="F34" s="320"/>
      <c r="G34" s="323"/>
      <c r="H34" s="657"/>
      <c r="I34" s="809"/>
      <c r="K34" s="1388"/>
      <c r="L34" s="1389"/>
      <c r="M34" s="1389"/>
      <c r="N34" s="1389"/>
      <c r="O34" s="1389"/>
      <c r="P34" s="1451"/>
      <c r="Q34" s="1451"/>
      <c r="R34" s="1451"/>
      <c r="S34" s="1451"/>
      <c r="T34" s="1452"/>
      <c r="U34" s="20"/>
      <c r="V34" s="20"/>
      <c r="W34" s="20"/>
    </row>
    <row r="35" spans="1:23" ht="12" customHeight="1">
      <c r="A35" s="154"/>
      <c r="B35" s="945">
        <v>0</v>
      </c>
      <c r="C35" s="933">
        <v>0.24</v>
      </c>
      <c r="D35" s="933">
        <f>C35</f>
        <v>0.24</v>
      </c>
      <c r="E35" s="933">
        <f>D35</f>
        <v>0.24</v>
      </c>
      <c r="F35" s="810" t="s">
        <v>0</v>
      </c>
      <c r="G35" s="658"/>
      <c r="H35" s="658"/>
      <c r="I35" s="811"/>
      <c r="K35" s="678"/>
      <c r="L35" s="783"/>
      <c r="M35" s="783"/>
      <c r="N35" s="783"/>
      <c r="O35" s="783"/>
      <c r="P35" s="1421"/>
      <c r="Q35" s="1421"/>
      <c r="R35" s="1421"/>
      <c r="S35" s="1421"/>
      <c r="T35" s="1449"/>
      <c r="U35" s="20"/>
      <c r="V35" s="20"/>
      <c r="W35" s="20"/>
    </row>
    <row r="36" spans="1:23" ht="12" customHeight="1">
      <c r="B36" s="602" t="s">
        <v>160</v>
      </c>
      <c r="C36" s="734">
        <f>C37*C38</f>
        <v>0</v>
      </c>
      <c r="D36" s="734">
        <f>D37*D38</f>
        <v>0</v>
      </c>
      <c r="E36" s="742">
        <f>E37*E38</f>
        <v>0</v>
      </c>
      <c r="F36" s="806"/>
      <c r="G36" s="1576"/>
      <c r="H36" s="1576"/>
      <c r="I36" s="811"/>
      <c r="K36" s="678"/>
      <c r="L36" s="783"/>
      <c r="M36" s="783"/>
      <c r="N36" s="783"/>
      <c r="O36" s="783"/>
      <c r="P36" s="1421"/>
      <c r="Q36" s="1421"/>
      <c r="R36" s="1421"/>
      <c r="S36" s="1421"/>
      <c r="T36" s="1449"/>
      <c r="U36" s="20"/>
      <c r="V36" s="20"/>
      <c r="W36" s="20"/>
    </row>
    <row r="37" spans="1:23" ht="12" customHeight="1">
      <c r="A37" s="154"/>
      <c r="B37" s="603" t="s">
        <v>315</v>
      </c>
      <c r="C37" s="792">
        <v>0</v>
      </c>
      <c r="D37" s="792">
        <f>C37*(1+G37)</f>
        <v>0</v>
      </c>
      <c r="E37" s="793">
        <f>D37*(1+H37)</f>
        <v>0</v>
      </c>
      <c r="F37" s="808"/>
      <c r="G37" s="933">
        <v>0.03</v>
      </c>
      <c r="H37" s="933">
        <f>G37</f>
        <v>0.03</v>
      </c>
      <c r="I37" s="814" t="s">
        <v>555</v>
      </c>
      <c r="K37" s="678"/>
      <c r="L37" s="783"/>
      <c r="M37" s="783"/>
      <c r="N37" s="783"/>
      <c r="O37" s="783"/>
      <c r="P37" s="1421"/>
      <c r="Q37" s="1421"/>
      <c r="R37" s="1421"/>
      <c r="S37" s="1421"/>
      <c r="T37" s="1449"/>
      <c r="U37" s="20"/>
      <c r="V37" s="20"/>
      <c r="W37" s="20"/>
    </row>
    <row r="38" spans="1:23" ht="12" customHeight="1">
      <c r="A38" s="2"/>
      <c r="B38" s="797" t="s">
        <v>645</v>
      </c>
      <c r="C38" s="794">
        <v>0</v>
      </c>
      <c r="D38" s="794">
        <f>C38*12/C$13+G38*C38*12/C$13</f>
        <v>0</v>
      </c>
      <c r="E38" s="795">
        <f>D38*(1+H38)</f>
        <v>0</v>
      </c>
      <c r="F38" s="808"/>
      <c r="G38" s="933">
        <v>0</v>
      </c>
      <c r="H38" s="933">
        <f>G38</f>
        <v>0</v>
      </c>
      <c r="I38" s="814" t="s">
        <v>556</v>
      </c>
      <c r="K38" s="678"/>
      <c r="L38" s="783"/>
      <c r="M38" s="783"/>
      <c r="N38" s="783"/>
      <c r="O38" s="783"/>
      <c r="P38" s="1421"/>
      <c r="Q38" s="1421"/>
      <c r="R38" s="1421"/>
      <c r="S38" s="1421"/>
      <c r="T38" s="1449"/>
      <c r="U38" s="20"/>
      <c r="V38" s="20"/>
      <c r="W38" s="20"/>
    </row>
    <row r="39" spans="1:23" ht="6" customHeight="1">
      <c r="A39" s="154"/>
      <c r="B39" s="931"/>
      <c r="C39" s="932"/>
      <c r="D39" s="932"/>
      <c r="E39" s="932"/>
      <c r="F39" s="320"/>
      <c r="G39" s="323"/>
      <c r="H39" s="657"/>
      <c r="I39" s="809"/>
      <c r="K39" s="1388"/>
      <c r="L39" s="1389"/>
      <c r="M39" s="1389"/>
      <c r="N39" s="1389"/>
      <c r="O39" s="1389"/>
      <c r="P39" s="1451"/>
      <c r="Q39" s="1451"/>
      <c r="R39" s="1451"/>
      <c r="S39" s="1451"/>
      <c r="T39" s="1452"/>
      <c r="U39" s="20"/>
      <c r="V39" s="20"/>
      <c r="W39" s="20"/>
    </row>
    <row r="40" spans="1:23" ht="12" customHeight="1">
      <c r="B40" s="945" t="s">
        <v>355</v>
      </c>
      <c r="C40" s="933">
        <v>0.24</v>
      </c>
      <c r="D40" s="933">
        <f>C40</f>
        <v>0.24</v>
      </c>
      <c r="E40" s="933">
        <f>D40</f>
        <v>0.24</v>
      </c>
      <c r="F40" s="810" t="s">
        <v>0</v>
      </c>
      <c r="G40" s="659"/>
      <c r="H40" s="659"/>
      <c r="I40" s="811"/>
      <c r="K40" s="678"/>
      <c r="L40" s="783"/>
      <c r="M40" s="783"/>
      <c r="N40" s="783"/>
      <c r="O40" s="783"/>
      <c r="P40" s="1421"/>
      <c r="Q40" s="1421"/>
      <c r="R40" s="1421"/>
      <c r="S40" s="1421"/>
      <c r="T40" s="1449"/>
      <c r="U40" s="20"/>
      <c r="V40" s="20"/>
      <c r="W40" s="20"/>
    </row>
    <row r="41" spans="1:23" ht="12" customHeight="1">
      <c r="A41" s="154"/>
      <c r="B41" s="604" t="s">
        <v>160</v>
      </c>
      <c r="C41" s="734">
        <f>C44*C43</f>
        <v>0</v>
      </c>
      <c r="D41" s="734">
        <f>D44*D43</f>
        <v>0</v>
      </c>
      <c r="E41" s="742">
        <f>E44*E43</f>
        <v>0</v>
      </c>
      <c r="F41" s="806"/>
      <c r="G41" s="656">
        <f>D$12</f>
        <v>2026</v>
      </c>
      <c r="H41" s="656">
        <f>E$12</f>
        <v>2027</v>
      </c>
      <c r="I41" s="813"/>
      <c r="J41" s="84"/>
      <c r="K41" s="1448"/>
      <c r="L41" s="1421"/>
      <c r="M41" s="1421"/>
      <c r="N41" s="1421"/>
      <c r="O41" s="1421"/>
      <c r="P41" s="1421"/>
      <c r="Q41" s="1421"/>
      <c r="R41" s="1421"/>
      <c r="S41" s="1421"/>
      <c r="T41" s="1449"/>
      <c r="U41" s="20"/>
      <c r="V41" s="20"/>
      <c r="W41" s="20"/>
    </row>
    <row r="42" spans="1:23" ht="12" customHeight="1">
      <c r="A42" s="2"/>
      <c r="B42" s="603" t="s">
        <v>312</v>
      </c>
      <c r="C42" s="792">
        <v>0</v>
      </c>
      <c r="D42" s="792">
        <f t="shared" ref="D42:E44" si="0">C42*(1+G42)</f>
        <v>0</v>
      </c>
      <c r="E42" s="793">
        <f t="shared" si="0"/>
        <v>0</v>
      </c>
      <c r="F42" s="808"/>
      <c r="G42" s="933">
        <v>0.03</v>
      </c>
      <c r="H42" s="933">
        <f>G42</f>
        <v>0.03</v>
      </c>
      <c r="I42" s="809" t="s">
        <v>313</v>
      </c>
      <c r="J42" s="32"/>
      <c r="K42" s="1448"/>
      <c r="L42" s="1421"/>
      <c r="M42" s="1421"/>
      <c r="N42" s="1421"/>
      <c r="O42" s="1421"/>
      <c r="P42" s="1421"/>
      <c r="Q42" s="1421"/>
      <c r="R42" s="1421"/>
      <c r="S42" s="1421"/>
      <c r="T42" s="1449"/>
      <c r="U42" s="20"/>
      <c r="V42" s="20"/>
      <c r="W42" s="20"/>
    </row>
    <row r="43" spans="1:23" ht="12" customHeight="1">
      <c r="B43" s="603" t="s">
        <v>9</v>
      </c>
      <c r="C43" s="794">
        <v>0</v>
      </c>
      <c r="D43" s="794">
        <f>C43*12/C$13+G43*C43*12/C$13</f>
        <v>0</v>
      </c>
      <c r="E43" s="795">
        <f t="shared" si="0"/>
        <v>0</v>
      </c>
      <c r="F43" s="808"/>
      <c r="G43" s="933">
        <v>0</v>
      </c>
      <c r="H43" s="933">
        <f>G43</f>
        <v>0</v>
      </c>
      <c r="I43" s="809" t="s">
        <v>556</v>
      </c>
      <c r="J43" s="32"/>
      <c r="K43" s="1448"/>
      <c r="L43" s="1421"/>
      <c r="M43" s="1421"/>
      <c r="N43" s="1421"/>
      <c r="O43" s="1421"/>
      <c r="P43" s="1421"/>
      <c r="Q43" s="1421"/>
      <c r="R43" s="1421"/>
      <c r="S43" s="1421"/>
      <c r="T43" s="1449"/>
      <c r="U43" s="20"/>
      <c r="V43" s="20"/>
      <c r="W43" s="20"/>
    </row>
    <row r="44" spans="1:23" ht="12" customHeight="1">
      <c r="B44" s="603" t="s">
        <v>311</v>
      </c>
      <c r="C44" s="792">
        <v>0</v>
      </c>
      <c r="D44" s="792">
        <f t="shared" si="0"/>
        <v>0</v>
      </c>
      <c r="E44" s="793">
        <f t="shared" si="0"/>
        <v>0</v>
      </c>
      <c r="F44" s="808"/>
      <c r="G44" s="933">
        <v>0.03</v>
      </c>
      <c r="H44" s="933">
        <f>G44</f>
        <v>0.03</v>
      </c>
      <c r="I44" s="809" t="s">
        <v>314</v>
      </c>
      <c r="J44" s="32"/>
      <c r="K44" s="1448"/>
      <c r="L44" s="1421"/>
      <c r="M44" s="1421"/>
      <c r="N44" s="1421"/>
      <c r="O44" s="1421"/>
      <c r="P44" s="1421"/>
      <c r="Q44" s="1421"/>
      <c r="R44" s="1421"/>
      <c r="S44" s="1421"/>
      <c r="T44" s="1449"/>
      <c r="U44" s="20"/>
      <c r="V44" s="20"/>
      <c r="W44" s="20"/>
    </row>
    <row r="45" spans="1:23" ht="12" customHeight="1">
      <c r="A45" s="154"/>
      <c r="B45" s="603" t="s">
        <v>10</v>
      </c>
      <c r="C45" s="726">
        <f>IF(C44=0,0,(C44-C42)/C44)</f>
        <v>0</v>
      </c>
      <c r="D45" s="726">
        <f t="shared" ref="D45:E45" si="1">IF(D44=0,0,(D44-D42)/D44)</f>
        <v>0</v>
      </c>
      <c r="E45" s="727">
        <f t="shared" si="1"/>
        <v>0</v>
      </c>
      <c r="F45" s="806" t="s">
        <v>0</v>
      </c>
      <c r="G45" s="658"/>
      <c r="H45" s="658"/>
      <c r="I45" s="811"/>
      <c r="J45" s="32"/>
      <c r="K45" s="1448"/>
      <c r="L45" s="1421"/>
      <c r="M45" s="1421"/>
      <c r="N45" s="1421"/>
      <c r="O45" s="1421"/>
      <c r="P45" s="1421"/>
      <c r="Q45" s="1421"/>
      <c r="R45" s="1421"/>
      <c r="S45" s="1421"/>
      <c r="T45" s="1449"/>
      <c r="U45" s="20"/>
      <c r="V45" s="20"/>
      <c r="W45" s="20"/>
    </row>
    <row r="46" spans="1:23" ht="6" customHeight="1">
      <c r="B46" s="931"/>
      <c r="C46" s="934"/>
      <c r="D46" s="934"/>
      <c r="E46" s="934"/>
      <c r="F46" s="320"/>
      <c r="G46" s="323"/>
      <c r="H46" s="323"/>
      <c r="I46" s="815"/>
      <c r="J46" s="32"/>
      <c r="K46" s="1450"/>
      <c r="L46" s="1451"/>
      <c r="M46" s="1451"/>
      <c r="N46" s="1451"/>
      <c r="O46" s="1451"/>
      <c r="P46" s="1451"/>
      <c r="Q46" s="1451"/>
      <c r="R46" s="1451"/>
      <c r="S46" s="1451"/>
      <c r="T46" s="1452"/>
      <c r="U46" s="20"/>
      <c r="V46" s="20"/>
      <c r="W46" s="20"/>
    </row>
    <row r="47" spans="1:23" ht="12" customHeight="1">
      <c r="A47" s="154"/>
      <c r="B47" s="945">
        <v>0</v>
      </c>
      <c r="C47" s="933">
        <v>0.24</v>
      </c>
      <c r="D47" s="933">
        <f>C47</f>
        <v>0.24</v>
      </c>
      <c r="E47" s="933">
        <f>D47</f>
        <v>0.24</v>
      </c>
      <c r="F47" s="806"/>
      <c r="G47" s="658"/>
      <c r="H47" s="658"/>
      <c r="I47" s="811"/>
      <c r="J47" s="32"/>
      <c r="K47" s="1453"/>
      <c r="L47" s="1421"/>
      <c r="M47" s="1421"/>
      <c r="N47" s="1421"/>
      <c r="O47" s="1421"/>
      <c r="P47" s="1421"/>
      <c r="Q47" s="1421"/>
      <c r="R47" s="1421"/>
      <c r="S47" s="1421"/>
      <c r="T47" s="1449"/>
      <c r="U47" s="20"/>
      <c r="V47" s="20"/>
      <c r="W47" s="20"/>
    </row>
    <row r="48" spans="1:23" ht="12" customHeight="1">
      <c r="A48" s="2"/>
      <c r="B48" s="604" t="s">
        <v>160</v>
      </c>
      <c r="C48" s="734">
        <f>C51*C50</f>
        <v>0</v>
      </c>
      <c r="D48" s="734">
        <f>D51*D50</f>
        <v>0</v>
      </c>
      <c r="E48" s="742">
        <f>E51*E50</f>
        <v>0</v>
      </c>
      <c r="F48" s="812"/>
      <c r="G48" s="948"/>
      <c r="H48" s="948"/>
      <c r="I48" s="813"/>
      <c r="J48" s="32"/>
      <c r="K48" s="1453"/>
      <c r="L48" s="1421"/>
      <c r="M48" s="1421"/>
      <c r="N48" s="1421"/>
      <c r="O48" s="1421"/>
      <c r="P48" s="1421"/>
      <c r="Q48" s="1421"/>
      <c r="R48" s="1421"/>
      <c r="S48" s="1421"/>
      <c r="T48" s="1449"/>
      <c r="U48" s="20"/>
      <c r="V48" s="20"/>
      <c r="W48" s="20"/>
    </row>
    <row r="49" spans="2:23" ht="12" customHeight="1">
      <c r="B49" s="603" t="s">
        <v>312</v>
      </c>
      <c r="C49" s="792">
        <v>0</v>
      </c>
      <c r="D49" s="792">
        <f t="shared" ref="D49:E51" si="2">C49*(1+G49)</f>
        <v>0</v>
      </c>
      <c r="E49" s="793">
        <f t="shared" si="2"/>
        <v>0</v>
      </c>
      <c r="F49" s="816"/>
      <c r="G49" s="933">
        <v>0.03</v>
      </c>
      <c r="H49" s="933">
        <f>G49</f>
        <v>0.03</v>
      </c>
      <c r="I49" s="817" t="s">
        <v>313</v>
      </c>
      <c r="J49" s="20"/>
      <c r="K49" s="1448"/>
      <c r="L49" s="1421"/>
      <c r="M49" s="1421"/>
      <c r="N49" s="1421"/>
      <c r="O49" s="1421"/>
      <c r="P49" s="1421"/>
      <c r="Q49" s="1421"/>
      <c r="R49" s="1421"/>
      <c r="S49" s="1421"/>
      <c r="T49" s="1449"/>
      <c r="U49" s="20"/>
      <c r="V49" s="20"/>
      <c r="W49" s="20"/>
    </row>
    <row r="50" spans="2:23" ht="12" customHeight="1">
      <c r="B50" s="603" t="s">
        <v>9</v>
      </c>
      <c r="C50" s="794">
        <v>0</v>
      </c>
      <c r="D50" s="794">
        <f>C50*12/C$13+G50*C50*12/C$13</f>
        <v>0</v>
      </c>
      <c r="E50" s="795">
        <f t="shared" si="2"/>
        <v>0</v>
      </c>
      <c r="F50" s="816"/>
      <c r="G50" s="933">
        <v>0</v>
      </c>
      <c r="H50" s="933">
        <f>G50</f>
        <v>0</v>
      </c>
      <c r="I50" s="817" t="s">
        <v>557</v>
      </c>
      <c r="J50" s="20"/>
      <c r="K50" s="1448"/>
      <c r="L50" s="1421"/>
      <c r="M50" s="1421"/>
      <c r="N50" s="1421"/>
      <c r="O50" s="1421"/>
      <c r="P50" s="1421"/>
      <c r="Q50" s="1421"/>
      <c r="R50" s="1421"/>
      <c r="S50" s="1421"/>
      <c r="T50" s="1449"/>
      <c r="U50" s="20"/>
      <c r="V50" s="20"/>
      <c r="W50" s="20"/>
    </row>
    <row r="51" spans="2:23" ht="12" customHeight="1">
      <c r="B51" s="603" t="s">
        <v>311</v>
      </c>
      <c r="C51" s="792">
        <v>0</v>
      </c>
      <c r="D51" s="792">
        <f t="shared" si="2"/>
        <v>0</v>
      </c>
      <c r="E51" s="793">
        <f t="shared" si="2"/>
        <v>0</v>
      </c>
      <c r="F51" s="816"/>
      <c r="G51" s="933">
        <v>0.03</v>
      </c>
      <c r="H51" s="933">
        <f>G51</f>
        <v>0.03</v>
      </c>
      <c r="I51" s="817" t="s">
        <v>314</v>
      </c>
      <c r="J51" s="32"/>
      <c r="K51" s="1448"/>
      <c r="L51" s="1421"/>
      <c r="M51" s="1421"/>
      <c r="N51" s="1421"/>
      <c r="O51" s="1421"/>
      <c r="P51" s="1421"/>
      <c r="Q51" s="1421"/>
      <c r="R51" s="1421"/>
      <c r="S51" s="1421"/>
      <c r="T51" s="1449"/>
      <c r="U51" s="20"/>
      <c r="V51" s="20"/>
      <c r="W51" s="20"/>
    </row>
    <row r="52" spans="2:23" ht="12" customHeight="1">
      <c r="B52" s="603" t="s">
        <v>10</v>
      </c>
      <c r="C52" s="726">
        <f>IF(C51=0,0,(C51-C49)/C51)</f>
        <v>0</v>
      </c>
      <c r="D52" s="726">
        <f>IF(D51=0,0,(D51-D49)/D51)</f>
        <v>0</v>
      </c>
      <c r="E52" s="727">
        <f>IF(E51=0,0,(E51-E49)/E51)</f>
        <v>0</v>
      </c>
      <c r="F52" s="806"/>
      <c r="G52" s="658"/>
      <c r="H52" s="658"/>
      <c r="I52" s="811"/>
      <c r="J52" s="20"/>
      <c r="K52" s="1448"/>
      <c r="L52" s="1421"/>
      <c r="M52" s="1421"/>
      <c r="N52" s="1421"/>
      <c r="O52" s="1421"/>
      <c r="P52" s="1421"/>
      <c r="Q52" s="1421"/>
      <c r="R52" s="1421"/>
      <c r="S52" s="1421"/>
      <c r="T52" s="1449"/>
      <c r="U52" s="20"/>
      <c r="V52" s="20"/>
      <c r="W52" s="20"/>
    </row>
    <row r="53" spans="2:23" ht="6" customHeight="1">
      <c r="B53" s="931"/>
      <c r="C53" s="934"/>
      <c r="D53" s="934"/>
      <c r="E53" s="934"/>
      <c r="F53" s="320"/>
      <c r="G53" s="323"/>
      <c r="H53" s="323"/>
      <c r="I53" s="815"/>
      <c r="J53" s="20"/>
      <c r="K53" s="1450"/>
      <c r="L53" s="1451"/>
      <c r="M53" s="1451"/>
      <c r="N53" s="1451"/>
      <c r="O53" s="1451"/>
      <c r="P53" s="1451"/>
      <c r="Q53" s="1451"/>
      <c r="R53" s="1451"/>
      <c r="S53" s="1451"/>
      <c r="T53" s="1452"/>
      <c r="U53" s="20"/>
      <c r="V53" s="20"/>
      <c r="W53" s="20"/>
    </row>
    <row r="54" spans="2:23" ht="12" customHeight="1">
      <c r="B54" s="945">
        <v>0</v>
      </c>
      <c r="C54" s="933">
        <v>0.24</v>
      </c>
      <c r="D54" s="933">
        <f>C54</f>
        <v>0.24</v>
      </c>
      <c r="E54" s="933">
        <f>D54</f>
        <v>0.24</v>
      </c>
      <c r="F54" s="806"/>
      <c r="G54" s="658"/>
      <c r="H54" s="658"/>
      <c r="I54" s="811"/>
      <c r="J54" s="20"/>
      <c r="K54" s="1448"/>
      <c r="L54" s="1421"/>
      <c r="M54" s="1421"/>
      <c r="N54" s="1421"/>
      <c r="O54" s="1421"/>
      <c r="P54" s="1421"/>
      <c r="Q54" s="1421"/>
      <c r="R54" s="1421"/>
      <c r="S54" s="1421"/>
      <c r="T54" s="1449"/>
      <c r="U54" s="20"/>
      <c r="V54" s="20"/>
      <c r="W54" s="20"/>
    </row>
    <row r="55" spans="2:23" ht="12" customHeight="1">
      <c r="B55" s="604" t="s">
        <v>160</v>
      </c>
      <c r="C55" s="734">
        <f>C58*C57</f>
        <v>0</v>
      </c>
      <c r="D55" s="734">
        <f>D58*D57</f>
        <v>0</v>
      </c>
      <c r="E55" s="742">
        <f>E58*E57</f>
        <v>0</v>
      </c>
      <c r="F55" s="812"/>
      <c r="G55" s="1576"/>
      <c r="H55" s="1576"/>
      <c r="I55" s="813"/>
      <c r="K55" s="678"/>
      <c r="L55" s="783"/>
      <c r="M55" s="783"/>
      <c r="N55" s="783"/>
      <c r="O55" s="783"/>
      <c r="P55" s="783"/>
      <c r="Q55" s="783"/>
      <c r="R55" s="783"/>
      <c r="S55" s="783"/>
      <c r="T55" s="1387"/>
    </row>
    <row r="56" spans="2:23" ht="12" customHeight="1">
      <c r="B56" s="603" t="s">
        <v>312</v>
      </c>
      <c r="C56" s="792">
        <v>0</v>
      </c>
      <c r="D56" s="792">
        <f t="shared" ref="D56:E58" si="3">C56*(1+G56)</f>
        <v>0</v>
      </c>
      <c r="E56" s="793">
        <f t="shared" si="3"/>
        <v>0</v>
      </c>
      <c r="F56" s="816"/>
      <c r="G56" s="933">
        <v>0.03</v>
      </c>
      <c r="H56" s="933">
        <f>G56</f>
        <v>0.03</v>
      </c>
      <c r="I56" s="817" t="s">
        <v>313</v>
      </c>
      <c r="K56" s="678"/>
      <c r="L56" s="783"/>
      <c r="M56" s="783"/>
      <c r="N56" s="783"/>
      <c r="O56" s="783"/>
      <c r="P56" s="783"/>
      <c r="Q56" s="783"/>
      <c r="R56" s="783"/>
      <c r="S56" s="783"/>
      <c r="T56" s="1387"/>
    </row>
    <row r="57" spans="2:23" ht="12" customHeight="1">
      <c r="B57" s="603" t="s">
        <v>9</v>
      </c>
      <c r="C57" s="794">
        <v>0</v>
      </c>
      <c r="D57" s="794">
        <f>C57*12/C$13+G57*C57*12/C$13</f>
        <v>0</v>
      </c>
      <c r="E57" s="795">
        <f t="shared" si="3"/>
        <v>0</v>
      </c>
      <c r="F57" s="816"/>
      <c r="G57" s="933">
        <v>0</v>
      </c>
      <c r="H57" s="933">
        <f>G57</f>
        <v>0</v>
      </c>
      <c r="I57" s="817" t="s">
        <v>557</v>
      </c>
      <c r="K57" s="678"/>
      <c r="L57" s="783"/>
      <c r="M57" s="783"/>
      <c r="N57" s="783"/>
      <c r="O57" s="783"/>
      <c r="P57" s="783"/>
      <c r="Q57" s="783"/>
      <c r="R57" s="783"/>
      <c r="S57" s="783"/>
      <c r="T57" s="1387"/>
    </row>
    <row r="58" spans="2:23" ht="12" customHeight="1">
      <c r="B58" s="603" t="s">
        <v>311</v>
      </c>
      <c r="C58" s="792">
        <v>0</v>
      </c>
      <c r="D58" s="792">
        <f t="shared" si="3"/>
        <v>0</v>
      </c>
      <c r="E58" s="793">
        <f t="shared" si="3"/>
        <v>0</v>
      </c>
      <c r="F58" s="816"/>
      <c r="G58" s="933">
        <v>0.03</v>
      </c>
      <c r="H58" s="933">
        <f>G58</f>
        <v>0.03</v>
      </c>
      <c r="I58" s="817" t="s">
        <v>314</v>
      </c>
      <c r="J58" s="32"/>
      <c r="K58" s="1448"/>
      <c r="L58" s="1421"/>
      <c r="M58" s="1421"/>
      <c r="N58" s="1421"/>
      <c r="O58" s="1421"/>
      <c r="P58" s="1421"/>
      <c r="Q58" s="1421"/>
      <c r="R58" s="1421"/>
      <c r="S58" s="1421"/>
      <c r="T58" s="1449"/>
      <c r="U58" s="20"/>
      <c r="V58" s="20"/>
      <c r="W58" s="20"/>
    </row>
    <row r="59" spans="2:23" ht="12" customHeight="1">
      <c r="B59" s="603" t="s">
        <v>10</v>
      </c>
      <c r="C59" s="726">
        <f>IF(C58=0,0,(C58-C56)/C58)</f>
        <v>0</v>
      </c>
      <c r="D59" s="726">
        <f>IF(D58=0,0,(D58-D56)/D58)</f>
        <v>0</v>
      </c>
      <c r="E59" s="727">
        <f>IF(E58=0,0,(E58-E56)/E58)</f>
        <v>0</v>
      </c>
      <c r="F59" s="806"/>
      <c r="G59" s="658"/>
      <c r="H59" s="658"/>
      <c r="I59" s="811"/>
      <c r="K59" s="678"/>
      <c r="L59" s="783"/>
      <c r="M59" s="783"/>
      <c r="N59" s="783"/>
      <c r="O59" s="783"/>
      <c r="P59" s="783"/>
      <c r="Q59" s="783"/>
      <c r="R59" s="783"/>
      <c r="S59" s="783"/>
      <c r="T59" s="1387"/>
    </row>
    <row r="60" spans="2:23" ht="6" customHeight="1">
      <c r="B60" s="931"/>
      <c r="C60" s="934"/>
      <c r="D60" s="934"/>
      <c r="E60" s="934"/>
      <c r="F60" s="320"/>
      <c r="G60" s="323"/>
      <c r="H60" s="323"/>
      <c r="I60" s="815"/>
      <c r="K60" s="1388"/>
      <c r="L60" s="1389"/>
      <c r="M60" s="1389"/>
      <c r="N60" s="1389"/>
      <c r="O60" s="1389"/>
      <c r="P60" s="1389"/>
      <c r="Q60" s="1389"/>
      <c r="R60" s="1389"/>
      <c r="S60" s="1389"/>
      <c r="T60" s="1390"/>
    </row>
    <row r="61" spans="2:23" ht="12" customHeight="1">
      <c r="B61" s="945">
        <v>0</v>
      </c>
      <c r="C61" s="933">
        <v>0.24</v>
      </c>
      <c r="D61" s="933">
        <f>C61</f>
        <v>0.24</v>
      </c>
      <c r="E61" s="933">
        <f>D61</f>
        <v>0.24</v>
      </c>
      <c r="F61" s="810"/>
      <c r="G61" s="658"/>
      <c r="H61" s="658"/>
      <c r="I61" s="811"/>
      <c r="K61" s="678"/>
      <c r="L61" s="783"/>
      <c r="M61" s="783"/>
      <c r="N61" s="783"/>
      <c r="O61" s="783"/>
      <c r="P61" s="783"/>
      <c r="Q61" s="783"/>
      <c r="R61" s="783"/>
      <c r="S61" s="783"/>
      <c r="T61" s="1387"/>
    </row>
    <row r="62" spans="2:23" ht="12" customHeight="1">
      <c r="B62" s="604" t="s">
        <v>160</v>
      </c>
      <c r="C62" s="734">
        <f>C65*C64</f>
        <v>0</v>
      </c>
      <c r="D62" s="734">
        <f>D65*D64</f>
        <v>0</v>
      </c>
      <c r="E62" s="742">
        <f>E65*E64</f>
        <v>0</v>
      </c>
      <c r="F62" s="806"/>
      <c r="G62" s="1576"/>
      <c r="H62" s="1576"/>
      <c r="I62" s="811"/>
      <c r="K62" s="678"/>
      <c r="L62" s="783"/>
      <c r="M62" s="783"/>
      <c r="N62" s="783"/>
      <c r="O62" s="783"/>
      <c r="P62" s="783"/>
      <c r="Q62" s="783"/>
      <c r="R62" s="783"/>
      <c r="S62" s="783"/>
      <c r="T62" s="1387"/>
    </row>
    <row r="63" spans="2:23" ht="12" customHeight="1">
      <c r="B63" s="603" t="s">
        <v>312</v>
      </c>
      <c r="C63" s="792">
        <v>0</v>
      </c>
      <c r="D63" s="792">
        <f t="shared" ref="D63:E65" si="4">C63*(1+G63)</f>
        <v>0</v>
      </c>
      <c r="E63" s="793">
        <f t="shared" si="4"/>
        <v>0</v>
      </c>
      <c r="F63" s="816"/>
      <c r="G63" s="933">
        <v>0.03</v>
      </c>
      <c r="H63" s="933">
        <f>G63</f>
        <v>0.03</v>
      </c>
      <c r="I63" s="817" t="s">
        <v>313</v>
      </c>
      <c r="K63" s="678"/>
      <c r="L63" s="783"/>
      <c r="M63" s="783"/>
      <c r="N63" s="783"/>
      <c r="O63" s="783"/>
      <c r="P63" s="783"/>
      <c r="Q63" s="783"/>
      <c r="R63" s="783"/>
      <c r="S63" s="783"/>
      <c r="T63" s="1387"/>
    </row>
    <row r="64" spans="2:23" ht="12" customHeight="1">
      <c r="B64" s="603" t="s">
        <v>9</v>
      </c>
      <c r="C64" s="794">
        <v>0</v>
      </c>
      <c r="D64" s="794">
        <f>C64*12/C$13+G64*C64*12/C$13</f>
        <v>0</v>
      </c>
      <c r="E64" s="795">
        <f t="shared" si="4"/>
        <v>0</v>
      </c>
      <c r="F64" s="816"/>
      <c r="G64" s="933">
        <v>0</v>
      </c>
      <c r="H64" s="933">
        <f>G64</f>
        <v>0</v>
      </c>
      <c r="I64" s="817" t="s">
        <v>557</v>
      </c>
      <c r="J64" s="32"/>
      <c r="K64" s="1448"/>
      <c r="L64" s="1421"/>
      <c r="M64" s="1421"/>
      <c r="N64" s="1421"/>
      <c r="O64" s="1421"/>
      <c r="P64" s="783"/>
      <c r="Q64" s="783"/>
      <c r="R64" s="783"/>
      <c r="S64" s="783"/>
      <c r="T64" s="1387"/>
    </row>
    <row r="65" spans="2:23" ht="12" customHeight="1">
      <c r="B65" s="603" t="s">
        <v>311</v>
      </c>
      <c r="C65" s="792">
        <v>0</v>
      </c>
      <c r="D65" s="792">
        <f t="shared" si="4"/>
        <v>0</v>
      </c>
      <c r="E65" s="793">
        <f t="shared" si="4"/>
        <v>0</v>
      </c>
      <c r="F65" s="816"/>
      <c r="G65" s="933">
        <v>0.03</v>
      </c>
      <c r="H65" s="933">
        <f>G65</f>
        <v>0.03</v>
      </c>
      <c r="I65" s="817" t="s">
        <v>314</v>
      </c>
      <c r="J65" s="32"/>
      <c r="K65" s="1448"/>
      <c r="L65" s="1421"/>
      <c r="M65" s="1421"/>
      <c r="N65" s="1421"/>
      <c r="O65" s="1421"/>
      <c r="P65" s="1421"/>
      <c r="Q65" s="1421"/>
      <c r="R65" s="1421"/>
      <c r="S65" s="1421"/>
      <c r="T65" s="1449"/>
      <c r="U65" s="20"/>
      <c r="V65" s="20"/>
      <c r="W65" s="20"/>
    </row>
    <row r="66" spans="2:23" ht="12" customHeight="1">
      <c r="B66" s="603" t="s">
        <v>10</v>
      </c>
      <c r="C66" s="726">
        <f>IF(C65=0,0,(C65-C63)/C65)</f>
        <v>0</v>
      </c>
      <c r="D66" s="726">
        <f>IF(D65=0,0,(D65-D63)/D65)</f>
        <v>0</v>
      </c>
      <c r="E66" s="727">
        <f>IF(E65=0,0,(E65-E63)/E65)</f>
        <v>0</v>
      </c>
      <c r="F66" s="810" t="s">
        <v>0</v>
      </c>
      <c r="G66" s="658">
        <v>0</v>
      </c>
      <c r="H66" s="658"/>
      <c r="I66" s="811"/>
      <c r="J66" s="20"/>
      <c r="K66" s="1388"/>
      <c r="L66" s="1421"/>
      <c r="M66" s="1421"/>
      <c r="N66" s="1421"/>
      <c r="O66" s="1421"/>
      <c r="P66" s="783"/>
      <c r="Q66" s="783"/>
      <c r="R66" s="783"/>
      <c r="S66" s="783"/>
      <c r="T66" s="1387"/>
    </row>
    <row r="67" spans="2:23" ht="6" customHeight="1">
      <c r="B67" s="931"/>
      <c r="C67" s="934"/>
      <c r="D67" s="934"/>
      <c r="E67" s="934"/>
      <c r="F67" s="323"/>
      <c r="G67" s="323"/>
      <c r="H67" s="323"/>
      <c r="I67" s="815"/>
      <c r="J67" s="20"/>
      <c r="K67" s="1450"/>
      <c r="L67" s="1451"/>
      <c r="M67" s="1451"/>
      <c r="N67" s="1451"/>
      <c r="O67" s="1451"/>
      <c r="P67" s="1389"/>
      <c r="Q67" s="1389"/>
      <c r="R67" s="1389"/>
      <c r="S67" s="1389"/>
      <c r="T67" s="1390"/>
    </row>
    <row r="68" spans="2:23" ht="12" customHeight="1">
      <c r="B68" s="945">
        <v>0</v>
      </c>
      <c r="C68" s="933">
        <v>0.24</v>
      </c>
      <c r="D68" s="933">
        <f>C68</f>
        <v>0.24</v>
      </c>
      <c r="E68" s="933">
        <f>D68</f>
        <v>0.24</v>
      </c>
      <c r="F68" s="810"/>
      <c r="G68" s="658"/>
      <c r="H68" s="658"/>
      <c r="I68" s="811"/>
      <c r="J68" s="20"/>
      <c r="K68" s="1448"/>
      <c r="L68" s="1421"/>
      <c r="M68" s="1421"/>
      <c r="N68" s="1421"/>
      <c r="O68" s="1421"/>
      <c r="P68" s="783"/>
      <c r="Q68" s="783"/>
      <c r="R68" s="783"/>
      <c r="S68" s="783"/>
      <c r="T68" s="1387"/>
    </row>
    <row r="69" spans="2:23" ht="12" customHeight="1">
      <c r="B69" s="604" t="s">
        <v>160</v>
      </c>
      <c r="C69" s="734">
        <f>C72*C71</f>
        <v>0</v>
      </c>
      <c r="D69" s="734">
        <f>D72*D71</f>
        <v>0</v>
      </c>
      <c r="E69" s="742">
        <f>E72*E71</f>
        <v>0</v>
      </c>
      <c r="F69" s="806"/>
      <c r="G69" s="1576"/>
      <c r="H69" s="1576"/>
      <c r="I69" s="814"/>
      <c r="J69" s="20"/>
      <c r="K69" s="1448"/>
      <c r="L69" s="1421"/>
      <c r="M69" s="1421"/>
      <c r="N69" s="1421"/>
      <c r="O69" s="1421"/>
      <c r="P69" s="783"/>
      <c r="Q69" s="783"/>
      <c r="R69" s="783"/>
      <c r="S69" s="783"/>
      <c r="T69" s="1387"/>
    </row>
    <row r="70" spans="2:23" ht="12" customHeight="1">
      <c r="B70" s="603" t="s">
        <v>312</v>
      </c>
      <c r="C70" s="792">
        <v>0</v>
      </c>
      <c r="D70" s="792">
        <f t="shared" ref="D70:E72" si="5">C70*(1+G70)</f>
        <v>0</v>
      </c>
      <c r="E70" s="793">
        <f t="shared" si="5"/>
        <v>0</v>
      </c>
      <c r="F70" s="816"/>
      <c r="G70" s="933">
        <v>0.03</v>
      </c>
      <c r="H70" s="933">
        <f>G70</f>
        <v>0.03</v>
      </c>
      <c r="I70" s="817" t="s">
        <v>313</v>
      </c>
      <c r="J70" s="74"/>
      <c r="K70" s="1448"/>
      <c r="L70" s="1421"/>
      <c r="M70" s="1421"/>
      <c r="N70" s="1421"/>
      <c r="O70" s="1421"/>
      <c r="P70" s="783"/>
      <c r="Q70" s="783"/>
      <c r="R70" s="783"/>
      <c r="S70" s="783"/>
      <c r="T70" s="1387"/>
    </row>
    <row r="71" spans="2:23" ht="12" customHeight="1">
      <c r="B71" s="603" t="s">
        <v>9</v>
      </c>
      <c r="C71" s="794">
        <v>0</v>
      </c>
      <c r="D71" s="794">
        <f>C71*12/C$13+G71*C71*12/C$13</f>
        <v>0</v>
      </c>
      <c r="E71" s="795">
        <f t="shared" si="5"/>
        <v>0</v>
      </c>
      <c r="F71" s="816"/>
      <c r="G71" s="933">
        <v>0</v>
      </c>
      <c r="H71" s="933">
        <f>G71</f>
        <v>0</v>
      </c>
      <c r="I71" s="817" t="s">
        <v>557</v>
      </c>
      <c r="J71" s="75"/>
      <c r="K71" s="1448"/>
      <c r="L71" s="1421"/>
      <c r="M71" s="1421"/>
      <c r="N71" s="1421"/>
      <c r="O71" s="1421"/>
      <c r="P71" s="783"/>
      <c r="Q71" s="783"/>
      <c r="R71" s="783"/>
      <c r="S71" s="783"/>
      <c r="T71" s="1387"/>
    </row>
    <row r="72" spans="2:23" ht="12" customHeight="1">
      <c r="B72" s="603" t="s">
        <v>311</v>
      </c>
      <c r="C72" s="792">
        <v>0</v>
      </c>
      <c r="D72" s="792">
        <f t="shared" si="5"/>
        <v>0</v>
      </c>
      <c r="E72" s="793">
        <f t="shared" si="5"/>
        <v>0</v>
      </c>
      <c r="F72" s="816"/>
      <c r="G72" s="933">
        <v>0.03</v>
      </c>
      <c r="H72" s="933">
        <f>G72</f>
        <v>0.03</v>
      </c>
      <c r="I72" s="817" t="s">
        <v>314</v>
      </c>
      <c r="J72" s="32"/>
      <c r="K72" s="1448"/>
      <c r="L72" s="1421"/>
      <c r="M72" s="1421"/>
      <c r="N72" s="1421"/>
      <c r="O72" s="1421"/>
      <c r="P72" s="1421"/>
      <c r="Q72" s="1421"/>
      <c r="R72" s="1421"/>
      <c r="S72" s="1421"/>
      <c r="T72" s="1449"/>
      <c r="U72" s="20"/>
      <c r="V72" s="20"/>
      <c r="W72" s="20"/>
    </row>
    <row r="73" spans="2:23" ht="12" customHeight="1">
      <c r="B73" s="603" t="s">
        <v>10</v>
      </c>
      <c r="C73" s="726">
        <f>IF(C72=0,0,(C72-C70)/C72)</f>
        <v>0</v>
      </c>
      <c r="D73" s="726">
        <f>IF(D72=0,0,(D72-D70)/D72)</f>
        <v>0</v>
      </c>
      <c r="E73" s="727">
        <f>IF(E72=0,0,(E72-E70)/E72)</f>
        <v>0</v>
      </c>
      <c r="F73" s="818"/>
      <c r="G73" s="819"/>
      <c r="H73" s="819"/>
      <c r="I73" s="820"/>
      <c r="J73" s="77"/>
      <c r="K73" s="1454"/>
      <c r="L73" s="1455"/>
      <c r="M73" s="1455"/>
      <c r="N73" s="1455"/>
      <c r="O73" s="1455"/>
      <c r="P73" s="789"/>
      <c r="Q73" s="789"/>
      <c r="R73" s="789"/>
      <c r="S73" s="789"/>
      <c r="T73" s="1420"/>
    </row>
    <row r="74" spans="2:23" ht="4.2" customHeight="1">
      <c r="B74" s="323"/>
      <c r="C74" s="730"/>
      <c r="D74" s="730"/>
      <c r="E74" s="730"/>
      <c r="F74" s="320"/>
      <c r="G74" s="323"/>
      <c r="H74" s="327"/>
      <c r="I74" s="327"/>
      <c r="J74" s="77"/>
      <c r="K74" s="355"/>
      <c r="L74" s="356"/>
      <c r="M74" s="356"/>
      <c r="N74" s="357"/>
      <c r="O74" s="357"/>
      <c r="P74" s="154"/>
      <c r="Q74" s="154"/>
      <c r="R74" s="154"/>
      <c r="S74" s="154"/>
      <c r="T74" s="154"/>
    </row>
    <row r="75" spans="2:23" ht="12.75" customHeight="1">
      <c r="B75" s="799" t="s">
        <v>697</v>
      </c>
      <c r="C75" s="734">
        <f>C16*(1+C15)+C21*(1+C20)+C26*(1+C25)+C31*(1+C30)+C36*(1+C35)+C41*(1+C40)+C48*(1+C47)+C55*(1+C54)+C62*(1+C61)+C69*(1+C68)</f>
        <v>0</v>
      </c>
      <c r="D75" s="734">
        <f>D16*(1+D15)+D21*(1+D20)+D26*(1+D25)+D31*(1+D30)+D36*(1+D35)+D41*(1+D40)+D48*(1+D47)+D55*(1+D54)+D62*(1+D61)+D69*(1+D68)</f>
        <v>0</v>
      </c>
      <c r="E75" s="734">
        <f>E16*(1+E15)+E21*(1+E20)+E26*(1+E25)+E31*(1+E30)+E36*(1+E35)+E41*(1+E40)+E48*(1+E47)+E55*(1+E54)+E62*(1+E61)+E69*(1+E68)</f>
        <v>0</v>
      </c>
      <c r="F75" s="320"/>
      <c r="G75" s="323"/>
      <c r="H75" s="20"/>
      <c r="I75" s="20"/>
      <c r="J75" s="77"/>
      <c r="K75" s="355"/>
      <c r="L75" s="356"/>
      <c r="M75" s="356"/>
      <c r="N75" s="357"/>
      <c r="O75" s="357"/>
      <c r="P75" s="154"/>
      <c r="Q75" s="154"/>
      <c r="R75" s="154"/>
      <c r="S75" s="154"/>
      <c r="T75" s="154"/>
    </row>
    <row r="76" spans="2:23" ht="12" customHeight="1">
      <c r="B76" s="800" t="s">
        <v>698</v>
      </c>
      <c r="C76" s="734">
        <f>C16+C21+C26+C31+C36+C41+C48+C55+C62+C69</f>
        <v>0</v>
      </c>
      <c r="D76" s="734">
        <f>D16+D21+D26+D31+D36+D41+D48+D55+D62+D69</f>
        <v>0</v>
      </c>
      <c r="E76" s="734">
        <f>E16+E21+E26+E31+E36+E41+E48+E55+E62+E69</f>
        <v>0</v>
      </c>
      <c r="F76" s="320"/>
      <c r="G76" s="323"/>
      <c r="H76" s="43"/>
      <c r="I76" s="47"/>
      <c r="J76" s="77"/>
      <c r="K76" s="355"/>
      <c r="L76" s="356"/>
      <c r="M76" s="356"/>
      <c r="N76" s="357"/>
      <c r="O76" s="357"/>
      <c r="P76" s="154"/>
      <c r="Q76" s="154"/>
      <c r="R76" s="154"/>
      <c r="S76" s="154"/>
      <c r="T76" s="154"/>
    </row>
    <row r="77" spans="2:23" ht="12" customHeight="1">
      <c r="B77" s="800" t="s">
        <v>699</v>
      </c>
      <c r="C77" s="734">
        <f>C42*C43+C49*C50+C56*C57+C63*C64+C70*C71</f>
        <v>0</v>
      </c>
      <c r="D77" s="734">
        <f>D42*D43+D49*D50+D56*D57+D63*D64+D70*D71</f>
        <v>0</v>
      </c>
      <c r="E77" s="734">
        <f>E42*E43+E49*E50+E56*E57+E63*E64+E70*E71</f>
        <v>0</v>
      </c>
      <c r="F77" s="320"/>
      <c r="G77" s="323"/>
      <c r="H77" s="92"/>
      <c r="I77" s="143"/>
      <c r="K77" s="154"/>
      <c r="L77" s="154"/>
      <c r="M77" s="154"/>
      <c r="N77" s="154"/>
      <c r="O77" s="154"/>
      <c r="P77" s="154"/>
      <c r="Q77" s="154"/>
      <c r="R77" s="154"/>
      <c r="S77" s="154"/>
      <c r="T77" s="154"/>
    </row>
    <row r="78" spans="2:23" hidden="1">
      <c r="B78" s="800" t="s">
        <v>660</v>
      </c>
      <c r="C78" s="734">
        <f>C70*C71+C70*C71*C68+C63*C64+C63*C64*C61+C56*C57+C56*C57*C54+C49*C50+C49*C50*C47+C42*C43+C42*C43*C40</f>
        <v>0</v>
      </c>
      <c r="D78" s="734">
        <f t="shared" ref="D78:E78" si="6">D70*D71+D70*D71*D68+D63*D64+D63*D64*D61+D56*D57+D56*D57*D54+D49*D50+D49*D50*D47+D42*D43+D42*D43*D40</f>
        <v>0</v>
      </c>
      <c r="E78" s="734">
        <f t="shared" si="6"/>
        <v>0</v>
      </c>
      <c r="F78" s="20"/>
      <c r="G78" s="20"/>
      <c r="H78" s="20"/>
      <c r="I78" s="20"/>
      <c r="J78" s="20"/>
      <c r="K78" s="20"/>
    </row>
    <row r="79" spans="2:23" ht="4.2" customHeight="1">
      <c r="B79" s="154"/>
      <c r="C79" s="345"/>
      <c r="D79" s="345"/>
      <c r="E79" s="345"/>
      <c r="F79" s="328"/>
      <c r="G79" s="154"/>
      <c r="H79" s="154"/>
      <c r="I79" s="154"/>
      <c r="K79" s="154"/>
      <c r="L79" s="154"/>
      <c r="M79" s="154"/>
      <c r="N79" s="154"/>
      <c r="O79" s="154"/>
      <c r="P79" s="154"/>
      <c r="Q79" s="154"/>
      <c r="R79" s="154"/>
      <c r="S79" s="154"/>
      <c r="T79" s="154"/>
    </row>
    <row r="80" spans="2:23">
      <c r="B80" s="1692"/>
      <c r="C80" s="821" t="s">
        <v>400</v>
      </c>
      <c r="D80" s="821" t="s">
        <v>401</v>
      </c>
      <c r="E80" s="821" t="s">
        <v>454</v>
      </c>
      <c r="F80" s="328"/>
      <c r="G80" s="154"/>
      <c r="H80" s="20"/>
      <c r="I80" s="20"/>
      <c r="K80" s="154"/>
      <c r="L80" s="154"/>
      <c r="M80" s="154"/>
      <c r="N80" s="154"/>
      <c r="O80" s="154"/>
      <c r="P80" s="154"/>
      <c r="Q80" s="154"/>
      <c r="R80" s="154"/>
      <c r="S80" s="154"/>
      <c r="T80" s="154"/>
    </row>
    <row r="81" spans="1:20">
      <c r="B81" s="1692"/>
      <c r="C81" s="822">
        <f t="shared" ref="C81:E82" si="7">C12</f>
        <v>2025</v>
      </c>
      <c r="D81" s="822">
        <f t="shared" si="7"/>
        <v>2026</v>
      </c>
      <c r="E81" s="822">
        <f t="shared" si="7"/>
        <v>2027</v>
      </c>
      <c r="F81" s="328"/>
      <c r="G81" s="154"/>
      <c r="H81" s="43"/>
      <c r="I81" s="47"/>
      <c r="K81" s="154"/>
      <c r="L81" s="154"/>
      <c r="M81" s="154"/>
      <c r="N81" s="154"/>
      <c r="O81" s="154"/>
      <c r="P81" s="154"/>
      <c r="Q81" s="154"/>
      <c r="R81" s="154"/>
      <c r="S81" s="154"/>
      <c r="T81" s="154"/>
    </row>
    <row r="82" spans="1:20">
      <c r="B82" s="804" t="s">
        <v>470</v>
      </c>
      <c r="C82" s="801">
        <f t="shared" si="7"/>
        <v>12</v>
      </c>
      <c r="D82" s="801">
        <f t="shared" si="7"/>
        <v>12</v>
      </c>
      <c r="E82" s="801">
        <f t="shared" si="7"/>
        <v>12</v>
      </c>
      <c r="F82"/>
      <c r="L82" s="243"/>
      <c r="M82" s="243"/>
    </row>
    <row r="83" spans="1:20" ht="4.2" customHeight="1">
      <c r="B83" s="937"/>
      <c r="C83" s="226"/>
      <c r="D83" s="226"/>
      <c r="E83" s="226"/>
      <c r="F83" s="328"/>
      <c r="G83" s="154"/>
      <c r="H83" s="92"/>
      <c r="I83" s="143"/>
      <c r="K83" s="154"/>
      <c r="L83" s="154"/>
      <c r="M83" s="154"/>
      <c r="N83" s="154"/>
      <c r="O83" s="154"/>
      <c r="P83" s="154"/>
      <c r="Q83" s="154"/>
      <c r="R83" s="154"/>
      <c r="S83" s="154"/>
      <c r="T83" s="154"/>
    </row>
    <row r="84" spans="1:20" ht="12" customHeight="1">
      <c r="B84" s="945" t="s">
        <v>234</v>
      </c>
      <c r="C84" s="933">
        <v>0.24</v>
      </c>
      <c r="D84" s="933">
        <f>C84</f>
        <v>0.24</v>
      </c>
      <c r="E84" s="933">
        <f>D84</f>
        <v>0.24</v>
      </c>
      <c r="F84" s="1865">
        <v>0</v>
      </c>
      <c r="G84" s="1866"/>
      <c r="H84" s="1866"/>
      <c r="I84" s="805"/>
      <c r="J84" s="986"/>
      <c r="K84" s="662" t="s">
        <v>545</v>
      </c>
      <c r="L84" s="673"/>
      <c r="M84" s="673"/>
      <c r="N84" s="1038"/>
      <c r="O84" s="1038"/>
      <c r="P84" s="1038"/>
      <c r="Q84" s="1038"/>
      <c r="R84" s="1038"/>
      <c r="S84" s="1038"/>
      <c r="T84" s="1039"/>
    </row>
    <row r="85" spans="1:20" ht="12" customHeight="1">
      <c r="A85" s="154"/>
      <c r="B85" s="605" t="s">
        <v>160</v>
      </c>
      <c r="C85" s="734">
        <f>C86*C87</f>
        <v>0</v>
      </c>
      <c r="D85" s="734">
        <f>D86*D87</f>
        <v>0</v>
      </c>
      <c r="E85" s="742">
        <f>E86*E87</f>
        <v>0</v>
      </c>
      <c r="F85" s="806"/>
      <c r="G85" s="656">
        <f>G16</f>
        <v>2026</v>
      </c>
      <c r="H85" s="656">
        <f>H16</f>
        <v>2027</v>
      </c>
      <c r="I85" s="807"/>
      <c r="J85" s="986"/>
      <c r="K85" s="1444"/>
      <c r="L85" s="356"/>
      <c r="M85" s="356"/>
      <c r="N85" s="1445"/>
      <c r="O85" s="1445"/>
      <c r="P85" s="1445"/>
      <c r="Q85" s="1445"/>
      <c r="R85" s="1445"/>
      <c r="S85" s="1445"/>
      <c r="T85" s="1446"/>
    </row>
    <row r="86" spans="1:20" ht="12" customHeight="1">
      <c r="B86" s="593" t="s">
        <v>315</v>
      </c>
      <c r="C86" s="792">
        <v>0</v>
      </c>
      <c r="D86" s="792">
        <f>C86*(1+G86)</f>
        <v>0</v>
      </c>
      <c r="E86" s="793">
        <f>D86*(1+H86)</f>
        <v>0</v>
      </c>
      <c r="F86" s="816"/>
      <c r="G86" s="933">
        <v>0.03</v>
      </c>
      <c r="H86" s="933">
        <f>G86</f>
        <v>0.03</v>
      </c>
      <c r="I86" s="817" t="s">
        <v>558</v>
      </c>
      <c r="J86" s="986"/>
      <c r="K86" s="1424"/>
      <c r="L86" s="675"/>
      <c r="M86" s="675"/>
      <c r="N86" s="750"/>
      <c r="O86" s="750"/>
      <c r="P86" s="1043" t="s">
        <v>772</v>
      </c>
      <c r="Q86" s="345"/>
      <c r="R86" s="750"/>
      <c r="S86" s="750"/>
      <c r="T86" s="1447"/>
    </row>
    <row r="87" spans="1:20" ht="12" customHeight="1">
      <c r="A87" s="154"/>
      <c r="B87" s="796" t="s">
        <v>645</v>
      </c>
      <c r="C87" s="794">
        <v>0</v>
      </c>
      <c r="D87" s="794">
        <f>C87*12/C$13+G87*C87*12/C$13</f>
        <v>0</v>
      </c>
      <c r="E87" s="795">
        <f>D87*(1+H87)</f>
        <v>0</v>
      </c>
      <c r="F87" s="816"/>
      <c r="G87" s="933">
        <v>0</v>
      </c>
      <c r="H87" s="933">
        <f>G87</f>
        <v>0</v>
      </c>
      <c r="I87" s="817" t="s">
        <v>557</v>
      </c>
      <c r="J87" s="986"/>
      <c r="K87" s="674"/>
      <c r="L87" s="661"/>
      <c r="M87" s="661"/>
      <c r="N87" s="661"/>
      <c r="O87" s="661"/>
      <c r="P87" s="661"/>
      <c r="Q87" s="661"/>
      <c r="R87" s="661"/>
      <c r="S87" s="661"/>
      <c r="T87" s="1422"/>
    </row>
    <row r="88" spans="1:20" ht="4.2" customHeight="1">
      <c r="A88" s="2"/>
      <c r="B88" s="931"/>
      <c r="C88" s="932"/>
      <c r="D88" s="938"/>
      <c r="E88" s="938"/>
      <c r="F88" s="320"/>
      <c r="G88" s="657"/>
      <c r="H88" s="657"/>
      <c r="I88" s="809"/>
      <c r="J88" s="986"/>
      <c r="K88" s="1424"/>
      <c r="L88" s="675"/>
      <c r="M88" s="675"/>
      <c r="N88" s="675"/>
      <c r="O88" s="675"/>
      <c r="P88" s="675"/>
      <c r="Q88" s="675"/>
      <c r="R88" s="675"/>
      <c r="S88" s="675"/>
      <c r="T88" s="1425"/>
    </row>
    <row r="89" spans="1:20" ht="12" customHeight="1">
      <c r="A89" s="154"/>
      <c r="B89" s="945">
        <v>0</v>
      </c>
      <c r="C89" s="933">
        <v>0.24</v>
      </c>
      <c r="D89" s="933">
        <f>C89</f>
        <v>0.24</v>
      </c>
      <c r="E89" s="933">
        <f>D89</f>
        <v>0.24</v>
      </c>
      <c r="F89" s="810"/>
      <c r="G89" s="658"/>
      <c r="H89" s="658"/>
      <c r="I89" s="811"/>
      <c r="J89" s="986"/>
      <c r="K89" s="674"/>
      <c r="L89" s="661"/>
      <c r="M89" s="661"/>
      <c r="N89" s="661"/>
      <c r="O89" s="661"/>
      <c r="P89" s="661"/>
      <c r="Q89" s="661"/>
      <c r="R89" s="661"/>
      <c r="S89" s="661"/>
      <c r="T89" s="1422"/>
    </row>
    <row r="90" spans="1:20" ht="12" customHeight="1">
      <c r="B90" s="605" t="s">
        <v>160</v>
      </c>
      <c r="C90" s="734">
        <f>C91*C92</f>
        <v>0</v>
      </c>
      <c r="D90" s="734">
        <f>D91*D92</f>
        <v>0</v>
      </c>
      <c r="E90" s="742">
        <f>E91*E92</f>
        <v>0</v>
      </c>
      <c r="F90" s="812"/>
      <c r="G90" s="1576"/>
      <c r="H90" s="1576"/>
      <c r="I90" s="813"/>
      <c r="J90" s="986"/>
      <c r="K90" s="674"/>
      <c r="L90" s="661"/>
      <c r="M90" s="661"/>
      <c r="N90" s="661"/>
      <c r="O90" s="661"/>
      <c r="P90" s="661"/>
      <c r="Q90" s="661"/>
      <c r="R90" s="661"/>
      <c r="S90" s="661"/>
      <c r="T90" s="1422"/>
    </row>
    <row r="91" spans="1:20" ht="12" customHeight="1">
      <c r="A91" s="154"/>
      <c r="B91" s="593" t="s">
        <v>315</v>
      </c>
      <c r="C91" s="792">
        <v>0</v>
      </c>
      <c r="D91" s="792">
        <f>C91*(1+G91)</f>
        <v>0</v>
      </c>
      <c r="E91" s="793">
        <f>D91*(1+H91)</f>
        <v>0</v>
      </c>
      <c r="F91" s="816"/>
      <c r="G91" s="933">
        <v>0.03</v>
      </c>
      <c r="H91" s="933">
        <f>G91</f>
        <v>0.03</v>
      </c>
      <c r="I91" s="817" t="s">
        <v>558</v>
      </c>
      <c r="J91" s="987"/>
      <c r="K91" s="663"/>
      <c r="L91" s="664"/>
      <c r="M91" s="664"/>
      <c r="N91" s="664"/>
      <c r="O91" s="664"/>
      <c r="P91" s="661"/>
      <c r="Q91" s="661"/>
      <c r="R91" s="661"/>
      <c r="S91" s="661"/>
      <c r="T91" s="1422"/>
    </row>
    <row r="92" spans="1:20" ht="12" customHeight="1">
      <c r="B92" s="796" t="s">
        <v>645</v>
      </c>
      <c r="C92" s="794">
        <v>0</v>
      </c>
      <c r="D92" s="794">
        <f>C92*12/C$13+G92*C92*12/C$13</f>
        <v>0</v>
      </c>
      <c r="E92" s="795">
        <f>D92*(1+H92)</f>
        <v>0</v>
      </c>
      <c r="F92" s="816"/>
      <c r="G92" s="933">
        <v>0</v>
      </c>
      <c r="H92" s="933">
        <f>G92</f>
        <v>0</v>
      </c>
      <c r="I92" s="817" t="s">
        <v>557</v>
      </c>
      <c r="J92" s="988"/>
      <c r="K92" s="663"/>
      <c r="L92" s="664"/>
      <c r="M92" s="664"/>
      <c r="N92" s="664"/>
      <c r="O92" s="664"/>
      <c r="P92" s="661"/>
      <c r="Q92" s="661"/>
      <c r="R92" s="661"/>
      <c r="S92" s="661"/>
      <c r="T92" s="1422"/>
    </row>
    <row r="93" spans="1:20" ht="4.2" customHeight="1">
      <c r="A93" s="154"/>
      <c r="B93" s="931"/>
      <c r="C93" s="932"/>
      <c r="D93" s="938"/>
      <c r="E93" s="938"/>
      <c r="F93" s="320"/>
      <c r="G93" s="657"/>
      <c r="H93" s="657"/>
      <c r="I93" s="809"/>
      <c r="J93" s="988"/>
      <c r="K93" s="1403"/>
      <c r="L93" s="354"/>
      <c r="M93" s="354"/>
      <c r="N93" s="354"/>
      <c r="O93" s="354"/>
      <c r="P93" s="675"/>
      <c r="Q93" s="675"/>
      <c r="R93" s="675"/>
      <c r="S93" s="675"/>
      <c r="T93" s="1425"/>
    </row>
    <row r="94" spans="1:20" ht="12" customHeight="1">
      <c r="A94" s="154"/>
      <c r="B94" s="945">
        <v>0</v>
      </c>
      <c r="C94" s="933">
        <v>0.24</v>
      </c>
      <c r="D94" s="933">
        <f>C94</f>
        <v>0.24</v>
      </c>
      <c r="E94" s="933">
        <f>D94</f>
        <v>0.24</v>
      </c>
      <c r="F94" s="810" t="s">
        <v>0</v>
      </c>
      <c r="G94" s="935"/>
      <c r="H94" s="935"/>
      <c r="I94" s="811"/>
      <c r="J94" s="988"/>
      <c r="K94" s="663"/>
      <c r="L94" s="664"/>
      <c r="M94" s="664"/>
      <c r="N94" s="664"/>
      <c r="O94" s="664"/>
      <c r="P94" s="661"/>
      <c r="Q94" s="661"/>
      <c r="R94" s="661"/>
      <c r="S94" s="661"/>
      <c r="T94" s="1422"/>
    </row>
    <row r="95" spans="1:20" ht="12" customHeight="1">
      <c r="B95" s="605" t="s">
        <v>160</v>
      </c>
      <c r="C95" s="734">
        <f>C96*C97</f>
        <v>0</v>
      </c>
      <c r="D95" s="734">
        <f>D96*D97</f>
        <v>0</v>
      </c>
      <c r="E95" s="742">
        <f>E96*E97</f>
        <v>0</v>
      </c>
      <c r="F95" s="806"/>
      <c r="G95" s="1576"/>
      <c r="H95" s="1576"/>
      <c r="I95" s="813"/>
      <c r="J95" s="986"/>
      <c r="K95" s="663"/>
      <c r="L95" s="664"/>
      <c r="M95" s="664"/>
      <c r="N95" s="664"/>
      <c r="O95" s="664"/>
      <c r="P95" s="661"/>
      <c r="Q95" s="661"/>
      <c r="R95" s="661"/>
      <c r="S95" s="661"/>
      <c r="T95" s="1422"/>
    </row>
    <row r="96" spans="1:20" ht="12" customHeight="1">
      <c r="A96" s="154"/>
      <c r="B96" s="593" t="s">
        <v>315</v>
      </c>
      <c r="C96" s="792">
        <v>0</v>
      </c>
      <c r="D96" s="792">
        <f>C96*(1+G96)</f>
        <v>0</v>
      </c>
      <c r="E96" s="793">
        <f>D96*(1+H96)</f>
        <v>0</v>
      </c>
      <c r="F96" s="816"/>
      <c r="G96" s="933">
        <v>0.03</v>
      </c>
      <c r="H96" s="933">
        <f>G96</f>
        <v>0.03</v>
      </c>
      <c r="I96" s="817" t="s">
        <v>558</v>
      </c>
      <c r="J96" s="986"/>
      <c r="K96" s="663"/>
      <c r="L96" s="664"/>
      <c r="M96" s="664"/>
      <c r="N96" s="664"/>
      <c r="O96" s="664"/>
      <c r="P96" s="661"/>
      <c r="Q96" s="661"/>
      <c r="R96" s="661"/>
      <c r="S96" s="661"/>
      <c r="T96" s="1422"/>
    </row>
    <row r="97" spans="1:20" ht="12" customHeight="1">
      <c r="A97" s="2"/>
      <c r="B97" s="796" t="s">
        <v>645</v>
      </c>
      <c r="C97" s="794">
        <v>0</v>
      </c>
      <c r="D97" s="794">
        <f>C97*12/C$13+G97*C97*12/C$13</f>
        <v>0</v>
      </c>
      <c r="E97" s="795">
        <f>D97*(1+H97)</f>
        <v>0</v>
      </c>
      <c r="F97" s="816"/>
      <c r="G97" s="933">
        <v>0</v>
      </c>
      <c r="H97" s="933">
        <f>G97</f>
        <v>0</v>
      </c>
      <c r="I97" s="817" t="s">
        <v>557</v>
      </c>
      <c r="J97" s="986"/>
      <c r="K97" s="663"/>
      <c r="L97" s="664"/>
      <c r="M97" s="664"/>
      <c r="N97" s="664"/>
      <c r="O97" s="664"/>
      <c r="P97" s="661"/>
      <c r="Q97" s="661"/>
      <c r="R97" s="661"/>
      <c r="S97" s="661"/>
      <c r="T97" s="1422"/>
    </row>
    <row r="98" spans="1:20" ht="4.2" customHeight="1">
      <c r="A98" s="154"/>
      <c r="B98" s="931"/>
      <c r="C98" s="932"/>
      <c r="D98" s="938"/>
      <c r="E98" s="938"/>
      <c r="F98" s="320"/>
      <c r="G98" s="936"/>
      <c r="H98" s="936"/>
      <c r="I98" s="809"/>
      <c r="J98" s="986"/>
      <c r="K98" s="1403"/>
      <c r="L98" s="354"/>
      <c r="M98" s="354"/>
      <c r="N98" s="354"/>
      <c r="O98" s="354"/>
      <c r="P98" s="675"/>
      <c r="Q98" s="675"/>
      <c r="R98" s="675"/>
      <c r="S98" s="675"/>
      <c r="T98" s="1425"/>
    </row>
    <row r="99" spans="1:20" ht="12" customHeight="1">
      <c r="A99" s="154"/>
      <c r="B99" s="945">
        <v>0</v>
      </c>
      <c r="C99" s="933">
        <v>0.24</v>
      </c>
      <c r="D99" s="933">
        <f>C99</f>
        <v>0.24</v>
      </c>
      <c r="E99" s="933">
        <f>D99</f>
        <v>0.24</v>
      </c>
      <c r="F99" s="810"/>
      <c r="G99" s="935"/>
      <c r="H99" s="935"/>
      <c r="I99" s="811"/>
      <c r="J99" s="986"/>
      <c r="K99" s="663"/>
      <c r="L99" s="664"/>
      <c r="M99" s="664"/>
      <c r="N99" s="664"/>
      <c r="O99" s="664"/>
      <c r="P99" s="661"/>
      <c r="Q99" s="661"/>
      <c r="R99" s="661"/>
      <c r="S99" s="661"/>
      <c r="T99" s="1422"/>
    </row>
    <row r="100" spans="1:20" ht="12" customHeight="1">
      <c r="B100" s="605" t="s">
        <v>160</v>
      </c>
      <c r="C100" s="734">
        <f>C101*C102</f>
        <v>0</v>
      </c>
      <c r="D100" s="734">
        <f>D101*D102</f>
        <v>0</v>
      </c>
      <c r="E100" s="742">
        <f>E101*E102</f>
        <v>0</v>
      </c>
      <c r="F100" s="806"/>
      <c r="G100" s="1576"/>
      <c r="H100" s="1576"/>
      <c r="I100" s="811"/>
      <c r="J100" s="986"/>
      <c r="K100" s="663"/>
      <c r="L100" s="664"/>
      <c r="M100" s="664">
        <v>0</v>
      </c>
      <c r="N100" s="664"/>
      <c r="O100" s="664"/>
      <c r="P100" s="661"/>
      <c r="Q100" s="661"/>
      <c r="R100" s="661"/>
      <c r="S100" s="661"/>
      <c r="T100" s="1422"/>
    </row>
    <row r="101" spans="1:20" ht="12" customHeight="1">
      <c r="A101" s="154"/>
      <c r="B101" s="593" t="s">
        <v>315</v>
      </c>
      <c r="C101" s="792">
        <v>0</v>
      </c>
      <c r="D101" s="792">
        <f>C101*(1+G101)</f>
        <v>0</v>
      </c>
      <c r="E101" s="793">
        <f>D101*(1+H101)</f>
        <v>0</v>
      </c>
      <c r="F101" s="816"/>
      <c r="G101" s="933">
        <v>0.03</v>
      </c>
      <c r="H101" s="933">
        <f>G101</f>
        <v>0.03</v>
      </c>
      <c r="I101" s="817" t="s">
        <v>558</v>
      </c>
      <c r="J101" s="986"/>
      <c r="K101" s="663"/>
      <c r="L101" s="664"/>
      <c r="M101" s="664"/>
      <c r="N101" s="664"/>
      <c r="O101" s="664"/>
      <c r="P101" s="661"/>
      <c r="Q101" s="661"/>
      <c r="R101" s="661"/>
      <c r="S101" s="661"/>
      <c r="T101" s="1422"/>
    </row>
    <row r="102" spans="1:20" ht="12" customHeight="1">
      <c r="A102" s="2"/>
      <c r="B102" s="796" t="s">
        <v>645</v>
      </c>
      <c r="C102" s="794">
        <v>0</v>
      </c>
      <c r="D102" s="794">
        <f>C102*12/C$13+G102*C102*12/C$13</f>
        <v>0</v>
      </c>
      <c r="E102" s="795">
        <f>D102*(1+H102)</f>
        <v>0</v>
      </c>
      <c r="F102" s="816"/>
      <c r="G102" s="933">
        <v>0</v>
      </c>
      <c r="H102" s="933">
        <f>G102</f>
        <v>0</v>
      </c>
      <c r="I102" s="817" t="s">
        <v>557</v>
      </c>
      <c r="J102" s="986"/>
      <c r="K102" s="663"/>
      <c r="L102" s="664"/>
      <c r="M102" s="664"/>
      <c r="N102" s="664"/>
      <c r="O102" s="664"/>
      <c r="P102" s="661"/>
      <c r="Q102" s="661"/>
      <c r="R102" s="661"/>
      <c r="S102" s="661"/>
      <c r="T102" s="1422"/>
    </row>
    <row r="103" spans="1:20" ht="4.2" customHeight="1">
      <c r="A103" s="2"/>
      <c r="B103" s="931"/>
      <c r="C103" s="932"/>
      <c r="D103" s="932"/>
      <c r="E103" s="932"/>
      <c r="F103" s="320"/>
      <c r="G103" s="299"/>
      <c r="H103" s="936"/>
      <c r="I103" s="809"/>
      <c r="J103" s="986"/>
      <c r="K103" s="1403"/>
      <c r="L103" s="354"/>
      <c r="M103" s="354"/>
      <c r="N103" s="354"/>
      <c r="O103" s="354"/>
      <c r="P103" s="675"/>
      <c r="Q103" s="675"/>
      <c r="R103" s="675"/>
      <c r="S103" s="675"/>
      <c r="T103" s="1425"/>
    </row>
    <row r="104" spans="1:20" ht="12" customHeight="1">
      <c r="A104" s="154"/>
      <c r="B104" s="945">
        <v>0</v>
      </c>
      <c r="C104" s="933">
        <v>0.24</v>
      </c>
      <c r="D104" s="933">
        <f>C104</f>
        <v>0.24</v>
      </c>
      <c r="E104" s="933">
        <f>D104</f>
        <v>0.24</v>
      </c>
      <c r="F104" s="810"/>
      <c r="G104" s="935"/>
      <c r="H104" s="935"/>
      <c r="I104" s="811"/>
      <c r="J104" s="986"/>
      <c r="K104" s="663"/>
      <c r="L104" s="664"/>
      <c r="M104" s="664"/>
      <c r="N104" s="664"/>
      <c r="O104" s="664"/>
      <c r="P104" s="661"/>
      <c r="Q104" s="661"/>
      <c r="R104" s="661"/>
      <c r="S104" s="661"/>
      <c r="T104" s="1422"/>
    </row>
    <row r="105" spans="1:20" ht="12" customHeight="1">
      <c r="B105" s="605" t="s">
        <v>160</v>
      </c>
      <c r="C105" s="734">
        <f>C106*C107</f>
        <v>0</v>
      </c>
      <c r="D105" s="734">
        <f>D106*D107</f>
        <v>0</v>
      </c>
      <c r="E105" s="742">
        <f>E106*E107</f>
        <v>0</v>
      </c>
      <c r="F105" s="806"/>
      <c r="G105" s="1576"/>
      <c r="H105" s="1576"/>
      <c r="I105" s="811"/>
      <c r="J105" s="986"/>
      <c r="K105" s="663"/>
      <c r="L105" s="664"/>
      <c r="M105" s="664"/>
      <c r="N105" s="664"/>
      <c r="O105" s="664"/>
      <c r="P105" s="661"/>
      <c r="Q105" s="661"/>
      <c r="R105" s="661"/>
      <c r="S105" s="661"/>
      <c r="T105" s="1422"/>
    </row>
    <row r="106" spans="1:20" ht="12" customHeight="1">
      <c r="A106" s="154"/>
      <c r="B106" s="593" t="s">
        <v>315</v>
      </c>
      <c r="C106" s="792">
        <v>0</v>
      </c>
      <c r="D106" s="792">
        <f>C106*(1+G106)</f>
        <v>0</v>
      </c>
      <c r="E106" s="793">
        <f>D106*(1+H106)</f>
        <v>0</v>
      </c>
      <c r="F106" s="816"/>
      <c r="G106" s="933">
        <v>0.03</v>
      </c>
      <c r="H106" s="933">
        <f>G106</f>
        <v>0.03</v>
      </c>
      <c r="I106" s="817" t="s">
        <v>558</v>
      </c>
      <c r="J106" s="986"/>
      <c r="K106" s="663"/>
      <c r="L106" s="664"/>
      <c r="M106" s="664"/>
      <c r="N106" s="664"/>
      <c r="O106" s="664"/>
      <c r="P106" s="661"/>
      <c r="Q106" s="661"/>
      <c r="R106" s="661"/>
      <c r="S106" s="661"/>
      <c r="T106" s="1422"/>
    </row>
    <row r="107" spans="1:20" ht="12" customHeight="1">
      <c r="A107" s="2"/>
      <c r="B107" s="796" t="s">
        <v>645</v>
      </c>
      <c r="C107" s="794">
        <v>0</v>
      </c>
      <c r="D107" s="794">
        <f>C107*12/C$13+G107*C107*12/C$13</f>
        <v>0</v>
      </c>
      <c r="E107" s="795">
        <f>D107*(1+H107)</f>
        <v>0</v>
      </c>
      <c r="F107" s="816"/>
      <c r="G107" s="933">
        <v>0</v>
      </c>
      <c r="H107" s="933">
        <f>G107</f>
        <v>0</v>
      </c>
      <c r="I107" s="817" t="s">
        <v>557</v>
      </c>
      <c r="J107" s="986"/>
      <c r="K107" s="663"/>
      <c r="L107" s="664"/>
      <c r="M107" s="664"/>
      <c r="N107" s="664"/>
      <c r="O107" s="664"/>
      <c r="P107" s="661"/>
      <c r="Q107" s="661"/>
      <c r="R107" s="661"/>
      <c r="S107" s="661"/>
      <c r="T107" s="1422"/>
    </row>
    <row r="108" spans="1:20" ht="4.2" customHeight="1">
      <c r="B108" s="931"/>
      <c r="C108" s="932"/>
      <c r="D108" s="932"/>
      <c r="E108" s="932"/>
      <c r="F108" s="320"/>
      <c r="G108" s="299"/>
      <c r="H108" s="936"/>
      <c r="I108" s="809"/>
      <c r="J108" s="986"/>
      <c r="K108" s="1403"/>
      <c r="L108" s="354"/>
      <c r="M108" s="354"/>
      <c r="N108" s="354"/>
      <c r="O108" s="354"/>
      <c r="P108" s="675"/>
      <c r="Q108" s="675"/>
      <c r="R108" s="675"/>
      <c r="S108" s="675"/>
      <c r="T108" s="1425"/>
    </row>
    <row r="109" spans="1:20" ht="12" customHeight="1">
      <c r="A109" s="154"/>
      <c r="B109" s="945">
        <v>0</v>
      </c>
      <c r="C109" s="933">
        <v>0.24</v>
      </c>
      <c r="D109" s="933">
        <f>C109</f>
        <v>0.24</v>
      </c>
      <c r="E109" s="933">
        <f>D109</f>
        <v>0.24</v>
      </c>
      <c r="F109" s="810"/>
      <c r="G109" s="935"/>
      <c r="H109" s="935"/>
      <c r="I109" s="811"/>
      <c r="J109" s="986"/>
      <c r="K109" s="663"/>
      <c r="L109" s="664"/>
      <c r="M109" s="664"/>
      <c r="N109" s="664"/>
      <c r="O109" s="664"/>
      <c r="P109" s="661"/>
      <c r="Q109" s="661"/>
      <c r="R109" s="661"/>
      <c r="S109" s="661"/>
      <c r="T109" s="1422"/>
    </row>
    <row r="110" spans="1:20" ht="12" customHeight="1">
      <c r="B110" s="605" t="s">
        <v>160</v>
      </c>
      <c r="C110" s="734">
        <f>C111*C112</f>
        <v>0</v>
      </c>
      <c r="D110" s="734">
        <f>D111*D112</f>
        <v>0</v>
      </c>
      <c r="E110" s="742">
        <f>E111*E112</f>
        <v>0</v>
      </c>
      <c r="F110" s="806"/>
      <c r="G110" s="1576"/>
      <c r="H110" s="1576"/>
      <c r="I110" s="811"/>
      <c r="J110" s="989"/>
      <c r="K110" s="674"/>
      <c r="L110" s="661"/>
      <c r="M110" s="661"/>
      <c r="N110" s="661"/>
      <c r="O110" s="661"/>
      <c r="P110" s="661"/>
      <c r="Q110" s="661"/>
      <c r="R110" s="661"/>
      <c r="S110" s="661"/>
      <c r="T110" s="1422"/>
    </row>
    <row r="111" spans="1:20" ht="12" customHeight="1">
      <c r="A111" s="154"/>
      <c r="B111" s="593" t="s">
        <v>315</v>
      </c>
      <c r="C111" s="792">
        <v>0</v>
      </c>
      <c r="D111" s="792">
        <f>C111*(1+G111)</f>
        <v>0</v>
      </c>
      <c r="E111" s="793">
        <f>D111*(1+H111)</f>
        <v>0</v>
      </c>
      <c r="F111" s="816"/>
      <c r="G111" s="933">
        <v>0.03</v>
      </c>
      <c r="H111" s="933">
        <f>G111</f>
        <v>0.03</v>
      </c>
      <c r="I111" s="817" t="s">
        <v>558</v>
      </c>
      <c r="J111" s="986"/>
      <c r="K111" s="674"/>
      <c r="L111" s="661"/>
      <c r="M111" s="661"/>
      <c r="N111" s="661"/>
      <c r="O111" s="661"/>
      <c r="P111" s="661"/>
      <c r="Q111" s="661"/>
      <c r="R111" s="661"/>
      <c r="S111" s="661"/>
      <c r="T111" s="1422"/>
    </row>
    <row r="112" spans="1:20" ht="12" customHeight="1">
      <c r="A112" s="2"/>
      <c r="B112" s="796" t="s">
        <v>645</v>
      </c>
      <c r="C112" s="794">
        <v>0</v>
      </c>
      <c r="D112" s="794">
        <f>C112*12/C$13+G112*C112*12/C$13</f>
        <v>0</v>
      </c>
      <c r="E112" s="795">
        <f>D112*(1+H112)</f>
        <v>0</v>
      </c>
      <c r="F112" s="816"/>
      <c r="G112" s="933">
        <v>0</v>
      </c>
      <c r="H112" s="933">
        <f>G112</f>
        <v>0</v>
      </c>
      <c r="I112" s="817" t="s">
        <v>557</v>
      </c>
      <c r="J112" s="986"/>
      <c r="K112" s="674"/>
      <c r="L112" s="661"/>
      <c r="M112" s="661"/>
      <c r="N112" s="661"/>
      <c r="O112" s="661"/>
      <c r="P112" s="661"/>
      <c r="Q112" s="661"/>
      <c r="R112" s="661"/>
      <c r="S112" s="661"/>
      <c r="T112" s="1422"/>
    </row>
    <row r="113" spans="1:20" ht="4.2" customHeight="1">
      <c r="A113" s="154"/>
      <c r="B113" s="931"/>
      <c r="C113" s="932"/>
      <c r="D113" s="932"/>
      <c r="E113" s="932"/>
      <c r="F113" s="320"/>
      <c r="G113" s="299"/>
      <c r="H113" s="936"/>
      <c r="I113" s="809"/>
      <c r="J113" s="986"/>
      <c r="K113" s="1424"/>
      <c r="L113" s="675"/>
      <c r="M113" s="675"/>
      <c r="N113" s="675"/>
      <c r="O113" s="675"/>
      <c r="P113" s="675"/>
      <c r="Q113" s="675"/>
      <c r="R113" s="675"/>
      <c r="S113" s="675"/>
      <c r="T113" s="1425"/>
    </row>
    <row r="114" spans="1:20" ht="12" customHeight="1">
      <c r="B114" s="945" t="s">
        <v>510</v>
      </c>
      <c r="C114" s="933">
        <v>0.24</v>
      </c>
      <c r="D114" s="933">
        <f>C114</f>
        <v>0.24</v>
      </c>
      <c r="E114" s="933">
        <f>D114</f>
        <v>0.24</v>
      </c>
      <c r="F114" s="810"/>
      <c r="G114" s="935"/>
      <c r="H114" s="935"/>
      <c r="I114" s="811"/>
      <c r="J114" s="986"/>
      <c r="K114" s="674"/>
      <c r="L114" s="661"/>
      <c r="M114" s="661"/>
      <c r="N114" s="661"/>
      <c r="O114" s="661"/>
      <c r="P114" s="661"/>
      <c r="Q114" s="661"/>
      <c r="R114" s="661"/>
      <c r="S114" s="661"/>
      <c r="T114" s="1422"/>
    </row>
    <row r="115" spans="1:20" ht="12" customHeight="1">
      <c r="A115" s="154"/>
      <c r="B115" s="605" t="s">
        <v>160</v>
      </c>
      <c r="C115" s="734">
        <f>C118*C117</f>
        <v>0</v>
      </c>
      <c r="D115" s="734">
        <f>D118*D117</f>
        <v>0</v>
      </c>
      <c r="E115" s="742">
        <f>E118*E117</f>
        <v>0</v>
      </c>
      <c r="F115" s="806"/>
      <c r="G115" s="656">
        <f>D$12</f>
        <v>2026</v>
      </c>
      <c r="H115" s="656">
        <f>E$12</f>
        <v>2027</v>
      </c>
      <c r="I115" s="813"/>
      <c r="J115" s="986"/>
      <c r="K115" s="674"/>
      <c r="L115" s="661"/>
      <c r="M115" s="661"/>
      <c r="N115" s="661"/>
      <c r="O115" s="661"/>
      <c r="P115" s="661"/>
      <c r="Q115" s="661"/>
      <c r="R115" s="661"/>
      <c r="S115" s="661"/>
      <c r="T115" s="1422"/>
    </row>
    <row r="116" spans="1:20" ht="12" customHeight="1">
      <c r="A116" s="2"/>
      <c r="B116" s="593" t="s">
        <v>312</v>
      </c>
      <c r="C116" s="792">
        <v>0</v>
      </c>
      <c r="D116" s="792">
        <f t="shared" ref="D116:E118" si="8">C116*(1+G116)</f>
        <v>0</v>
      </c>
      <c r="E116" s="793">
        <f t="shared" si="8"/>
        <v>0</v>
      </c>
      <c r="F116" s="816"/>
      <c r="G116" s="933">
        <v>0.03</v>
      </c>
      <c r="H116" s="933">
        <f>G116</f>
        <v>0.03</v>
      </c>
      <c r="I116" s="817" t="s">
        <v>313</v>
      </c>
      <c r="J116" s="986"/>
      <c r="K116" s="676"/>
      <c r="L116" s="661"/>
      <c r="M116" s="661"/>
      <c r="N116" s="661"/>
      <c r="O116" s="661"/>
      <c r="P116" s="661"/>
      <c r="Q116" s="661"/>
      <c r="R116" s="661"/>
      <c r="S116" s="661"/>
      <c r="T116" s="1422"/>
    </row>
    <row r="117" spans="1:20" ht="12" customHeight="1">
      <c r="B117" s="593" t="s">
        <v>9</v>
      </c>
      <c r="C117" s="794">
        <v>0</v>
      </c>
      <c r="D117" s="794">
        <f>C117*12/C$13+G117*C117*12/C$13</f>
        <v>0</v>
      </c>
      <c r="E117" s="795">
        <f t="shared" si="8"/>
        <v>0</v>
      </c>
      <c r="F117" s="816"/>
      <c r="G117" s="933">
        <v>0</v>
      </c>
      <c r="H117" s="933">
        <f>G117</f>
        <v>0</v>
      </c>
      <c r="I117" s="817" t="s">
        <v>557</v>
      </c>
      <c r="J117" s="986"/>
      <c r="K117" s="676"/>
      <c r="L117" s="661"/>
      <c r="M117" s="661"/>
      <c r="N117" s="661"/>
      <c r="O117" s="661"/>
      <c r="P117" s="661"/>
      <c r="Q117" s="661"/>
      <c r="R117" s="661"/>
      <c r="S117" s="661"/>
      <c r="T117" s="1422"/>
    </row>
    <row r="118" spans="1:20" ht="12" customHeight="1">
      <c r="B118" s="593" t="s">
        <v>311</v>
      </c>
      <c r="C118" s="792">
        <v>0</v>
      </c>
      <c r="D118" s="792">
        <f t="shared" si="8"/>
        <v>0</v>
      </c>
      <c r="E118" s="793">
        <f t="shared" si="8"/>
        <v>0</v>
      </c>
      <c r="F118" s="816"/>
      <c r="G118" s="933">
        <v>0.03</v>
      </c>
      <c r="H118" s="933">
        <f>G118</f>
        <v>0.03</v>
      </c>
      <c r="I118" s="817" t="s">
        <v>314</v>
      </c>
      <c r="J118" s="986"/>
      <c r="K118" s="674"/>
      <c r="L118" s="661"/>
      <c r="M118" s="661"/>
      <c r="N118" s="661"/>
      <c r="O118" s="661"/>
      <c r="P118" s="661"/>
      <c r="Q118" s="661"/>
      <c r="R118" s="661"/>
      <c r="S118" s="661"/>
      <c r="T118" s="1422"/>
    </row>
    <row r="119" spans="1:20" ht="12" customHeight="1">
      <c r="A119" s="154"/>
      <c r="B119" s="593" t="s">
        <v>10</v>
      </c>
      <c r="C119" s="726">
        <f>IF(C118=0,0,(C118-C116)/C118)</f>
        <v>0</v>
      </c>
      <c r="D119" s="726">
        <f>IF(D118=0,0,(D118-D116)/D118)</f>
        <v>0</v>
      </c>
      <c r="E119" s="727">
        <f>IF(E118=0,0,(E118-E116)/E118)</f>
        <v>0</v>
      </c>
      <c r="F119" s="806"/>
      <c r="G119" s="935"/>
      <c r="H119" s="935"/>
      <c r="I119" s="811"/>
      <c r="J119" s="986"/>
      <c r="K119" s="674"/>
      <c r="L119" s="661"/>
      <c r="M119" s="661"/>
      <c r="N119" s="661"/>
      <c r="O119" s="661"/>
      <c r="P119" s="661"/>
      <c r="Q119" s="661"/>
      <c r="R119" s="661"/>
      <c r="S119" s="661"/>
      <c r="T119" s="1422"/>
    </row>
    <row r="120" spans="1:20" ht="4.2" customHeight="1">
      <c r="B120" s="931"/>
      <c r="C120" s="934"/>
      <c r="D120" s="934"/>
      <c r="E120" s="934"/>
      <c r="F120" s="320"/>
      <c r="G120" s="299"/>
      <c r="H120" s="299"/>
      <c r="I120" s="815"/>
      <c r="J120" s="986"/>
      <c r="K120" s="1424"/>
      <c r="L120" s="675"/>
      <c r="M120" s="675"/>
      <c r="N120" s="675"/>
      <c r="O120" s="675"/>
      <c r="P120" s="675"/>
      <c r="Q120" s="675"/>
      <c r="R120" s="675"/>
      <c r="S120" s="675"/>
      <c r="T120" s="1425"/>
    </row>
    <row r="121" spans="1:20" ht="12" customHeight="1">
      <c r="A121" s="154"/>
      <c r="B121" s="945">
        <v>0</v>
      </c>
      <c r="C121" s="933">
        <v>0.24</v>
      </c>
      <c r="D121" s="933">
        <f>C121</f>
        <v>0.24</v>
      </c>
      <c r="E121" s="933">
        <f>D121</f>
        <v>0.24</v>
      </c>
      <c r="F121" s="806"/>
      <c r="G121" s="935"/>
      <c r="H121" s="935"/>
      <c r="I121" s="811"/>
      <c r="J121" s="986"/>
      <c r="K121" s="674"/>
      <c r="L121" s="661"/>
      <c r="M121" s="661"/>
      <c r="N121" s="661"/>
      <c r="O121" s="661"/>
      <c r="P121" s="661"/>
      <c r="Q121" s="661"/>
      <c r="R121" s="661"/>
      <c r="S121" s="661"/>
      <c r="T121" s="1422"/>
    </row>
    <row r="122" spans="1:20" ht="12" customHeight="1">
      <c r="A122" s="2"/>
      <c r="B122" s="605" t="s">
        <v>160</v>
      </c>
      <c r="C122" s="734">
        <f>C125*C124</f>
        <v>0</v>
      </c>
      <c r="D122" s="734">
        <f>D125*D124</f>
        <v>0</v>
      </c>
      <c r="E122" s="742">
        <f>E125*E124</f>
        <v>0</v>
      </c>
      <c r="F122" s="812"/>
      <c r="G122" s="1576"/>
      <c r="H122" s="1576"/>
      <c r="I122" s="813"/>
      <c r="J122" s="986"/>
      <c r="K122" s="674"/>
      <c r="L122" s="661"/>
      <c r="M122" s="661"/>
      <c r="N122" s="661"/>
      <c r="O122" s="661"/>
      <c r="P122" s="661"/>
      <c r="Q122" s="661"/>
      <c r="R122" s="661"/>
      <c r="S122" s="661"/>
      <c r="T122" s="1422"/>
    </row>
    <row r="123" spans="1:20" ht="12" customHeight="1">
      <c r="B123" s="593" t="s">
        <v>312</v>
      </c>
      <c r="C123" s="792">
        <v>0</v>
      </c>
      <c r="D123" s="792">
        <f t="shared" ref="D123:E125" si="9">C123*(1+G123)</f>
        <v>0</v>
      </c>
      <c r="E123" s="793">
        <f t="shared" si="9"/>
        <v>0</v>
      </c>
      <c r="F123" s="816"/>
      <c r="G123" s="933">
        <v>0.03</v>
      </c>
      <c r="H123" s="933">
        <f>G123</f>
        <v>0.03</v>
      </c>
      <c r="I123" s="817" t="s">
        <v>313</v>
      </c>
      <c r="J123" s="986"/>
      <c r="K123" s="674"/>
      <c r="L123" s="661"/>
      <c r="M123" s="661"/>
      <c r="N123" s="661"/>
      <c r="O123" s="661"/>
      <c r="P123" s="661"/>
      <c r="Q123" s="661"/>
      <c r="R123" s="661"/>
      <c r="S123" s="661"/>
      <c r="T123" s="1422"/>
    </row>
    <row r="124" spans="1:20" ht="12" customHeight="1">
      <c r="B124" s="593" t="s">
        <v>9</v>
      </c>
      <c r="C124" s="794">
        <v>0</v>
      </c>
      <c r="D124" s="794">
        <f>C124*12/C$13+G124*C124*12/C$13</f>
        <v>0</v>
      </c>
      <c r="E124" s="795">
        <f t="shared" si="9"/>
        <v>0</v>
      </c>
      <c r="F124" s="816"/>
      <c r="G124" s="933">
        <v>0</v>
      </c>
      <c r="H124" s="933">
        <f>G124</f>
        <v>0</v>
      </c>
      <c r="I124" s="817" t="s">
        <v>557</v>
      </c>
      <c r="J124" s="986"/>
      <c r="K124" s="663"/>
      <c r="L124" s="664"/>
      <c r="M124" s="664"/>
      <c r="N124" s="664"/>
      <c r="O124" s="664"/>
      <c r="P124" s="664"/>
      <c r="Q124" s="664"/>
      <c r="R124" s="664"/>
      <c r="S124" s="664"/>
      <c r="T124" s="1401"/>
    </row>
    <row r="125" spans="1:20" ht="12" customHeight="1">
      <c r="B125" s="593" t="s">
        <v>311</v>
      </c>
      <c r="C125" s="792">
        <v>0</v>
      </c>
      <c r="D125" s="792">
        <f t="shared" si="9"/>
        <v>0</v>
      </c>
      <c r="E125" s="793">
        <f t="shared" si="9"/>
        <v>0</v>
      </c>
      <c r="F125" s="816"/>
      <c r="G125" s="933">
        <v>0.03</v>
      </c>
      <c r="H125" s="933">
        <f>G125</f>
        <v>0.03</v>
      </c>
      <c r="I125" s="817" t="s">
        <v>314</v>
      </c>
      <c r="J125" s="986"/>
      <c r="K125" s="663"/>
      <c r="L125" s="664"/>
      <c r="M125" s="664"/>
      <c r="N125" s="664"/>
      <c r="O125" s="664"/>
      <c r="P125" s="664"/>
      <c r="Q125" s="664"/>
      <c r="R125" s="664"/>
      <c r="S125" s="664"/>
      <c r="T125" s="1401"/>
    </row>
    <row r="126" spans="1:20" ht="12" customHeight="1">
      <c r="B126" s="593" t="s">
        <v>10</v>
      </c>
      <c r="C126" s="726">
        <f>IF(C125=0,0,(C125-C123)/C125)</f>
        <v>0</v>
      </c>
      <c r="D126" s="726">
        <f>IF(D125=0,0,(D125-D123)/D125)</f>
        <v>0</v>
      </c>
      <c r="E126" s="727">
        <f>IF(E125=0,0,(E125-E123)/E125)</f>
        <v>0</v>
      </c>
      <c r="F126" s="806"/>
      <c r="G126" s="935"/>
      <c r="H126" s="935"/>
      <c r="I126" s="811"/>
      <c r="J126" s="986"/>
      <c r="K126" s="663"/>
      <c r="L126" s="664"/>
      <c r="M126" s="664"/>
      <c r="N126" s="664"/>
      <c r="O126" s="664"/>
      <c r="P126" s="664"/>
      <c r="Q126" s="664"/>
      <c r="R126" s="664"/>
      <c r="S126" s="664"/>
      <c r="T126" s="1401"/>
    </row>
    <row r="127" spans="1:20" ht="4.2" customHeight="1">
      <c r="B127" s="931"/>
      <c r="C127" s="934"/>
      <c r="D127" s="934"/>
      <c r="E127" s="934"/>
      <c r="F127" s="320"/>
      <c r="G127" s="299"/>
      <c r="H127" s="299"/>
      <c r="I127" s="815"/>
      <c r="J127" s="986"/>
      <c r="K127" s="1424"/>
      <c r="L127" s="675"/>
      <c r="M127" s="675"/>
      <c r="N127" s="675"/>
      <c r="O127" s="675"/>
      <c r="P127" s="675"/>
      <c r="Q127" s="675"/>
      <c r="R127" s="675"/>
      <c r="S127" s="675"/>
      <c r="T127" s="1425"/>
    </row>
    <row r="128" spans="1:20" ht="12" customHeight="1">
      <c r="B128" s="945">
        <v>0</v>
      </c>
      <c r="C128" s="933">
        <v>0.24</v>
      </c>
      <c r="D128" s="933">
        <f>C128</f>
        <v>0.24</v>
      </c>
      <c r="E128" s="933">
        <f>D128</f>
        <v>0.24</v>
      </c>
      <c r="F128" s="806"/>
      <c r="G128" s="935"/>
      <c r="H128" s="935"/>
      <c r="I128" s="811"/>
      <c r="J128" s="986"/>
      <c r="K128" s="663"/>
      <c r="L128" s="664"/>
      <c r="M128" s="664"/>
      <c r="N128" s="664"/>
      <c r="O128" s="664"/>
      <c r="P128" s="664"/>
      <c r="Q128" s="664"/>
      <c r="R128" s="664"/>
      <c r="S128" s="664"/>
      <c r="T128" s="1401"/>
    </row>
    <row r="129" spans="2:20" ht="12" customHeight="1">
      <c r="B129" s="605" t="s">
        <v>160</v>
      </c>
      <c r="C129" s="734">
        <f>C132*C131</f>
        <v>0</v>
      </c>
      <c r="D129" s="734">
        <f>D132*D131</f>
        <v>0</v>
      </c>
      <c r="E129" s="742">
        <f>E132*E131</f>
        <v>0</v>
      </c>
      <c r="F129" s="812"/>
      <c r="G129" s="1576"/>
      <c r="H129" s="1576"/>
      <c r="I129" s="813"/>
      <c r="J129" s="986"/>
      <c r="K129" s="663"/>
      <c r="L129" s="664"/>
      <c r="M129" s="664"/>
      <c r="N129" s="664"/>
      <c r="O129" s="664"/>
      <c r="P129" s="664"/>
      <c r="Q129" s="664"/>
      <c r="R129" s="664"/>
      <c r="S129" s="664"/>
      <c r="T129" s="1401"/>
    </row>
    <row r="130" spans="2:20" ht="12" customHeight="1">
      <c r="B130" s="593" t="s">
        <v>312</v>
      </c>
      <c r="C130" s="792">
        <v>0</v>
      </c>
      <c r="D130" s="792">
        <f t="shared" ref="D130:E132" si="10">C130*(1+G130)</f>
        <v>0</v>
      </c>
      <c r="E130" s="793">
        <f t="shared" si="10"/>
        <v>0</v>
      </c>
      <c r="F130" s="816"/>
      <c r="G130" s="933">
        <v>0.03</v>
      </c>
      <c r="H130" s="933">
        <f>G130</f>
        <v>0.03</v>
      </c>
      <c r="I130" s="817" t="s">
        <v>313</v>
      </c>
      <c r="J130" s="986"/>
      <c r="K130" s="663"/>
      <c r="L130" s="664"/>
      <c r="M130" s="664"/>
      <c r="N130" s="664"/>
      <c r="O130" s="664"/>
      <c r="P130" s="664"/>
      <c r="Q130" s="664"/>
      <c r="R130" s="664"/>
      <c r="S130" s="664"/>
      <c r="T130" s="1401"/>
    </row>
    <row r="131" spans="2:20" ht="12" customHeight="1">
      <c r="B131" s="593" t="s">
        <v>9</v>
      </c>
      <c r="C131" s="794">
        <v>0</v>
      </c>
      <c r="D131" s="794">
        <f>C131*12/C$13+G131*C131*12/C$13</f>
        <v>0</v>
      </c>
      <c r="E131" s="795">
        <f t="shared" si="10"/>
        <v>0</v>
      </c>
      <c r="F131" s="816"/>
      <c r="G131" s="933">
        <v>0</v>
      </c>
      <c r="H131" s="933">
        <f>G131</f>
        <v>0</v>
      </c>
      <c r="I131" s="817" t="s">
        <v>557</v>
      </c>
      <c r="J131" s="986"/>
      <c r="K131" s="663"/>
      <c r="L131" s="664"/>
      <c r="M131" s="664"/>
      <c r="N131" s="664"/>
      <c r="O131" s="664"/>
      <c r="P131" s="664"/>
      <c r="Q131" s="664"/>
      <c r="R131" s="664"/>
      <c r="S131" s="664"/>
      <c r="T131" s="1401"/>
    </row>
    <row r="132" spans="2:20" ht="12" customHeight="1">
      <c r="B132" s="593" t="s">
        <v>311</v>
      </c>
      <c r="C132" s="792">
        <v>0</v>
      </c>
      <c r="D132" s="792">
        <f t="shared" si="10"/>
        <v>0</v>
      </c>
      <c r="E132" s="793">
        <f t="shared" si="10"/>
        <v>0</v>
      </c>
      <c r="F132" s="816"/>
      <c r="G132" s="933">
        <v>0.03</v>
      </c>
      <c r="H132" s="933">
        <f>G132</f>
        <v>0.03</v>
      </c>
      <c r="I132" s="817" t="s">
        <v>314</v>
      </c>
      <c r="J132" s="986"/>
      <c r="K132" s="663"/>
      <c r="L132" s="664"/>
      <c r="M132" s="664"/>
      <c r="N132" s="664"/>
      <c r="O132" s="664"/>
      <c r="P132" s="664"/>
      <c r="Q132" s="664"/>
      <c r="R132" s="664"/>
      <c r="S132" s="664"/>
      <c r="T132" s="1401"/>
    </row>
    <row r="133" spans="2:20" ht="12" customHeight="1">
      <c r="B133" s="593" t="s">
        <v>10</v>
      </c>
      <c r="C133" s="726">
        <f>IF(C132=0,0,(C132-C130)/C132)</f>
        <v>0</v>
      </c>
      <c r="D133" s="726">
        <f>IF(D132=0,0,(D132-D130)/D132)</f>
        <v>0</v>
      </c>
      <c r="E133" s="727">
        <f>IF(E132=0,0,(E132-E130)/E132)</f>
        <v>0</v>
      </c>
      <c r="F133" s="810"/>
      <c r="G133" s="935"/>
      <c r="H133" s="935"/>
      <c r="I133" s="811"/>
      <c r="J133" s="986"/>
      <c r="K133" s="674"/>
      <c r="L133" s="661"/>
      <c r="M133" s="661"/>
      <c r="N133" s="661"/>
      <c r="O133" s="661"/>
      <c r="P133" s="664"/>
      <c r="Q133" s="664"/>
      <c r="R133" s="664"/>
      <c r="S133" s="664"/>
      <c r="T133" s="1401"/>
    </row>
    <row r="134" spans="2:20" ht="4.2" customHeight="1">
      <c r="B134" s="931"/>
      <c r="C134" s="934"/>
      <c r="D134" s="934"/>
      <c r="E134" s="934"/>
      <c r="F134" s="323"/>
      <c r="G134" s="299"/>
      <c r="H134" s="299"/>
      <c r="I134" s="815"/>
      <c r="J134" s="986"/>
      <c r="K134" s="1424"/>
      <c r="L134" s="675"/>
      <c r="M134" s="675"/>
      <c r="N134" s="675"/>
      <c r="O134" s="675"/>
      <c r="P134" s="675"/>
      <c r="Q134" s="675"/>
      <c r="R134" s="675"/>
      <c r="S134" s="675"/>
      <c r="T134" s="1425"/>
    </row>
    <row r="135" spans="2:20" ht="12" customHeight="1">
      <c r="B135" s="945">
        <v>0</v>
      </c>
      <c r="C135" s="933">
        <v>0.24</v>
      </c>
      <c r="D135" s="933">
        <f>C135</f>
        <v>0.24</v>
      </c>
      <c r="E135" s="933">
        <f>D135</f>
        <v>0.24</v>
      </c>
      <c r="F135" s="810"/>
      <c r="G135" s="935"/>
      <c r="H135" s="935"/>
      <c r="I135" s="811"/>
      <c r="J135" s="986"/>
      <c r="K135" s="674"/>
      <c r="L135" s="661"/>
      <c r="M135" s="661"/>
      <c r="N135" s="661"/>
      <c r="O135" s="661"/>
      <c r="P135" s="664"/>
      <c r="Q135" s="664"/>
      <c r="R135" s="664"/>
      <c r="S135" s="664"/>
      <c r="T135" s="1401"/>
    </row>
    <row r="136" spans="2:20" ht="12" customHeight="1">
      <c r="B136" s="605" t="s">
        <v>160</v>
      </c>
      <c r="C136" s="734">
        <f>C139*C138</f>
        <v>0</v>
      </c>
      <c r="D136" s="734">
        <f>D139*D138</f>
        <v>0</v>
      </c>
      <c r="E136" s="742">
        <f>E139*E138</f>
        <v>0</v>
      </c>
      <c r="F136" s="806"/>
      <c r="G136" s="1576"/>
      <c r="H136" s="1576"/>
      <c r="I136" s="811"/>
      <c r="J136" s="986"/>
      <c r="K136" s="674"/>
      <c r="L136" s="661"/>
      <c r="M136" s="661"/>
      <c r="N136" s="661"/>
      <c r="O136" s="661"/>
      <c r="P136" s="664"/>
      <c r="Q136" s="664"/>
      <c r="R136" s="664"/>
      <c r="S136" s="664"/>
      <c r="T136" s="1401"/>
    </row>
    <row r="137" spans="2:20" ht="12" customHeight="1">
      <c r="B137" s="593" t="s">
        <v>312</v>
      </c>
      <c r="C137" s="792">
        <v>0</v>
      </c>
      <c r="D137" s="792">
        <f t="shared" ref="D137:E139" si="11">C137*(1+G137)</f>
        <v>0</v>
      </c>
      <c r="E137" s="793">
        <f t="shared" si="11"/>
        <v>0</v>
      </c>
      <c r="F137" s="816"/>
      <c r="G137" s="933">
        <v>0.03</v>
      </c>
      <c r="H137" s="933">
        <f>G137</f>
        <v>0.03</v>
      </c>
      <c r="I137" s="817" t="s">
        <v>313</v>
      </c>
      <c r="J137" s="986"/>
      <c r="K137" s="674"/>
      <c r="L137" s="661"/>
      <c r="M137" s="661"/>
      <c r="N137" s="661"/>
      <c r="O137" s="661"/>
      <c r="P137" s="664"/>
      <c r="Q137" s="664"/>
      <c r="R137" s="664"/>
      <c r="S137" s="664"/>
      <c r="T137" s="1401"/>
    </row>
    <row r="138" spans="2:20" ht="12" customHeight="1">
      <c r="B138" s="593" t="s">
        <v>9</v>
      </c>
      <c r="C138" s="794">
        <v>0</v>
      </c>
      <c r="D138" s="794">
        <f>C138*12/C$13+G138*C138*12/C$13</f>
        <v>0</v>
      </c>
      <c r="E138" s="795">
        <f t="shared" si="11"/>
        <v>0</v>
      </c>
      <c r="F138" s="816"/>
      <c r="G138" s="933">
        <v>0</v>
      </c>
      <c r="H138" s="933">
        <f>G138</f>
        <v>0</v>
      </c>
      <c r="I138" s="817" t="s">
        <v>557</v>
      </c>
      <c r="J138" s="986"/>
      <c r="K138" s="674"/>
      <c r="L138" s="661"/>
      <c r="M138" s="661"/>
      <c r="N138" s="661"/>
      <c r="O138" s="661"/>
      <c r="P138" s="664"/>
      <c r="Q138" s="664"/>
      <c r="R138" s="664"/>
      <c r="S138" s="664"/>
      <c r="T138" s="1401"/>
    </row>
    <row r="139" spans="2:20" ht="12" customHeight="1">
      <c r="B139" s="593" t="s">
        <v>311</v>
      </c>
      <c r="C139" s="792">
        <v>0</v>
      </c>
      <c r="D139" s="792">
        <f t="shared" si="11"/>
        <v>0</v>
      </c>
      <c r="E139" s="793">
        <f t="shared" si="11"/>
        <v>0</v>
      </c>
      <c r="F139" s="816"/>
      <c r="G139" s="933">
        <v>0.03</v>
      </c>
      <c r="H139" s="933">
        <f>G139</f>
        <v>0.03</v>
      </c>
      <c r="I139" s="817" t="s">
        <v>314</v>
      </c>
      <c r="J139" s="986"/>
      <c r="K139" s="674"/>
      <c r="L139" s="661"/>
      <c r="M139" s="661"/>
      <c r="N139" s="661"/>
      <c r="O139" s="661"/>
      <c r="P139" s="664"/>
      <c r="Q139" s="664"/>
      <c r="R139" s="664"/>
      <c r="S139" s="664"/>
      <c r="T139" s="1401"/>
    </row>
    <row r="140" spans="2:20" ht="12" customHeight="1">
      <c r="B140" s="593" t="s">
        <v>10</v>
      </c>
      <c r="C140" s="726">
        <f>IF(C139=0,0,(C139-C137)/C139)</f>
        <v>0</v>
      </c>
      <c r="D140" s="726">
        <f>IF(D139=0,0,(D139-D137)/D139)</f>
        <v>0</v>
      </c>
      <c r="E140" s="727">
        <f>IF(E139=0,0,(E139-E137)/E139)</f>
        <v>0</v>
      </c>
      <c r="F140" s="806" t="s">
        <v>0</v>
      </c>
      <c r="G140" s="935"/>
      <c r="H140" s="935"/>
      <c r="I140" s="811"/>
      <c r="J140" s="986"/>
      <c r="K140" s="674"/>
      <c r="L140" s="661"/>
      <c r="M140" s="661"/>
      <c r="N140" s="661"/>
      <c r="O140" s="661"/>
      <c r="P140" s="664"/>
      <c r="Q140" s="664"/>
      <c r="R140" s="664"/>
      <c r="S140" s="664"/>
      <c r="T140" s="1401"/>
    </row>
    <row r="141" spans="2:20" ht="4.2" customHeight="1">
      <c r="B141" s="931"/>
      <c r="C141" s="934"/>
      <c r="D141" s="934"/>
      <c r="E141" s="934"/>
      <c r="F141" s="320"/>
      <c r="G141" s="299"/>
      <c r="H141" s="299"/>
      <c r="I141" s="815"/>
      <c r="J141" s="986"/>
      <c r="K141" s="1424"/>
      <c r="L141" s="675"/>
      <c r="M141" s="675"/>
      <c r="N141" s="675"/>
      <c r="O141" s="675"/>
      <c r="P141" s="675"/>
      <c r="Q141" s="675"/>
      <c r="R141" s="675"/>
      <c r="S141" s="675"/>
      <c r="T141" s="1425"/>
    </row>
    <row r="142" spans="2:20" ht="12" customHeight="1">
      <c r="B142" s="945">
        <v>0</v>
      </c>
      <c r="C142" s="933">
        <v>0.24</v>
      </c>
      <c r="D142" s="933">
        <f>C142</f>
        <v>0.24</v>
      </c>
      <c r="E142" s="933">
        <f>D142</f>
        <v>0.24</v>
      </c>
      <c r="F142" s="806"/>
      <c r="G142" s="935"/>
      <c r="H142" s="935"/>
      <c r="I142" s="811"/>
      <c r="J142" s="986"/>
      <c r="K142" s="674"/>
      <c r="L142" s="661"/>
      <c r="M142" s="661"/>
      <c r="N142" s="661"/>
      <c r="O142" s="661"/>
      <c r="P142" s="664"/>
      <c r="Q142" s="664"/>
      <c r="R142" s="664"/>
      <c r="S142" s="664"/>
      <c r="T142" s="1401"/>
    </row>
    <row r="143" spans="2:20" ht="12" customHeight="1">
      <c r="B143" s="605" t="s">
        <v>160</v>
      </c>
      <c r="C143" s="734">
        <f>C146*C145</f>
        <v>0</v>
      </c>
      <c r="D143" s="734">
        <f>D146*D145</f>
        <v>0</v>
      </c>
      <c r="E143" s="742">
        <f>E146*E145</f>
        <v>0</v>
      </c>
      <c r="F143" s="806"/>
      <c r="G143" s="1576"/>
      <c r="H143" s="1576"/>
      <c r="I143" s="814"/>
      <c r="J143" s="986"/>
      <c r="K143" s="663"/>
      <c r="L143" s="664"/>
      <c r="M143" s="664"/>
      <c r="N143" s="664"/>
      <c r="O143" s="664"/>
      <c r="P143" s="664"/>
      <c r="Q143" s="664"/>
      <c r="R143" s="664"/>
      <c r="S143" s="664"/>
      <c r="T143" s="1401"/>
    </row>
    <row r="144" spans="2:20" ht="12" customHeight="1">
      <c r="B144" s="593" t="s">
        <v>312</v>
      </c>
      <c r="C144" s="792">
        <v>0</v>
      </c>
      <c r="D144" s="792">
        <f t="shared" ref="D144:E146" si="12">C144*(1+G144)</f>
        <v>0</v>
      </c>
      <c r="E144" s="793">
        <f t="shared" si="12"/>
        <v>0</v>
      </c>
      <c r="F144" s="816"/>
      <c r="G144" s="933">
        <v>0.03</v>
      </c>
      <c r="H144" s="933">
        <f>G144</f>
        <v>0.03</v>
      </c>
      <c r="I144" s="817" t="s">
        <v>313</v>
      </c>
      <c r="J144" s="986"/>
      <c r="K144" s="663"/>
      <c r="L144" s="664"/>
      <c r="M144" s="664"/>
      <c r="N144" s="664"/>
      <c r="O144" s="664"/>
      <c r="P144" s="664"/>
      <c r="Q144" s="664"/>
      <c r="R144" s="664"/>
      <c r="S144" s="664"/>
      <c r="T144" s="1401"/>
    </row>
    <row r="145" spans="2:20" ht="12" customHeight="1">
      <c r="B145" s="593" t="s">
        <v>9</v>
      </c>
      <c r="C145" s="794">
        <v>0</v>
      </c>
      <c r="D145" s="794">
        <f>C145*12/C$13+G145*C145*12/C$13</f>
        <v>0</v>
      </c>
      <c r="E145" s="795">
        <f t="shared" si="12"/>
        <v>0</v>
      </c>
      <c r="F145" s="816"/>
      <c r="G145" s="933">
        <v>0</v>
      </c>
      <c r="H145" s="933">
        <f>G145</f>
        <v>0</v>
      </c>
      <c r="I145" s="817" t="s">
        <v>557</v>
      </c>
      <c r="J145" s="986"/>
      <c r="K145" s="663"/>
      <c r="L145" s="664"/>
      <c r="M145" s="664"/>
      <c r="N145" s="664"/>
      <c r="O145" s="664"/>
      <c r="P145" s="664"/>
      <c r="Q145" s="664"/>
      <c r="R145" s="664"/>
      <c r="S145" s="664"/>
      <c r="T145" s="1401"/>
    </row>
    <row r="146" spans="2:20" ht="12" customHeight="1">
      <c r="B146" s="593" t="s">
        <v>311</v>
      </c>
      <c r="C146" s="792">
        <v>0</v>
      </c>
      <c r="D146" s="792">
        <f t="shared" si="12"/>
        <v>0</v>
      </c>
      <c r="E146" s="793">
        <f t="shared" si="12"/>
        <v>0</v>
      </c>
      <c r="F146" s="816"/>
      <c r="G146" s="933">
        <v>0.03</v>
      </c>
      <c r="H146" s="933">
        <f>G146</f>
        <v>0.03</v>
      </c>
      <c r="I146" s="817" t="s">
        <v>314</v>
      </c>
      <c r="J146" s="986"/>
      <c r="K146" s="663"/>
      <c r="L146" s="664"/>
      <c r="M146" s="664"/>
      <c r="N146" s="664"/>
      <c r="O146" s="664"/>
      <c r="P146" s="664"/>
      <c r="Q146" s="664"/>
      <c r="R146" s="664"/>
      <c r="S146" s="664"/>
      <c r="T146" s="1401"/>
    </row>
    <row r="147" spans="2:20" ht="12" customHeight="1">
      <c r="B147" s="593" t="s">
        <v>10</v>
      </c>
      <c r="C147" s="726">
        <f>IF(C146=0,0,(C146-C144)/C146)</f>
        <v>0</v>
      </c>
      <c r="D147" s="726">
        <f>IF(D146=0,0,(D146-D144)/D146)</f>
        <v>0</v>
      </c>
      <c r="E147" s="727">
        <f>IF(E146=0,0,(E146-E144)/E146)</f>
        <v>0</v>
      </c>
      <c r="F147" s="810"/>
      <c r="G147" s="935"/>
      <c r="H147" s="935"/>
      <c r="I147" s="811"/>
      <c r="J147" s="986"/>
      <c r="K147" s="674"/>
      <c r="L147" s="661"/>
      <c r="M147" s="661"/>
      <c r="N147" s="661"/>
      <c r="O147" s="661"/>
      <c r="P147" s="664"/>
      <c r="Q147" s="664"/>
      <c r="R147" s="664"/>
      <c r="S147" s="664"/>
      <c r="T147" s="1401"/>
    </row>
    <row r="148" spans="2:20" ht="4.2" customHeight="1">
      <c r="B148" s="931"/>
      <c r="C148" s="934"/>
      <c r="D148" s="934"/>
      <c r="E148" s="934"/>
      <c r="F148" s="658"/>
      <c r="G148" s="935"/>
      <c r="H148" s="935"/>
      <c r="I148" s="811"/>
      <c r="J148" s="986"/>
      <c r="K148" s="1424"/>
      <c r="L148" s="675"/>
      <c r="M148" s="675"/>
      <c r="N148" s="675"/>
      <c r="O148" s="675"/>
      <c r="P148" s="675"/>
      <c r="Q148" s="675"/>
      <c r="R148" s="675"/>
      <c r="S148" s="675"/>
      <c r="T148" s="1425"/>
    </row>
    <row r="149" spans="2:20">
      <c r="B149" s="945">
        <v>0</v>
      </c>
      <c r="C149" s="933">
        <v>0.24</v>
      </c>
      <c r="D149" s="933">
        <f>C149</f>
        <v>0.24</v>
      </c>
      <c r="E149" s="933">
        <f>D149</f>
        <v>0.24</v>
      </c>
      <c r="F149" s="810"/>
      <c r="G149" s="935"/>
      <c r="H149" s="935"/>
      <c r="I149" s="811"/>
      <c r="J149" s="986"/>
      <c r="K149" s="674"/>
      <c r="L149" s="661"/>
      <c r="M149" s="661"/>
      <c r="N149" s="661"/>
      <c r="O149" s="661"/>
      <c r="P149" s="664"/>
      <c r="Q149" s="664"/>
      <c r="R149" s="664"/>
      <c r="S149" s="664"/>
      <c r="T149" s="1401"/>
    </row>
    <row r="150" spans="2:20" ht="12" customHeight="1">
      <c r="B150" s="939" t="s">
        <v>160</v>
      </c>
      <c r="C150" s="734">
        <f>C153*C152</f>
        <v>0</v>
      </c>
      <c r="D150" s="734">
        <f>D153*D152</f>
        <v>0</v>
      </c>
      <c r="E150" s="742">
        <f>E153*E152</f>
        <v>0</v>
      </c>
      <c r="F150" s="806"/>
      <c r="G150" s="1576"/>
      <c r="H150" s="1576"/>
      <c r="I150" s="814"/>
      <c r="J150" s="986"/>
      <c r="K150" s="674"/>
      <c r="L150" s="661"/>
      <c r="M150" s="661"/>
      <c r="N150" s="661"/>
      <c r="O150" s="661"/>
      <c r="P150" s="664"/>
      <c r="Q150" s="664"/>
      <c r="R150" s="664"/>
      <c r="S150" s="664"/>
      <c r="T150" s="1401"/>
    </row>
    <row r="151" spans="2:20" ht="12" customHeight="1">
      <c r="B151" s="593" t="s">
        <v>312</v>
      </c>
      <c r="C151" s="792">
        <v>0</v>
      </c>
      <c r="D151" s="792">
        <f t="shared" ref="D151:E153" si="13">C151*(1+G151)</f>
        <v>0</v>
      </c>
      <c r="E151" s="793">
        <f t="shared" si="13"/>
        <v>0</v>
      </c>
      <c r="F151" s="816"/>
      <c r="G151" s="933">
        <v>0.03</v>
      </c>
      <c r="H151" s="933">
        <f>G151</f>
        <v>0.03</v>
      </c>
      <c r="I151" s="817" t="s">
        <v>313</v>
      </c>
      <c r="J151" s="986"/>
      <c r="K151" s="674"/>
      <c r="L151" s="661"/>
      <c r="M151" s="661"/>
      <c r="N151" s="661"/>
      <c r="O151" s="661"/>
      <c r="P151" s="664"/>
      <c r="Q151" s="664"/>
      <c r="R151" s="664"/>
      <c r="S151" s="664"/>
      <c r="T151" s="1401"/>
    </row>
    <row r="152" spans="2:20" ht="12" customHeight="1">
      <c r="B152" s="593" t="s">
        <v>9</v>
      </c>
      <c r="C152" s="794">
        <v>0</v>
      </c>
      <c r="D152" s="794">
        <f>C152*12/C$13+G152*C152*12/C$13</f>
        <v>0</v>
      </c>
      <c r="E152" s="795">
        <f t="shared" si="13"/>
        <v>0</v>
      </c>
      <c r="F152" s="816"/>
      <c r="G152" s="933">
        <v>0</v>
      </c>
      <c r="H152" s="933">
        <f>G152</f>
        <v>0</v>
      </c>
      <c r="I152" s="817" t="s">
        <v>557</v>
      </c>
      <c r="J152" s="986"/>
      <c r="K152" s="674"/>
      <c r="L152" s="661"/>
      <c r="M152" s="661"/>
      <c r="N152" s="661"/>
      <c r="O152" s="661"/>
      <c r="P152" s="664"/>
      <c r="Q152" s="664"/>
      <c r="R152" s="664"/>
      <c r="S152" s="664"/>
      <c r="T152" s="1401"/>
    </row>
    <row r="153" spans="2:20" ht="12" customHeight="1">
      <c r="B153" s="593" t="s">
        <v>311</v>
      </c>
      <c r="C153" s="792">
        <v>0</v>
      </c>
      <c r="D153" s="792">
        <f t="shared" si="13"/>
        <v>0</v>
      </c>
      <c r="E153" s="793">
        <f t="shared" si="13"/>
        <v>0</v>
      </c>
      <c r="F153" s="816"/>
      <c r="G153" s="933">
        <v>0.03</v>
      </c>
      <c r="H153" s="933">
        <f>G153</f>
        <v>0.03</v>
      </c>
      <c r="I153" s="817" t="s">
        <v>314</v>
      </c>
      <c r="J153" s="986"/>
      <c r="K153" s="674"/>
      <c r="L153" s="661"/>
      <c r="M153" s="661"/>
      <c r="N153" s="661"/>
      <c r="O153" s="661"/>
      <c r="P153" s="664"/>
      <c r="Q153" s="664"/>
      <c r="R153" s="664"/>
      <c r="S153" s="664"/>
      <c r="T153" s="1401"/>
    </row>
    <row r="154" spans="2:20" ht="12" customHeight="1">
      <c r="B154" s="593" t="s">
        <v>10</v>
      </c>
      <c r="C154" s="726">
        <f>IF(C153=0,0,(C153-C151)/C153)</f>
        <v>0</v>
      </c>
      <c r="D154" s="726">
        <f>IF(D153=0,0,(D153-D151)/D153)</f>
        <v>0</v>
      </c>
      <c r="E154" s="727">
        <f>IF(E153=0,0,(E153-E151)/E153)</f>
        <v>0</v>
      </c>
      <c r="F154" s="818"/>
      <c r="G154" s="819"/>
      <c r="H154" s="819"/>
      <c r="I154" s="820"/>
      <c r="J154" s="986"/>
      <c r="K154" s="1423"/>
      <c r="L154" s="677"/>
      <c r="M154" s="677"/>
      <c r="N154" s="677"/>
      <c r="O154" s="677"/>
      <c r="P154" s="666"/>
      <c r="Q154" s="666"/>
      <c r="R154" s="666"/>
      <c r="S154" s="666"/>
      <c r="T154" s="1402"/>
    </row>
    <row r="155" spans="2:20" ht="4.2" customHeight="1">
      <c r="B155" s="323"/>
      <c r="C155" s="730"/>
      <c r="D155" s="730"/>
      <c r="E155" s="730"/>
      <c r="F155" s="320"/>
      <c r="G155" s="323"/>
      <c r="H155" s="327"/>
      <c r="I155" s="327"/>
      <c r="K155" s="675"/>
      <c r="L155" s="675"/>
      <c r="M155" s="675"/>
      <c r="N155" s="675"/>
      <c r="O155" s="675"/>
      <c r="P155" s="661"/>
      <c r="Q155" s="661"/>
      <c r="R155" s="661"/>
      <c r="S155" s="661"/>
      <c r="T155" s="661"/>
    </row>
    <row r="156" spans="2:20" ht="12.75" customHeight="1">
      <c r="B156" s="799" t="s">
        <v>694</v>
      </c>
      <c r="C156" s="734">
        <f>C85*(1+C84)+C90*(1+C89)+C95*(1+C94)+C100*(1+C99)+C105*(1+C104)+C110*(1+C109)+C115*(1+C114)+C122*(1+C121)+C129*(1+C128)+C136*(1+C135)+C143*(1+C142)+C150*(1+C149)+C75</f>
        <v>0</v>
      </c>
      <c r="D156" s="734">
        <f>D85*(1+D84)+D90*(1+D89)+D95*(1+D94)+D100*(1+D99)+D105*(1+D104)+D110*(1+D109)+D115*(1+D114)+D122*(1+D121)+D129*(1+D128)+D136*(1+D135)+D143*(1+D142)+D150*(1+D149)+D75</f>
        <v>0</v>
      </c>
      <c r="E156" s="734">
        <f>E85*(1+E84)+E90*(1+E89)+E95*(1+E94)+E100*(1+E99)+E105*(1+E104)+E110*(1+E109)+E115*(1+E114)+E122*(1+E121)+E129*(1+E128)+E136*(1+E135)+E143*(1+E142)+E150*(1+E149)+E75</f>
        <v>0</v>
      </c>
      <c r="F156" s="320"/>
      <c r="G156" s="323"/>
      <c r="H156" s="327"/>
      <c r="I156" s="327"/>
      <c r="K156" s="675"/>
      <c r="L156" s="675"/>
      <c r="M156" s="675"/>
      <c r="N156" s="675"/>
      <c r="O156" s="675"/>
      <c r="P156" s="664"/>
      <c r="Q156" s="664"/>
      <c r="R156" s="664"/>
      <c r="S156" s="664"/>
      <c r="T156" s="664"/>
    </row>
    <row r="157" spans="2:20">
      <c r="B157" s="800" t="s">
        <v>695</v>
      </c>
      <c r="C157" s="734">
        <f>C85+C90+C95+C100+C105+C110+C115+C122+C129+C136+C143+C150+C76</f>
        <v>0</v>
      </c>
      <c r="D157" s="734">
        <f>D85+D90+D95+D100+D105+D110+D115+D122+D129+D136+D143+D150+D76</f>
        <v>0</v>
      </c>
      <c r="E157" s="734">
        <f>E85+E90+E95+E100+E105+E110+E115+E122+E129+E136+E143+E150+E76</f>
        <v>0</v>
      </c>
      <c r="F157" s="320"/>
      <c r="G157" s="323"/>
      <c r="H157" s="323"/>
      <c r="I157" s="323"/>
      <c r="K157" s="154"/>
      <c r="L157" s="154"/>
      <c r="M157" s="154"/>
      <c r="N157" s="154"/>
      <c r="O157" s="154"/>
      <c r="P157" s="1044"/>
      <c r="Q157" s="1044"/>
      <c r="R157" s="1044"/>
      <c r="S157" s="1044"/>
      <c r="T157" s="1044"/>
    </row>
    <row r="158" spans="2:20">
      <c r="B158" s="800" t="s">
        <v>696</v>
      </c>
      <c r="C158" s="734">
        <f>C115*(1-C119)+C122*(1-C126)+C129*(1-C133)+C136*(1-C140)+C143*(1-C147)+C150*(1-C154)+C77</f>
        <v>0</v>
      </c>
      <c r="D158" s="734">
        <f>D115*(1-D119)+D122*(1-D126)+D129*(1-D133)+D136*(1-D140)+D143*(1-D147)+D150*(1-D154)+D77</f>
        <v>0</v>
      </c>
      <c r="E158" s="734">
        <f>E115*(1-E119)+E122*(1-E126)+E129*(1-E133)+E136*(1-E140)+E143*(1-E147)+E150*(1-E154)+E77</f>
        <v>0</v>
      </c>
      <c r="F158" s="320"/>
      <c r="G158" s="323"/>
      <c r="H158" s="323"/>
      <c r="I158" s="323"/>
      <c r="K158" s="154"/>
      <c r="L158" s="154"/>
      <c r="M158" s="154"/>
      <c r="N158" s="154"/>
      <c r="O158" s="154"/>
      <c r="P158" s="1044"/>
      <c r="Q158" s="1044"/>
      <c r="R158" s="1044"/>
      <c r="S158" s="1044"/>
      <c r="T158" s="1044"/>
    </row>
    <row r="159" spans="2:20" hidden="1">
      <c r="B159" s="800" t="s">
        <v>659</v>
      </c>
      <c r="C159" s="734">
        <f>C151*C152+C151*C152*C149+C144*C145+C144*C145*C142+C137*C138+C137*C138*C135+C130*C131+C130*C131*C128+C123*C124+C123*C124*C121+C116*C117+C116*C117*C114+C78</f>
        <v>0</v>
      </c>
      <c r="D159" s="734">
        <f t="shared" ref="D159:E159" si="14">D151*D152+D151*D152*D149+D144*D145+D144*D145*D142+D137*D138+D137*D138*D135+D130*D131+D130*D131*D128+D123*D124+D123*D124*D121+D116*D117+D116*D117*D114+D78</f>
        <v>0</v>
      </c>
      <c r="E159" s="734">
        <f t="shared" si="14"/>
        <v>0</v>
      </c>
      <c r="F159" s="20"/>
      <c r="G159" s="20"/>
      <c r="H159" s="20"/>
      <c r="I159" s="20"/>
      <c r="J159" s="20"/>
      <c r="K159" s="20"/>
      <c r="P159" s="340"/>
      <c r="Q159" s="340"/>
      <c r="R159" s="340"/>
      <c r="S159" s="340"/>
      <c r="T159" s="340"/>
    </row>
    <row r="160" spans="2:20" ht="4.2" customHeight="1">
      <c r="B160" s="154"/>
      <c r="C160" s="345"/>
      <c r="D160" s="345"/>
      <c r="E160" s="345"/>
      <c r="F160" s="328"/>
      <c r="G160" s="154"/>
      <c r="H160" s="154"/>
      <c r="I160" s="154"/>
      <c r="K160" s="154"/>
      <c r="L160" s="154"/>
      <c r="M160" s="154"/>
      <c r="N160" s="154"/>
      <c r="O160" s="154"/>
      <c r="P160" s="1044"/>
      <c r="Q160" s="1044"/>
      <c r="R160" s="1044"/>
      <c r="S160" s="1044"/>
      <c r="T160" s="1044"/>
    </row>
    <row r="161" spans="1:20">
      <c r="B161" s="1692"/>
      <c r="C161" s="821" t="s">
        <v>400</v>
      </c>
      <c r="D161" s="821" t="s">
        <v>401</v>
      </c>
      <c r="E161" s="821" t="s">
        <v>454</v>
      </c>
      <c r="F161" s="328"/>
      <c r="G161" s="154"/>
      <c r="H161" s="20"/>
      <c r="I161" s="20"/>
      <c r="K161" s="154"/>
      <c r="L161" s="154"/>
      <c r="M161" s="154"/>
      <c r="N161" s="154"/>
      <c r="O161" s="154"/>
      <c r="P161" s="1044"/>
      <c r="Q161" s="1044"/>
      <c r="R161" s="1044"/>
      <c r="S161" s="1044"/>
      <c r="T161" s="1044"/>
    </row>
    <row r="162" spans="1:20">
      <c r="B162" s="1692"/>
      <c r="C162" s="822">
        <f t="shared" ref="C162:E163" si="15">C12</f>
        <v>2025</v>
      </c>
      <c r="D162" s="822">
        <f t="shared" si="15"/>
        <v>2026</v>
      </c>
      <c r="E162" s="822">
        <f t="shared" si="15"/>
        <v>2027</v>
      </c>
      <c r="F162" s="328"/>
      <c r="G162" s="154"/>
      <c r="H162" s="43"/>
      <c r="I162" s="47"/>
      <c r="K162" s="154"/>
      <c r="L162" s="154"/>
      <c r="M162" s="154"/>
      <c r="N162" s="154"/>
      <c r="O162" s="154"/>
      <c r="P162" s="1044"/>
      <c r="Q162" s="1044"/>
      <c r="R162" s="1044"/>
      <c r="S162" s="1044"/>
      <c r="T162" s="1044"/>
    </row>
    <row r="163" spans="1:20">
      <c r="B163" s="804" t="s">
        <v>470</v>
      </c>
      <c r="C163" s="801">
        <f t="shared" si="15"/>
        <v>12</v>
      </c>
      <c r="D163" s="801">
        <f t="shared" si="15"/>
        <v>12</v>
      </c>
      <c r="E163" s="801">
        <f t="shared" si="15"/>
        <v>12</v>
      </c>
      <c r="F163"/>
      <c r="K163" s="340"/>
      <c r="L163" s="243"/>
      <c r="M163" s="243"/>
      <c r="N163" s="340"/>
      <c r="O163" s="340"/>
      <c r="P163" s="340"/>
      <c r="Q163" s="340"/>
      <c r="R163" s="340"/>
      <c r="S163" s="340"/>
      <c r="T163" s="340"/>
    </row>
    <row r="164" spans="1:20" ht="4.2" customHeight="1">
      <c r="B164" s="937"/>
      <c r="C164" s="226"/>
      <c r="D164" s="226"/>
      <c r="E164" s="226"/>
      <c r="F164" s="328"/>
      <c r="G164" s="154"/>
      <c r="H164" s="92"/>
      <c r="I164" s="143"/>
      <c r="K164" s="154"/>
      <c r="L164" s="154"/>
      <c r="M164" s="154"/>
      <c r="N164" s="154"/>
      <c r="O164" s="154"/>
      <c r="P164" s="1044"/>
      <c r="Q164" s="1044"/>
      <c r="R164" s="1044"/>
      <c r="S164" s="1044"/>
      <c r="T164" s="1044"/>
    </row>
    <row r="165" spans="1:20" ht="12" customHeight="1">
      <c r="B165" s="945" t="s">
        <v>233</v>
      </c>
      <c r="C165" s="933">
        <v>0.24</v>
      </c>
      <c r="D165" s="933">
        <f>C165</f>
        <v>0.24</v>
      </c>
      <c r="E165" s="933">
        <f>D165</f>
        <v>0.24</v>
      </c>
      <c r="F165" s="1865">
        <v>0</v>
      </c>
      <c r="G165" s="1866"/>
      <c r="H165" s="1866"/>
      <c r="I165" s="805"/>
      <c r="K165" s="662" t="s">
        <v>545</v>
      </c>
      <c r="L165" s="673"/>
      <c r="M165" s="673"/>
      <c r="N165" s="673"/>
      <c r="O165" s="1038"/>
      <c r="P165" s="1038"/>
      <c r="Q165" s="1038"/>
      <c r="R165" s="1038"/>
      <c r="S165" s="1038"/>
      <c r="T165" s="1039"/>
    </row>
    <row r="166" spans="1:20" ht="12" customHeight="1">
      <c r="A166" s="154"/>
      <c r="B166" s="604" t="s">
        <v>160</v>
      </c>
      <c r="C166" s="734">
        <f>C167*C168</f>
        <v>0</v>
      </c>
      <c r="D166" s="734">
        <f>D167*D168</f>
        <v>0</v>
      </c>
      <c r="E166" s="742">
        <f>E167*E168</f>
        <v>0</v>
      </c>
      <c r="F166" s="806"/>
      <c r="G166" s="656">
        <f>D12</f>
        <v>2026</v>
      </c>
      <c r="H166" s="656">
        <f>E12</f>
        <v>2027</v>
      </c>
      <c r="I166" s="807"/>
      <c r="K166" s="1444"/>
      <c r="L166" s="356"/>
      <c r="M166" s="356"/>
      <c r="N166" s="357"/>
      <c r="O166" s="1445"/>
      <c r="P166" s="1445"/>
      <c r="Q166" s="1445"/>
      <c r="R166" s="1445"/>
      <c r="S166" s="1445"/>
      <c r="T166" s="1446"/>
    </row>
    <row r="167" spans="1:20" ht="12" customHeight="1">
      <c r="B167" s="603" t="s">
        <v>315</v>
      </c>
      <c r="C167" s="792">
        <v>0</v>
      </c>
      <c r="D167" s="792">
        <f>C167*(1+G167)</f>
        <v>0</v>
      </c>
      <c r="E167" s="793">
        <f>D167*(1+H167)</f>
        <v>0</v>
      </c>
      <c r="F167" s="816"/>
      <c r="G167" s="933">
        <v>0.03</v>
      </c>
      <c r="H167" s="933">
        <f>G167</f>
        <v>0.03</v>
      </c>
      <c r="I167" s="817" t="s">
        <v>558</v>
      </c>
      <c r="K167" s="1424"/>
      <c r="L167" s="675"/>
      <c r="M167" s="675"/>
      <c r="N167" s="750"/>
      <c r="O167" s="750"/>
      <c r="P167" s="1043" t="s">
        <v>772</v>
      </c>
      <c r="Q167" s="345"/>
      <c r="R167" s="750"/>
      <c r="S167" s="750"/>
      <c r="T167" s="1447"/>
    </row>
    <row r="168" spans="1:20" ht="12" customHeight="1">
      <c r="A168" s="154"/>
      <c r="B168" s="796" t="s">
        <v>645</v>
      </c>
      <c r="C168" s="794">
        <v>0</v>
      </c>
      <c r="D168" s="794">
        <f>C168*12/C$13+G168*C168*12/C$13</f>
        <v>0</v>
      </c>
      <c r="E168" s="795">
        <f>D168*(1+H168)</f>
        <v>0</v>
      </c>
      <c r="F168" s="816"/>
      <c r="G168" s="933">
        <v>0</v>
      </c>
      <c r="H168" s="933">
        <f>G168</f>
        <v>0</v>
      </c>
      <c r="I168" s="817" t="s">
        <v>557</v>
      </c>
      <c r="K168" s="674"/>
      <c r="L168" s="661"/>
      <c r="M168" s="661"/>
      <c r="N168" s="661"/>
      <c r="O168" s="661"/>
      <c r="P168" s="661"/>
      <c r="Q168" s="661"/>
      <c r="R168" s="661"/>
      <c r="S168" s="661"/>
      <c r="T168" s="1422"/>
    </row>
    <row r="169" spans="1:20" ht="4.2" customHeight="1">
      <c r="A169" s="2"/>
      <c r="B169" s="931"/>
      <c r="C169" s="932"/>
      <c r="D169" s="938"/>
      <c r="E169" s="938"/>
      <c r="F169" s="320"/>
      <c r="G169" s="936"/>
      <c r="H169" s="936"/>
      <c r="I169" s="809"/>
      <c r="K169" s="1424"/>
      <c r="L169" s="675"/>
      <c r="M169" s="675"/>
      <c r="N169" s="675"/>
      <c r="O169" s="675"/>
      <c r="P169" s="675"/>
      <c r="Q169" s="675"/>
      <c r="R169" s="675"/>
      <c r="S169" s="675"/>
      <c r="T169" s="1425"/>
    </row>
    <row r="170" spans="1:20" ht="12" customHeight="1">
      <c r="A170" s="154"/>
      <c r="B170" s="945">
        <v>0</v>
      </c>
      <c r="C170" s="933">
        <v>0.24</v>
      </c>
      <c r="D170" s="933">
        <f>C170</f>
        <v>0.24</v>
      </c>
      <c r="E170" s="933">
        <f>D170</f>
        <v>0.24</v>
      </c>
      <c r="F170" s="810"/>
      <c r="G170" s="935"/>
      <c r="H170" s="935"/>
      <c r="I170" s="811"/>
      <c r="K170" s="674"/>
      <c r="L170" s="661"/>
      <c r="M170" s="661"/>
      <c r="N170" s="661"/>
      <c r="O170" s="661"/>
      <c r="P170" s="661"/>
      <c r="Q170" s="661"/>
      <c r="R170" s="661"/>
      <c r="S170" s="661"/>
      <c r="T170" s="1422"/>
    </row>
    <row r="171" spans="1:20" ht="12" customHeight="1">
      <c r="B171" s="604" t="s">
        <v>160</v>
      </c>
      <c r="C171" s="734">
        <f>C172*C173</f>
        <v>0</v>
      </c>
      <c r="D171" s="734">
        <f>D172*D173</f>
        <v>0</v>
      </c>
      <c r="E171" s="742">
        <f>E172*E173</f>
        <v>0</v>
      </c>
      <c r="F171" s="812"/>
      <c r="G171" s="1576"/>
      <c r="H171" s="1576"/>
      <c r="I171" s="813"/>
      <c r="K171" s="674"/>
      <c r="L171" s="661"/>
      <c r="M171" s="661"/>
      <c r="N171" s="661"/>
      <c r="O171" s="661"/>
      <c r="P171" s="661"/>
      <c r="Q171" s="661"/>
      <c r="R171" s="661"/>
      <c r="S171" s="661"/>
      <c r="T171" s="1422"/>
    </row>
    <row r="172" spans="1:20" ht="12" customHeight="1">
      <c r="A172" s="154"/>
      <c r="B172" s="603" t="s">
        <v>315</v>
      </c>
      <c r="C172" s="792">
        <v>0</v>
      </c>
      <c r="D172" s="792">
        <f>C172*(1+G172)</f>
        <v>0</v>
      </c>
      <c r="E172" s="793">
        <f>D172*(1+H172)</f>
        <v>0</v>
      </c>
      <c r="F172" s="808"/>
      <c r="G172" s="933">
        <v>0.03</v>
      </c>
      <c r="H172" s="933">
        <f>G172</f>
        <v>0.03</v>
      </c>
      <c r="I172" s="817" t="s">
        <v>558</v>
      </c>
      <c r="K172" s="663"/>
      <c r="L172" s="664"/>
      <c r="M172" s="664"/>
      <c r="N172" s="664"/>
      <c r="O172" s="664"/>
      <c r="P172" s="661"/>
      <c r="Q172" s="661"/>
      <c r="R172" s="661"/>
      <c r="S172" s="661"/>
      <c r="T172" s="1422"/>
    </row>
    <row r="173" spans="1:20" ht="12" customHeight="1">
      <c r="B173" s="796" t="s">
        <v>645</v>
      </c>
      <c r="C173" s="794">
        <v>0</v>
      </c>
      <c r="D173" s="794">
        <f>C173*12/C$13+G173*C173*12/C$13</f>
        <v>0</v>
      </c>
      <c r="E173" s="795">
        <f>D173*(1+H173)</f>
        <v>0</v>
      </c>
      <c r="F173" s="808"/>
      <c r="G173" s="933">
        <v>0</v>
      </c>
      <c r="H173" s="933">
        <f>G173</f>
        <v>0</v>
      </c>
      <c r="I173" s="817" t="s">
        <v>557</v>
      </c>
      <c r="K173" s="663"/>
      <c r="L173" s="664"/>
      <c r="M173" s="664"/>
      <c r="N173" s="664"/>
      <c r="O173" s="664"/>
      <c r="P173" s="661"/>
      <c r="Q173" s="661"/>
      <c r="R173" s="661"/>
      <c r="S173" s="661"/>
      <c r="T173" s="1422"/>
    </row>
    <row r="174" spans="1:20" ht="4.2" customHeight="1">
      <c r="A174" s="154"/>
      <c r="B174" s="931"/>
      <c r="C174" s="932"/>
      <c r="D174" s="938"/>
      <c r="E174" s="938"/>
      <c r="F174" s="320"/>
      <c r="G174" s="936"/>
      <c r="H174" s="936"/>
      <c r="I174" s="809"/>
      <c r="K174" s="1403"/>
      <c r="L174" s="354"/>
      <c r="M174" s="354"/>
      <c r="N174" s="354"/>
      <c r="O174" s="354"/>
      <c r="P174" s="675"/>
      <c r="Q174" s="675"/>
      <c r="R174" s="675"/>
      <c r="S174" s="675"/>
      <c r="T174" s="1425"/>
    </row>
    <row r="175" spans="1:20" ht="12" customHeight="1">
      <c r="A175" s="2"/>
      <c r="B175" s="945">
        <v>0</v>
      </c>
      <c r="C175" s="933">
        <v>0.24</v>
      </c>
      <c r="D175" s="933">
        <f>C175</f>
        <v>0.24</v>
      </c>
      <c r="E175" s="933">
        <f>D175</f>
        <v>0.24</v>
      </c>
      <c r="F175" s="810" t="s">
        <v>0</v>
      </c>
      <c r="G175" s="935"/>
      <c r="H175" s="935"/>
      <c r="I175" s="811"/>
      <c r="K175" s="663"/>
      <c r="L175" s="664"/>
      <c r="M175" s="664"/>
      <c r="N175" s="664"/>
      <c r="O175" s="664"/>
      <c r="P175" s="661"/>
      <c r="Q175" s="661"/>
      <c r="R175" s="661"/>
      <c r="S175" s="661"/>
      <c r="T175" s="1422"/>
    </row>
    <row r="176" spans="1:20" ht="12" customHeight="1">
      <c r="B176" s="604" t="s">
        <v>160</v>
      </c>
      <c r="C176" s="734">
        <f>C177*C178</f>
        <v>0</v>
      </c>
      <c r="D176" s="734">
        <f>D177*D178</f>
        <v>0</v>
      </c>
      <c r="E176" s="742">
        <f>E177*E178</f>
        <v>0</v>
      </c>
      <c r="F176" s="806"/>
      <c r="G176" s="1575"/>
      <c r="H176" s="1575"/>
      <c r="I176" s="813"/>
      <c r="K176" s="663"/>
      <c r="L176" s="664"/>
      <c r="M176" s="664"/>
      <c r="N176" s="664"/>
      <c r="O176" s="664"/>
      <c r="P176" s="661"/>
      <c r="Q176" s="661"/>
      <c r="R176" s="661"/>
      <c r="S176" s="661"/>
      <c r="T176" s="1422"/>
    </row>
    <row r="177" spans="1:20" ht="12" customHeight="1">
      <c r="B177" s="603" t="s">
        <v>315</v>
      </c>
      <c r="C177" s="792">
        <v>0</v>
      </c>
      <c r="D177" s="792">
        <f>C177*(1+G177)</f>
        <v>0</v>
      </c>
      <c r="E177" s="793">
        <f>D177*(1+H177)</f>
        <v>0</v>
      </c>
      <c r="F177" s="808"/>
      <c r="G177" s="933">
        <v>0.03</v>
      </c>
      <c r="H177" s="933">
        <f>G177</f>
        <v>0.03</v>
      </c>
      <c r="I177" s="817" t="s">
        <v>558</v>
      </c>
      <c r="K177" s="663"/>
      <c r="L177" s="664"/>
      <c r="M177" s="664"/>
      <c r="N177" s="664"/>
      <c r="O177" s="664"/>
      <c r="P177" s="661"/>
      <c r="Q177" s="661"/>
      <c r="R177" s="661"/>
      <c r="S177" s="661"/>
      <c r="T177" s="1422"/>
    </row>
    <row r="178" spans="1:20" ht="12" customHeight="1">
      <c r="B178" s="796" t="s">
        <v>645</v>
      </c>
      <c r="C178" s="794">
        <v>0</v>
      </c>
      <c r="D178" s="794">
        <f>C178*12/C$13+G178*C178*12/C$13</f>
        <v>0</v>
      </c>
      <c r="E178" s="795">
        <f>D178*(1+H178)</f>
        <v>0</v>
      </c>
      <c r="F178" s="808"/>
      <c r="G178" s="933">
        <v>0</v>
      </c>
      <c r="H178" s="933">
        <f>G178</f>
        <v>0</v>
      </c>
      <c r="I178" s="817" t="s">
        <v>557</v>
      </c>
      <c r="K178" s="663"/>
      <c r="L178" s="664"/>
      <c r="M178" s="664"/>
      <c r="N178" s="664"/>
      <c r="O178" s="664"/>
      <c r="P178" s="661"/>
      <c r="Q178" s="661"/>
      <c r="R178" s="661"/>
      <c r="S178" s="661"/>
      <c r="T178" s="1422"/>
    </row>
    <row r="179" spans="1:20" ht="4.2" customHeight="1">
      <c r="B179" s="931"/>
      <c r="C179" s="932"/>
      <c r="D179" s="938"/>
      <c r="E179" s="938"/>
      <c r="F179" s="320"/>
      <c r="G179" s="936"/>
      <c r="H179" s="936"/>
      <c r="I179" s="809"/>
      <c r="K179" s="1403"/>
      <c r="L179" s="354"/>
      <c r="M179" s="354"/>
      <c r="N179" s="354"/>
      <c r="O179" s="354"/>
      <c r="P179" s="675"/>
      <c r="Q179" s="675"/>
      <c r="R179" s="675"/>
      <c r="S179" s="675"/>
      <c r="T179" s="1425"/>
    </row>
    <row r="180" spans="1:20" ht="12" customHeight="1">
      <c r="A180" s="154"/>
      <c r="B180" s="945">
        <v>0</v>
      </c>
      <c r="C180" s="933">
        <v>0.24</v>
      </c>
      <c r="D180" s="933">
        <f>C180</f>
        <v>0.24</v>
      </c>
      <c r="E180" s="933">
        <f>D180</f>
        <v>0.24</v>
      </c>
      <c r="F180" s="810"/>
      <c r="G180" s="935"/>
      <c r="H180" s="935"/>
      <c r="I180" s="811"/>
      <c r="J180" s="26"/>
      <c r="K180" s="663"/>
      <c r="L180" s="664"/>
      <c r="M180" s="664"/>
      <c r="N180" s="664"/>
      <c r="O180" s="664"/>
      <c r="P180" s="661"/>
      <c r="Q180" s="661"/>
      <c r="R180" s="661"/>
      <c r="S180" s="661"/>
      <c r="T180" s="1422"/>
    </row>
    <row r="181" spans="1:20" ht="12" customHeight="1">
      <c r="B181" s="602" t="s">
        <v>160</v>
      </c>
      <c r="C181" s="734">
        <f>C182*C183</f>
        <v>0</v>
      </c>
      <c r="D181" s="734">
        <f>D182*D183</f>
        <v>0</v>
      </c>
      <c r="E181" s="742">
        <f>E182*E183</f>
        <v>0</v>
      </c>
      <c r="F181" s="806"/>
      <c r="G181" s="1576"/>
      <c r="H181" s="1576"/>
      <c r="I181" s="811"/>
      <c r="J181" s="32"/>
      <c r="K181" s="663"/>
      <c r="L181" s="664"/>
      <c r="M181" s="664"/>
      <c r="N181" s="664"/>
      <c r="O181" s="664"/>
      <c r="P181" s="661"/>
      <c r="Q181" s="661"/>
      <c r="R181" s="661"/>
      <c r="S181" s="661"/>
      <c r="T181" s="1422"/>
    </row>
    <row r="182" spans="1:20" ht="12" customHeight="1">
      <c r="A182" s="154"/>
      <c r="B182" s="603" t="s">
        <v>315</v>
      </c>
      <c r="C182" s="792">
        <v>0</v>
      </c>
      <c r="D182" s="792">
        <f>C182*(1+G182)</f>
        <v>0</v>
      </c>
      <c r="E182" s="793">
        <f>D182*(1+H182)</f>
        <v>0</v>
      </c>
      <c r="F182" s="808"/>
      <c r="G182" s="933">
        <v>0.03</v>
      </c>
      <c r="H182" s="933">
        <f>G182</f>
        <v>0.03</v>
      </c>
      <c r="I182" s="817" t="s">
        <v>558</v>
      </c>
      <c r="J182" s="32"/>
      <c r="K182" s="663"/>
      <c r="L182" s="664"/>
      <c r="M182" s="664"/>
      <c r="N182" s="664"/>
      <c r="O182" s="664"/>
      <c r="P182" s="661"/>
      <c r="Q182" s="661"/>
      <c r="R182" s="661"/>
      <c r="S182" s="661"/>
      <c r="T182" s="1422"/>
    </row>
    <row r="183" spans="1:20" ht="12" customHeight="1">
      <c r="A183" s="2"/>
      <c r="B183" s="796" t="s">
        <v>645</v>
      </c>
      <c r="C183" s="794">
        <v>0</v>
      </c>
      <c r="D183" s="794">
        <f>C183*12/C$13+G183*C183*12/C$13</f>
        <v>0</v>
      </c>
      <c r="E183" s="795">
        <f>D183*(1+H183)</f>
        <v>0</v>
      </c>
      <c r="F183" s="808"/>
      <c r="G183" s="933">
        <v>0</v>
      </c>
      <c r="H183" s="933">
        <f>G183</f>
        <v>0</v>
      </c>
      <c r="I183" s="817" t="s">
        <v>557</v>
      </c>
      <c r="J183" s="32"/>
      <c r="K183" s="663"/>
      <c r="L183" s="664"/>
      <c r="M183" s="664"/>
      <c r="N183" s="664"/>
      <c r="O183" s="664"/>
      <c r="P183" s="661"/>
      <c r="Q183" s="661"/>
      <c r="R183" s="661"/>
      <c r="S183" s="661"/>
      <c r="T183" s="1422"/>
    </row>
    <row r="184" spans="1:20" ht="4.2" customHeight="1">
      <c r="A184" s="154"/>
      <c r="B184" s="931"/>
      <c r="C184" s="932"/>
      <c r="D184" s="932"/>
      <c r="E184" s="932"/>
      <c r="F184" s="320"/>
      <c r="G184" s="299"/>
      <c r="H184" s="936"/>
      <c r="I184" s="809"/>
      <c r="K184" s="1403"/>
      <c r="L184" s="354"/>
      <c r="M184" s="354"/>
      <c r="N184" s="354"/>
      <c r="O184" s="354"/>
      <c r="P184" s="675"/>
      <c r="Q184" s="675"/>
      <c r="R184" s="675"/>
      <c r="S184" s="675"/>
      <c r="T184" s="1425"/>
    </row>
    <row r="185" spans="1:20" ht="12" customHeight="1">
      <c r="A185" s="154"/>
      <c r="B185" s="945">
        <v>0</v>
      </c>
      <c r="C185" s="933">
        <v>0.24</v>
      </c>
      <c r="D185" s="933">
        <f>C185</f>
        <v>0.24</v>
      </c>
      <c r="E185" s="933">
        <f>D185</f>
        <v>0.24</v>
      </c>
      <c r="F185" s="810"/>
      <c r="G185" s="935"/>
      <c r="H185" s="935"/>
      <c r="I185" s="811"/>
      <c r="K185" s="663"/>
      <c r="L185" s="664"/>
      <c r="M185" s="664"/>
      <c r="N185" s="664"/>
      <c r="O185" s="664"/>
      <c r="P185" s="661"/>
      <c r="Q185" s="661"/>
      <c r="R185" s="661"/>
      <c r="S185" s="661"/>
      <c r="T185" s="1422"/>
    </row>
    <row r="186" spans="1:20" ht="12" customHeight="1">
      <c r="B186" s="604" t="s">
        <v>160</v>
      </c>
      <c r="C186" s="734">
        <f>C187*C188</f>
        <v>0</v>
      </c>
      <c r="D186" s="734">
        <f>D187*D188</f>
        <v>0</v>
      </c>
      <c r="E186" s="742">
        <f>E187*E188</f>
        <v>0</v>
      </c>
      <c r="F186" s="806"/>
      <c r="G186" s="1576"/>
      <c r="H186" s="1576"/>
      <c r="I186" s="811"/>
      <c r="K186" s="663"/>
      <c r="L186" s="664"/>
      <c r="M186" s="664"/>
      <c r="N186" s="664"/>
      <c r="O186" s="664"/>
      <c r="P186" s="661"/>
      <c r="Q186" s="661"/>
      <c r="R186" s="661"/>
      <c r="S186" s="661"/>
      <c r="T186" s="1422"/>
    </row>
    <row r="187" spans="1:20" ht="12" customHeight="1">
      <c r="A187" s="154"/>
      <c r="B187" s="603" t="s">
        <v>315</v>
      </c>
      <c r="C187" s="792">
        <v>0</v>
      </c>
      <c r="D187" s="792">
        <f>C187*(1+G187)</f>
        <v>0</v>
      </c>
      <c r="E187" s="793">
        <f>D187*(1+H187)</f>
        <v>0</v>
      </c>
      <c r="F187" s="808"/>
      <c r="G187" s="933">
        <v>0.03</v>
      </c>
      <c r="H187" s="933">
        <f>G187</f>
        <v>0.03</v>
      </c>
      <c r="I187" s="817" t="s">
        <v>558</v>
      </c>
      <c r="K187" s="663"/>
      <c r="L187" s="664"/>
      <c r="M187" s="664"/>
      <c r="N187" s="664"/>
      <c r="O187" s="664"/>
      <c r="P187" s="661"/>
      <c r="Q187" s="661"/>
      <c r="R187" s="661"/>
      <c r="S187" s="661"/>
      <c r="T187" s="1422"/>
    </row>
    <row r="188" spans="1:20" ht="12" customHeight="1">
      <c r="A188" s="2"/>
      <c r="B188" s="796" t="s">
        <v>645</v>
      </c>
      <c r="C188" s="794">
        <v>0</v>
      </c>
      <c r="D188" s="794">
        <f>C188*12/C$13+G188*C188*12/C$13</f>
        <v>0</v>
      </c>
      <c r="E188" s="795">
        <f>D188*(1+H188)</f>
        <v>0</v>
      </c>
      <c r="F188" s="808"/>
      <c r="G188" s="933">
        <v>0</v>
      </c>
      <c r="H188" s="933">
        <f>G188</f>
        <v>0</v>
      </c>
      <c r="I188" s="817" t="s">
        <v>557</v>
      </c>
      <c r="K188" s="663"/>
      <c r="L188" s="664"/>
      <c r="M188" s="664"/>
      <c r="N188" s="664"/>
      <c r="O188" s="664"/>
      <c r="P188" s="661"/>
      <c r="Q188" s="661"/>
      <c r="R188" s="661"/>
      <c r="S188" s="661"/>
      <c r="T188" s="1422"/>
    </row>
    <row r="189" spans="1:20" ht="4.2" customHeight="1">
      <c r="A189" s="2"/>
      <c r="B189" s="931"/>
      <c r="C189" s="932"/>
      <c r="D189" s="932"/>
      <c r="E189" s="932"/>
      <c r="F189" s="320"/>
      <c r="G189" s="299"/>
      <c r="H189" s="936"/>
      <c r="I189" s="809"/>
      <c r="K189" s="1403"/>
      <c r="L189" s="354"/>
      <c r="M189" s="354"/>
      <c r="N189" s="354"/>
      <c r="O189" s="354"/>
      <c r="P189" s="675"/>
      <c r="Q189" s="675"/>
      <c r="R189" s="675"/>
      <c r="S189" s="675"/>
      <c r="T189" s="1425"/>
    </row>
    <row r="190" spans="1:20" ht="12" customHeight="1">
      <c r="A190" s="154"/>
      <c r="B190" s="945">
        <v>0</v>
      </c>
      <c r="C190" s="933">
        <v>0.24</v>
      </c>
      <c r="D190" s="933">
        <f>C190</f>
        <v>0.24</v>
      </c>
      <c r="E190" s="933">
        <f>D190</f>
        <v>0.24</v>
      </c>
      <c r="F190" s="810"/>
      <c r="G190" s="935"/>
      <c r="H190" s="935"/>
      <c r="I190" s="811"/>
      <c r="K190" s="663"/>
      <c r="L190" s="664"/>
      <c r="M190" s="664"/>
      <c r="N190" s="664"/>
      <c r="O190" s="664"/>
      <c r="P190" s="661"/>
      <c r="Q190" s="661"/>
      <c r="R190" s="661"/>
      <c r="S190" s="661"/>
      <c r="T190" s="1422"/>
    </row>
    <row r="191" spans="1:20" ht="12" customHeight="1">
      <c r="B191" s="604" t="s">
        <v>160</v>
      </c>
      <c r="C191" s="734">
        <f>C192*C193</f>
        <v>0</v>
      </c>
      <c r="D191" s="734">
        <f>D192*D193</f>
        <v>0</v>
      </c>
      <c r="E191" s="742">
        <f>E192*E193</f>
        <v>0</v>
      </c>
      <c r="F191" s="806"/>
      <c r="G191" s="1576"/>
      <c r="H191" s="1576"/>
      <c r="I191" s="811"/>
      <c r="K191" s="674"/>
      <c r="L191" s="661"/>
      <c r="M191" s="661"/>
      <c r="N191" s="661"/>
      <c r="O191" s="661"/>
      <c r="P191" s="661"/>
      <c r="Q191" s="661"/>
      <c r="R191" s="661"/>
      <c r="S191" s="661"/>
      <c r="T191" s="1422"/>
    </row>
    <row r="192" spans="1:20" ht="12" customHeight="1">
      <c r="A192" s="154"/>
      <c r="B192" s="603" t="s">
        <v>315</v>
      </c>
      <c r="C192" s="792">
        <v>0</v>
      </c>
      <c r="D192" s="792">
        <f>C192*(1+G192)</f>
        <v>0</v>
      </c>
      <c r="E192" s="793">
        <f>D192*(1+H192)</f>
        <v>0</v>
      </c>
      <c r="F192" s="808"/>
      <c r="G192" s="933">
        <v>0.03</v>
      </c>
      <c r="H192" s="933">
        <f>G192</f>
        <v>0.03</v>
      </c>
      <c r="I192" s="817" t="s">
        <v>558</v>
      </c>
      <c r="K192" s="674"/>
      <c r="L192" s="661"/>
      <c r="M192" s="661"/>
      <c r="N192" s="661"/>
      <c r="O192" s="661"/>
      <c r="P192" s="661"/>
      <c r="Q192" s="661"/>
      <c r="R192" s="661"/>
      <c r="S192" s="661"/>
      <c r="T192" s="1422"/>
    </row>
    <row r="193" spans="1:20" ht="12" customHeight="1">
      <c r="A193" s="2"/>
      <c r="B193" s="796" t="s">
        <v>645</v>
      </c>
      <c r="C193" s="794">
        <v>0</v>
      </c>
      <c r="D193" s="794">
        <f>C193*12/C$13+G193*C193*12/C$13</f>
        <v>0</v>
      </c>
      <c r="E193" s="795">
        <f>D193*(1+H193)</f>
        <v>0</v>
      </c>
      <c r="F193" s="808"/>
      <c r="G193" s="933">
        <v>0</v>
      </c>
      <c r="H193" s="933">
        <f>G193</f>
        <v>0</v>
      </c>
      <c r="I193" s="817" t="s">
        <v>557</v>
      </c>
      <c r="K193" s="674"/>
      <c r="L193" s="661"/>
      <c r="M193" s="661"/>
      <c r="N193" s="661"/>
      <c r="O193" s="661"/>
      <c r="P193" s="661"/>
      <c r="Q193" s="661"/>
      <c r="R193" s="661"/>
      <c r="S193" s="661"/>
      <c r="T193" s="1422"/>
    </row>
    <row r="194" spans="1:20" ht="4.2" customHeight="1">
      <c r="B194" s="931"/>
      <c r="C194" s="932"/>
      <c r="D194" s="932"/>
      <c r="E194" s="932"/>
      <c r="F194" s="320"/>
      <c r="G194" s="299"/>
      <c r="H194" s="936"/>
      <c r="I194" s="809"/>
      <c r="K194" s="1424"/>
      <c r="L194" s="675"/>
      <c r="M194" s="675"/>
      <c r="N194" s="675"/>
      <c r="O194" s="675"/>
      <c r="P194" s="675"/>
      <c r="Q194" s="675"/>
      <c r="R194" s="675"/>
      <c r="S194" s="675"/>
      <c r="T194" s="1425"/>
    </row>
    <row r="195" spans="1:20" ht="12" customHeight="1">
      <c r="A195" s="154"/>
      <c r="B195" s="945" t="s">
        <v>509</v>
      </c>
      <c r="C195" s="933">
        <v>0.24</v>
      </c>
      <c r="D195" s="933">
        <f>C195</f>
        <v>0.24</v>
      </c>
      <c r="E195" s="933">
        <f>D195</f>
        <v>0.24</v>
      </c>
      <c r="F195" s="810"/>
      <c r="G195" s="935"/>
      <c r="H195" s="935"/>
      <c r="I195" s="811"/>
      <c r="K195" s="674"/>
      <c r="L195" s="661"/>
      <c r="M195" s="661"/>
      <c r="N195" s="661"/>
      <c r="O195" s="661"/>
      <c r="P195" s="661"/>
      <c r="Q195" s="661"/>
      <c r="R195" s="661"/>
      <c r="S195" s="661"/>
      <c r="T195" s="1422"/>
    </row>
    <row r="196" spans="1:20" ht="12" customHeight="1">
      <c r="B196" s="604" t="s">
        <v>160</v>
      </c>
      <c r="C196" s="734">
        <f>C199*C198</f>
        <v>0</v>
      </c>
      <c r="D196" s="734">
        <f>D199*D198</f>
        <v>0</v>
      </c>
      <c r="E196" s="742">
        <f>E199*E198</f>
        <v>0</v>
      </c>
      <c r="F196" s="806"/>
      <c r="G196" s="656">
        <f>D$12</f>
        <v>2026</v>
      </c>
      <c r="H196" s="656">
        <f>E$12</f>
        <v>2027</v>
      </c>
      <c r="I196" s="813"/>
      <c r="K196" s="674"/>
      <c r="L196" s="661"/>
      <c r="M196" s="661"/>
      <c r="N196" s="661"/>
      <c r="O196" s="661"/>
      <c r="P196" s="661"/>
      <c r="Q196" s="661"/>
      <c r="R196" s="661"/>
      <c r="S196" s="661"/>
      <c r="T196" s="1422"/>
    </row>
    <row r="197" spans="1:20" ht="12" customHeight="1">
      <c r="A197" s="154"/>
      <c r="B197" s="603" t="s">
        <v>312</v>
      </c>
      <c r="C197" s="792">
        <v>0</v>
      </c>
      <c r="D197" s="792">
        <f t="shared" ref="D197:E199" si="16">C197*(1+G197)</f>
        <v>0</v>
      </c>
      <c r="E197" s="793">
        <f t="shared" si="16"/>
        <v>0</v>
      </c>
      <c r="F197" s="816"/>
      <c r="G197" s="933">
        <v>0.03</v>
      </c>
      <c r="H197" s="933">
        <f>G197</f>
        <v>0.03</v>
      </c>
      <c r="I197" s="817" t="s">
        <v>313</v>
      </c>
      <c r="K197" s="676"/>
      <c r="L197" s="661"/>
      <c r="M197" s="661"/>
      <c r="N197" s="661"/>
      <c r="O197" s="661"/>
      <c r="P197" s="661"/>
      <c r="Q197" s="661"/>
      <c r="R197" s="661"/>
      <c r="S197" s="661"/>
      <c r="T197" s="1422"/>
    </row>
    <row r="198" spans="1:20" ht="12" customHeight="1">
      <c r="A198" s="2"/>
      <c r="B198" s="603" t="s">
        <v>316</v>
      </c>
      <c r="C198" s="794">
        <v>0</v>
      </c>
      <c r="D198" s="794">
        <f>C198*12/C$13+G198*C198*12/C$13</f>
        <v>0</v>
      </c>
      <c r="E198" s="795">
        <f t="shared" si="16"/>
        <v>0</v>
      </c>
      <c r="F198" s="816"/>
      <c r="G198" s="933">
        <v>0</v>
      </c>
      <c r="H198" s="933">
        <f>G198</f>
        <v>0</v>
      </c>
      <c r="I198" s="817" t="s">
        <v>556</v>
      </c>
      <c r="K198" s="676"/>
      <c r="L198" s="661"/>
      <c r="M198" s="661"/>
      <c r="N198" s="661"/>
      <c r="O198" s="661"/>
      <c r="P198" s="661"/>
      <c r="Q198" s="661"/>
      <c r="R198" s="661"/>
      <c r="S198" s="661"/>
      <c r="T198" s="1422"/>
    </row>
    <row r="199" spans="1:20" ht="12" customHeight="1">
      <c r="A199" s="2"/>
      <c r="B199" s="603" t="s">
        <v>311</v>
      </c>
      <c r="C199" s="792">
        <v>0</v>
      </c>
      <c r="D199" s="792">
        <f t="shared" si="16"/>
        <v>0</v>
      </c>
      <c r="E199" s="793">
        <f t="shared" si="16"/>
        <v>0</v>
      </c>
      <c r="F199" s="816"/>
      <c r="G199" s="933">
        <v>0.03</v>
      </c>
      <c r="H199" s="933">
        <f>G199</f>
        <v>0.03</v>
      </c>
      <c r="I199" s="817" t="s">
        <v>314</v>
      </c>
      <c r="K199" s="674"/>
      <c r="L199" s="661"/>
      <c r="M199" s="661"/>
      <c r="N199" s="661"/>
      <c r="O199" s="661"/>
      <c r="P199" s="661"/>
      <c r="Q199" s="661"/>
      <c r="R199" s="661"/>
      <c r="S199" s="661"/>
      <c r="T199" s="1422"/>
    </row>
    <row r="200" spans="1:20" ht="12" customHeight="1">
      <c r="A200" s="154"/>
      <c r="B200" s="593" t="s">
        <v>10</v>
      </c>
      <c r="C200" s="726">
        <f>IF(C199=0,0,(C199-C197)/C199)</f>
        <v>0</v>
      </c>
      <c r="D200" s="726">
        <f>IF(D199=0,0,(D199-D197)/D199)</f>
        <v>0</v>
      </c>
      <c r="E200" s="727">
        <f>IF(E199=0,0,(E199-E197)/E199)</f>
        <v>0</v>
      </c>
      <c r="F200" s="810"/>
      <c r="G200" s="935"/>
      <c r="H200" s="935"/>
      <c r="I200" s="811"/>
      <c r="J200" s="84"/>
      <c r="K200" s="674"/>
      <c r="L200" s="661"/>
      <c r="M200" s="661"/>
      <c r="N200" s="661"/>
      <c r="O200" s="661"/>
      <c r="P200" s="661"/>
      <c r="Q200" s="661"/>
      <c r="R200" s="661"/>
      <c r="S200" s="661"/>
      <c r="T200" s="1422"/>
    </row>
    <row r="201" spans="1:20" ht="4.2" customHeight="1">
      <c r="B201" s="931"/>
      <c r="C201" s="934"/>
      <c r="D201" s="934"/>
      <c r="E201" s="934"/>
      <c r="F201" s="323"/>
      <c r="G201" s="299"/>
      <c r="H201" s="299"/>
      <c r="I201" s="815"/>
      <c r="K201" s="1424"/>
      <c r="L201" s="675"/>
      <c r="M201" s="675"/>
      <c r="N201" s="675"/>
      <c r="O201" s="675"/>
      <c r="P201" s="675"/>
      <c r="Q201" s="675"/>
      <c r="R201" s="675"/>
      <c r="S201" s="675"/>
      <c r="T201" s="1425"/>
    </row>
    <row r="202" spans="1:20" ht="12" customHeight="1">
      <c r="A202" s="154"/>
      <c r="B202" s="945">
        <v>0</v>
      </c>
      <c r="C202" s="933">
        <v>0.24</v>
      </c>
      <c r="D202" s="933">
        <f>C202</f>
        <v>0.24</v>
      </c>
      <c r="E202" s="933">
        <f>D202</f>
        <v>0.24</v>
      </c>
      <c r="F202" s="810"/>
      <c r="G202" s="935"/>
      <c r="H202" s="935"/>
      <c r="I202" s="811"/>
      <c r="K202" s="663"/>
      <c r="L202" s="664"/>
      <c r="M202" s="664"/>
      <c r="N202" s="664"/>
      <c r="O202" s="664"/>
      <c r="P202" s="664"/>
      <c r="Q202" s="664"/>
      <c r="R202" s="664"/>
      <c r="S202" s="664"/>
      <c r="T202" s="1401"/>
    </row>
    <row r="203" spans="1:20" ht="12" customHeight="1">
      <c r="A203" s="2"/>
      <c r="B203" s="604" t="s">
        <v>160</v>
      </c>
      <c r="C203" s="734">
        <f>C206*C205</f>
        <v>0</v>
      </c>
      <c r="D203" s="734">
        <f>D206*D205</f>
        <v>0</v>
      </c>
      <c r="E203" s="742">
        <f>E206*E205</f>
        <v>0</v>
      </c>
      <c r="F203" s="812"/>
      <c r="G203" s="1576"/>
      <c r="H203" s="1576"/>
      <c r="I203" s="813"/>
      <c r="K203" s="674"/>
      <c r="L203" s="661"/>
      <c r="M203" s="661"/>
      <c r="N203" s="661"/>
      <c r="O203" s="661"/>
      <c r="P203" s="661"/>
      <c r="Q203" s="661"/>
      <c r="R203" s="661"/>
      <c r="S203" s="661"/>
      <c r="T203" s="1422"/>
    </row>
    <row r="204" spans="1:20" ht="12" customHeight="1">
      <c r="B204" s="603" t="s">
        <v>312</v>
      </c>
      <c r="C204" s="792">
        <v>0</v>
      </c>
      <c r="D204" s="792">
        <f t="shared" ref="D204:E206" si="17">C204*(1+G204)</f>
        <v>0</v>
      </c>
      <c r="E204" s="793">
        <f t="shared" si="17"/>
        <v>0</v>
      </c>
      <c r="F204" s="808"/>
      <c r="G204" s="933">
        <v>0.03</v>
      </c>
      <c r="H204" s="933">
        <f>G204</f>
        <v>0.03</v>
      </c>
      <c r="I204" s="817" t="s">
        <v>313</v>
      </c>
      <c r="K204" s="674"/>
      <c r="L204" s="661"/>
      <c r="M204" s="661"/>
      <c r="N204" s="661"/>
      <c r="O204" s="661"/>
      <c r="P204" s="661"/>
      <c r="Q204" s="661"/>
      <c r="R204" s="661"/>
      <c r="S204" s="661"/>
      <c r="T204" s="1422"/>
    </row>
    <row r="205" spans="1:20" ht="12" customHeight="1">
      <c r="A205" s="154"/>
      <c r="B205" s="603" t="s">
        <v>9</v>
      </c>
      <c r="C205" s="794">
        <v>0</v>
      </c>
      <c r="D205" s="794">
        <f>C205*12/C$13+G205*C205*12/C$13</f>
        <v>0</v>
      </c>
      <c r="E205" s="795">
        <f t="shared" si="17"/>
        <v>0</v>
      </c>
      <c r="F205" s="808"/>
      <c r="G205" s="933">
        <v>0</v>
      </c>
      <c r="H205" s="933">
        <f>G205</f>
        <v>0</v>
      </c>
      <c r="I205" s="817" t="s">
        <v>556</v>
      </c>
      <c r="K205" s="663"/>
      <c r="L205" s="664"/>
      <c r="M205" s="664"/>
      <c r="N205" s="664"/>
      <c r="O205" s="664"/>
      <c r="P205" s="664"/>
      <c r="Q205" s="664"/>
      <c r="R205" s="664"/>
      <c r="S205" s="664"/>
      <c r="T205" s="1401"/>
    </row>
    <row r="206" spans="1:20" ht="12" customHeight="1">
      <c r="A206" s="154"/>
      <c r="B206" s="603" t="s">
        <v>311</v>
      </c>
      <c r="C206" s="792">
        <v>0</v>
      </c>
      <c r="D206" s="792">
        <f t="shared" si="17"/>
        <v>0</v>
      </c>
      <c r="E206" s="793">
        <f t="shared" si="17"/>
        <v>0</v>
      </c>
      <c r="F206" s="808"/>
      <c r="G206" s="933">
        <v>0.03</v>
      </c>
      <c r="H206" s="933">
        <f>G206</f>
        <v>0.03</v>
      </c>
      <c r="I206" s="817" t="s">
        <v>314</v>
      </c>
      <c r="K206" s="663"/>
      <c r="L206" s="664"/>
      <c r="M206" s="664"/>
      <c r="N206" s="664"/>
      <c r="O206" s="664"/>
      <c r="P206" s="664"/>
      <c r="Q206" s="664"/>
      <c r="R206" s="664"/>
      <c r="S206" s="664"/>
      <c r="T206" s="1401"/>
    </row>
    <row r="207" spans="1:20" ht="12" customHeight="1">
      <c r="B207" s="593" t="s">
        <v>10</v>
      </c>
      <c r="C207" s="726">
        <f>IF(C206=0,0,(C206-C204)/C206)</f>
        <v>0</v>
      </c>
      <c r="D207" s="726">
        <f>IF(D206=0,0,(D206-D204)/D206)</f>
        <v>0</v>
      </c>
      <c r="E207" s="727">
        <f>IF(E206=0,0,(E206-E204)/E206)</f>
        <v>0</v>
      </c>
      <c r="F207" s="810"/>
      <c r="G207" s="935"/>
      <c r="H207" s="935"/>
      <c r="I207" s="811"/>
      <c r="K207" s="663"/>
      <c r="L207" s="664"/>
      <c r="M207" s="664"/>
      <c r="N207" s="664"/>
      <c r="O207" s="664"/>
      <c r="P207" s="664"/>
      <c r="Q207" s="664"/>
      <c r="R207" s="664"/>
      <c r="S207" s="664"/>
      <c r="T207" s="1401"/>
    </row>
    <row r="208" spans="1:20" ht="4.2" customHeight="1">
      <c r="A208" s="154"/>
      <c r="B208" s="931"/>
      <c r="C208" s="934"/>
      <c r="D208" s="934"/>
      <c r="E208" s="934"/>
      <c r="F208" s="320"/>
      <c r="G208" s="299"/>
      <c r="H208" s="299"/>
      <c r="I208" s="815"/>
      <c r="K208" s="1424"/>
      <c r="L208" s="675"/>
      <c r="M208" s="675"/>
      <c r="N208" s="675"/>
      <c r="O208" s="675"/>
      <c r="P208" s="675"/>
      <c r="Q208" s="675"/>
      <c r="R208" s="675"/>
      <c r="S208" s="675"/>
      <c r="T208" s="1425"/>
    </row>
    <row r="209" spans="1:20" ht="12" customHeight="1">
      <c r="A209" s="2"/>
      <c r="B209" s="945">
        <v>0</v>
      </c>
      <c r="C209" s="933">
        <v>0.24</v>
      </c>
      <c r="D209" s="933">
        <f>C209</f>
        <v>0.24</v>
      </c>
      <c r="E209" s="933">
        <f>D209</f>
        <v>0.24</v>
      </c>
      <c r="F209" s="810"/>
      <c r="G209" s="935"/>
      <c r="H209" s="935"/>
      <c r="I209" s="811"/>
      <c r="K209" s="663"/>
      <c r="L209" s="664"/>
      <c r="M209" s="664"/>
      <c r="N209" s="664"/>
      <c r="O209" s="664"/>
      <c r="P209" s="664"/>
      <c r="Q209" s="664"/>
      <c r="R209" s="664"/>
      <c r="S209" s="664"/>
      <c r="T209" s="1401"/>
    </row>
    <row r="210" spans="1:20" ht="12" customHeight="1">
      <c r="B210" s="604" t="s">
        <v>160</v>
      </c>
      <c r="C210" s="734">
        <f>C213*C212</f>
        <v>0</v>
      </c>
      <c r="D210" s="734">
        <f>D213*D212</f>
        <v>0</v>
      </c>
      <c r="E210" s="742">
        <f>E213*E212</f>
        <v>0</v>
      </c>
      <c r="F210" s="812"/>
      <c r="G210" s="1576"/>
      <c r="H210" s="1576"/>
      <c r="I210" s="813"/>
      <c r="K210" s="663"/>
      <c r="L210" s="664"/>
      <c r="M210" s="664"/>
      <c r="N210" s="664"/>
      <c r="O210" s="664"/>
      <c r="P210" s="664"/>
      <c r="Q210" s="664"/>
      <c r="R210" s="664"/>
      <c r="S210" s="664"/>
      <c r="T210" s="1401"/>
    </row>
    <row r="211" spans="1:20" ht="12" customHeight="1">
      <c r="B211" s="603" t="s">
        <v>312</v>
      </c>
      <c r="C211" s="792">
        <v>0</v>
      </c>
      <c r="D211" s="792">
        <f t="shared" ref="D211:E213" si="18">C211*(1+G211)</f>
        <v>0</v>
      </c>
      <c r="E211" s="793">
        <f t="shared" si="18"/>
        <v>0</v>
      </c>
      <c r="F211" s="808"/>
      <c r="G211" s="933">
        <v>0.03</v>
      </c>
      <c r="H211" s="933">
        <f>G211</f>
        <v>0.03</v>
      </c>
      <c r="I211" s="817" t="s">
        <v>313</v>
      </c>
      <c r="K211" s="663"/>
      <c r="L211" s="664"/>
      <c r="M211" s="664"/>
      <c r="N211" s="664"/>
      <c r="O211" s="664"/>
      <c r="P211" s="664"/>
      <c r="Q211" s="664"/>
      <c r="R211" s="664"/>
      <c r="S211" s="664"/>
      <c r="T211" s="1401"/>
    </row>
    <row r="212" spans="1:20" ht="12" customHeight="1">
      <c r="B212" s="603" t="s">
        <v>9</v>
      </c>
      <c r="C212" s="794">
        <v>0</v>
      </c>
      <c r="D212" s="794">
        <f>C212*12/C$13+G212*C212*12/C$13</f>
        <v>0</v>
      </c>
      <c r="E212" s="795">
        <f t="shared" si="18"/>
        <v>0</v>
      </c>
      <c r="F212" s="808"/>
      <c r="G212" s="933">
        <v>0</v>
      </c>
      <c r="H212" s="933">
        <f>G212</f>
        <v>0</v>
      </c>
      <c r="I212" s="817" t="s">
        <v>556</v>
      </c>
      <c r="K212" s="663"/>
      <c r="L212" s="664"/>
      <c r="M212" s="664"/>
      <c r="N212" s="664"/>
      <c r="O212" s="664"/>
      <c r="P212" s="664"/>
      <c r="Q212" s="664"/>
      <c r="R212" s="664"/>
      <c r="S212" s="664"/>
      <c r="T212" s="1401"/>
    </row>
    <row r="213" spans="1:20" ht="12" customHeight="1">
      <c r="B213" s="603" t="s">
        <v>311</v>
      </c>
      <c r="C213" s="792">
        <v>0</v>
      </c>
      <c r="D213" s="792">
        <f t="shared" si="18"/>
        <v>0</v>
      </c>
      <c r="E213" s="793">
        <f t="shared" si="18"/>
        <v>0</v>
      </c>
      <c r="F213" s="808"/>
      <c r="G213" s="933">
        <v>0.03</v>
      </c>
      <c r="H213" s="933">
        <f>G213</f>
        <v>0.03</v>
      </c>
      <c r="I213" s="817" t="s">
        <v>314</v>
      </c>
      <c r="K213" s="663"/>
      <c r="L213" s="664"/>
      <c r="M213" s="664"/>
      <c r="N213" s="664"/>
      <c r="O213" s="664"/>
      <c r="P213" s="664"/>
      <c r="Q213" s="664"/>
      <c r="R213" s="664"/>
      <c r="S213" s="664"/>
      <c r="T213" s="1401"/>
    </row>
    <row r="214" spans="1:20" ht="12" customHeight="1">
      <c r="B214" s="593" t="s">
        <v>10</v>
      </c>
      <c r="C214" s="726">
        <f>IF(C213=0,0,(C213-C211)/C213)</f>
        <v>0</v>
      </c>
      <c r="D214" s="726">
        <f>IF(D213=0,0,(D213-D211)/D213)</f>
        <v>0</v>
      </c>
      <c r="E214" s="727">
        <f>IF(E213=0,0,(E213-E211)/E213)</f>
        <v>0</v>
      </c>
      <c r="F214" s="810"/>
      <c r="G214" s="935"/>
      <c r="H214" s="935"/>
      <c r="I214" s="811"/>
      <c r="K214" s="674"/>
      <c r="L214" s="661"/>
      <c r="M214" s="661"/>
      <c r="N214" s="661"/>
      <c r="O214" s="661"/>
      <c r="P214" s="664"/>
      <c r="Q214" s="664"/>
      <c r="R214" s="664"/>
      <c r="S214" s="664"/>
      <c r="T214" s="1401"/>
    </row>
    <row r="215" spans="1:20" ht="4.2" customHeight="1">
      <c r="B215" s="931"/>
      <c r="C215" s="934"/>
      <c r="D215" s="934"/>
      <c r="E215" s="934"/>
      <c r="F215" s="320"/>
      <c r="G215" s="299"/>
      <c r="H215" s="299"/>
      <c r="I215" s="815"/>
      <c r="K215" s="1424"/>
      <c r="L215" s="675"/>
      <c r="M215" s="675"/>
      <c r="N215" s="675"/>
      <c r="O215" s="675"/>
      <c r="P215" s="675"/>
      <c r="Q215" s="675"/>
      <c r="R215" s="675"/>
      <c r="S215" s="675"/>
      <c r="T215" s="1425"/>
    </row>
    <row r="216" spans="1:20" ht="12" customHeight="1">
      <c r="B216" s="945">
        <v>0</v>
      </c>
      <c r="C216" s="933">
        <v>0.24</v>
      </c>
      <c r="D216" s="933">
        <f>C216</f>
        <v>0.24</v>
      </c>
      <c r="E216" s="933">
        <f>D216</f>
        <v>0.24</v>
      </c>
      <c r="F216" s="810"/>
      <c r="G216" s="935"/>
      <c r="H216" s="935"/>
      <c r="I216" s="811"/>
      <c r="K216" s="674"/>
      <c r="L216" s="661"/>
      <c r="M216" s="661"/>
      <c r="N216" s="661"/>
      <c r="O216" s="661"/>
      <c r="P216" s="664"/>
      <c r="Q216" s="664"/>
      <c r="R216" s="664"/>
      <c r="S216" s="664"/>
      <c r="T216" s="1401"/>
    </row>
    <row r="217" spans="1:20" ht="12" customHeight="1">
      <c r="B217" s="604" t="s">
        <v>160</v>
      </c>
      <c r="C217" s="734">
        <f>C220*C219</f>
        <v>0</v>
      </c>
      <c r="D217" s="734">
        <f>D220*D219</f>
        <v>0</v>
      </c>
      <c r="E217" s="742">
        <f>E220*E219</f>
        <v>0</v>
      </c>
      <c r="F217" s="806"/>
      <c r="G217" s="1576"/>
      <c r="H217" s="1576"/>
      <c r="I217" s="811"/>
      <c r="K217" s="674"/>
      <c r="L217" s="661"/>
      <c r="M217" s="661"/>
      <c r="N217" s="661"/>
      <c r="O217" s="661"/>
      <c r="P217" s="664"/>
      <c r="Q217" s="664"/>
      <c r="R217" s="664"/>
      <c r="S217" s="664"/>
      <c r="T217" s="1401"/>
    </row>
    <row r="218" spans="1:20" ht="12" customHeight="1">
      <c r="B218" s="603" t="s">
        <v>312</v>
      </c>
      <c r="C218" s="792">
        <v>0</v>
      </c>
      <c r="D218" s="792">
        <f t="shared" ref="D218:E220" si="19">C218*(1+G218)</f>
        <v>0</v>
      </c>
      <c r="E218" s="793">
        <f t="shared" si="19"/>
        <v>0</v>
      </c>
      <c r="F218" s="808"/>
      <c r="G218" s="933">
        <v>0.03</v>
      </c>
      <c r="H218" s="933">
        <f>G218</f>
        <v>0.03</v>
      </c>
      <c r="I218" s="817" t="s">
        <v>313</v>
      </c>
      <c r="K218" s="674"/>
      <c r="L218" s="661"/>
      <c r="M218" s="661"/>
      <c r="N218" s="661"/>
      <c r="O218" s="661"/>
      <c r="P218" s="664"/>
      <c r="Q218" s="664"/>
      <c r="R218" s="664"/>
      <c r="S218" s="664"/>
      <c r="T218" s="1401"/>
    </row>
    <row r="219" spans="1:20" ht="12" customHeight="1">
      <c r="B219" s="603" t="s">
        <v>9</v>
      </c>
      <c r="C219" s="794">
        <v>0</v>
      </c>
      <c r="D219" s="794">
        <f>C219*12/C$13+G219*C219*12/C$13</f>
        <v>0</v>
      </c>
      <c r="E219" s="795">
        <f t="shared" si="19"/>
        <v>0</v>
      </c>
      <c r="F219" s="808"/>
      <c r="G219" s="933">
        <v>0</v>
      </c>
      <c r="H219" s="933">
        <f>G219</f>
        <v>0</v>
      </c>
      <c r="I219" s="817" t="s">
        <v>556</v>
      </c>
      <c r="K219" s="674"/>
      <c r="L219" s="661"/>
      <c r="M219" s="661"/>
      <c r="N219" s="661"/>
      <c r="O219" s="661"/>
      <c r="P219" s="664"/>
      <c r="Q219" s="664"/>
      <c r="R219" s="664"/>
      <c r="S219" s="664"/>
      <c r="T219" s="1401"/>
    </row>
    <row r="220" spans="1:20" ht="12" customHeight="1">
      <c r="B220" s="603" t="s">
        <v>311</v>
      </c>
      <c r="C220" s="792">
        <v>0</v>
      </c>
      <c r="D220" s="792">
        <f t="shared" si="19"/>
        <v>0</v>
      </c>
      <c r="E220" s="793">
        <f t="shared" si="19"/>
        <v>0</v>
      </c>
      <c r="F220" s="808"/>
      <c r="G220" s="933">
        <v>0.03</v>
      </c>
      <c r="H220" s="933">
        <f>G220</f>
        <v>0.03</v>
      </c>
      <c r="I220" s="817" t="s">
        <v>314</v>
      </c>
      <c r="K220" s="674"/>
      <c r="L220" s="661"/>
      <c r="M220" s="661"/>
      <c r="N220" s="661"/>
      <c r="O220" s="661"/>
      <c r="P220" s="664"/>
      <c r="Q220" s="664"/>
      <c r="R220" s="664"/>
      <c r="S220" s="664"/>
      <c r="T220" s="1401"/>
    </row>
    <row r="221" spans="1:20" ht="12" customHeight="1">
      <c r="B221" s="593" t="s">
        <v>10</v>
      </c>
      <c r="C221" s="726">
        <f>IF(C220=0,0,(C220-C218)/C220)</f>
        <v>0</v>
      </c>
      <c r="D221" s="726">
        <f>IF(D220=0,0,(D220-D218)/D220)</f>
        <v>0</v>
      </c>
      <c r="E221" s="727">
        <f>IF(E220=0,0,(E220-E218)/E220)</f>
        <v>0</v>
      </c>
      <c r="F221" s="810" t="s">
        <v>0</v>
      </c>
      <c r="G221" s="935"/>
      <c r="H221" s="935"/>
      <c r="I221" s="811"/>
      <c r="K221" s="674"/>
      <c r="L221" s="661"/>
      <c r="M221" s="661"/>
      <c r="N221" s="661"/>
      <c r="O221" s="661"/>
      <c r="P221" s="664"/>
      <c r="Q221" s="664"/>
      <c r="R221" s="664"/>
      <c r="S221" s="664"/>
      <c r="T221" s="1401"/>
    </row>
    <row r="222" spans="1:20" ht="4.2" customHeight="1">
      <c r="B222" s="931"/>
      <c r="C222" s="934"/>
      <c r="D222" s="934"/>
      <c r="E222" s="934"/>
      <c r="F222" s="320"/>
      <c r="G222" s="299"/>
      <c r="H222" s="299"/>
      <c r="I222" s="815"/>
      <c r="K222" s="1424"/>
      <c r="L222" s="675"/>
      <c r="M222" s="675"/>
      <c r="N222" s="675"/>
      <c r="O222" s="675"/>
      <c r="P222" s="675"/>
      <c r="Q222" s="675"/>
      <c r="R222" s="675"/>
      <c r="S222" s="675"/>
      <c r="T222" s="1425"/>
    </row>
    <row r="223" spans="1:20" ht="12" customHeight="1">
      <c r="B223" s="945">
        <v>0</v>
      </c>
      <c r="C223" s="933">
        <v>0.24</v>
      </c>
      <c r="D223" s="933">
        <f>C223</f>
        <v>0.24</v>
      </c>
      <c r="E223" s="933">
        <f>D223</f>
        <v>0.24</v>
      </c>
      <c r="F223" s="810"/>
      <c r="G223" s="935"/>
      <c r="H223" s="935"/>
      <c r="I223" s="811"/>
      <c r="K223" s="674"/>
      <c r="L223" s="661"/>
      <c r="M223" s="661"/>
      <c r="N223" s="661"/>
      <c r="O223" s="661"/>
      <c r="P223" s="664"/>
      <c r="Q223" s="664"/>
      <c r="R223" s="664"/>
      <c r="S223" s="664"/>
      <c r="T223" s="1401"/>
    </row>
    <row r="224" spans="1:20" ht="12" customHeight="1">
      <c r="B224" s="604" t="s">
        <v>160</v>
      </c>
      <c r="C224" s="734">
        <f>C227*C226</f>
        <v>0</v>
      </c>
      <c r="D224" s="734">
        <f>D227*D226</f>
        <v>0</v>
      </c>
      <c r="E224" s="742">
        <f>E227*E226</f>
        <v>0</v>
      </c>
      <c r="F224" s="806"/>
      <c r="G224" s="1576"/>
      <c r="H224" s="1576"/>
      <c r="I224" s="814"/>
      <c r="K224" s="663"/>
      <c r="L224" s="664"/>
      <c r="M224" s="664"/>
      <c r="N224" s="664"/>
      <c r="O224" s="664"/>
      <c r="P224" s="664"/>
      <c r="Q224" s="664"/>
      <c r="R224" s="664"/>
      <c r="S224" s="664"/>
      <c r="T224" s="1401"/>
    </row>
    <row r="225" spans="2:20" ht="12" customHeight="1">
      <c r="B225" s="603" t="s">
        <v>312</v>
      </c>
      <c r="C225" s="792">
        <v>0</v>
      </c>
      <c r="D225" s="792">
        <f t="shared" ref="D225:E227" si="20">C225*(1+G225)</f>
        <v>0</v>
      </c>
      <c r="E225" s="793">
        <f t="shared" si="20"/>
        <v>0</v>
      </c>
      <c r="F225" s="808"/>
      <c r="G225" s="933">
        <v>0.03</v>
      </c>
      <c r="H225" s="933">
        <f>G225</f>
        <v>0.03</v>
      </c>
      <c r="I225" s="817" t="s">
        <v>313</v>
      </c>
      <c r="K225" s="663"/>
      <c r="L225" s="664"/>
      <c r="M225" s="664"/>
      <c r="N225" s="664"/>
      <c r="O225" s="664"/>
      <c r="P225" s="664"/>
      <c r="Q225" s="664"/>
      <c r="R225" s="664"/>
      <c r="S225" s="664"/>
      <c r="T225" s="1401"/>
    </row>
    <row r="226" spans="2:20" ht="12" customHeight="1">
      <c r="B226" s="603" t="s">
        <v>9</v>
      </c>
      <c r="C226" s="794">
        <v>0</v>
      </c>
      <c r="D226" s="794">
        <f>C226*12/C$13+G226*C226*12/C$13</f>
        <v>0</v>
      </c>
      <c r="E226" s="795">
        <f t="shared" si="20"/>
        <v>0</v>
      </c>
      <c r="F226" s="808"/>
      <c r="G226" s="933">
        <v>0</v>
      </c>
      <c r="H226" s="933">
        <f>G226</f>
        <v>0</v>
      </c>
      <c r="I226" s="817" t="s">
        <v>556</v>
      </c>
      <c r="K226" s="663"/>
      <c r="L226" s="664"/>
      <c r="M226" s="664"/>
      <c r="N226" s="664"/>
      <c r="O226" s="664"/>
      <c r="P226" s="664"/>
      <c r="Q226" s="664"/>
      <c r="R226" s="664"/>
      <c r="S226" s="664"/>
      <c r="T226" s="1401"/>
    </row>
    <row r="227" spans="2:20" ht="12" customHeight="1">
      <c r="B227" s="603" t="s">
        <v>311</v>
      </c>
      <c r="C227" s="792">
        <v>0</v>
      </c>
      <c r="D227" s="792">
        <f t="shared" si="20"/>
        <v>0</v>
      </c>
      <c r="E227" s="793">
        <f t="shared" si="20"/>
        <v>0</v>
      </c>
      <c r="F227" s="808"/>
      <c r="G227" s="933">
        <v>0.03</v>
      </c>
      <c r="H227" s="933">
        <f>G227</f>
        <v>0.03</v>
      </c>
      <c r="I227" s="817" t="s">
        <v>314</v>
      </c>
      <c r="K227" s="663"/>
      <c r="L227" s="664"/>
      <c r="M227" s="664"/>
      <c r="N227" s="664"/>
      <c r="O227" s="664"/>
      <c r="P227" s="664"/>
      <c r="Q227" s="664"/>
      <c r="R227" s="664"/>
      <c r="S227" s="664"/>
      <c r="T227" s="1401"/>
    </row>
    <row r="228" spans="2:20" ht="12" customHeight="1">
      <c r="B228" s="593" t="s">
        <v>10</v>
      </c>
      <c r="C228" s="726">
        <f>IF(C227=0,0,(C227-C225)/C227)</f>
        <v>0</v>
      </c>
      <c r="D228" s="726">
        <f>IF(D227=0,0,(D227-D225)/D227)</f>
        <v>0</v>
      </c>
      <c r="E228" s="727">
        <f>IF(E227=0,0,(E227-E225)/E227)</f>
        <v>0</v>
      </c>
      <c r="F228" s="806"/>
      <c r="G228" s="935"/>
      <c r="H228" s="935"/>
      <c r="I228" s="811"/>
      <c r="K228" s="663"/>
      <c r="L228" s="664"/>
      <c r="M228" s="664"/>
      <c r="N228" s="664"/>
      <c r="O228" s="664"/>
      <c r="P228" s="664"/>
      <c r="Q228" s="664"/>
      <c r="R228" s="664"/>
      <c r="S228" s="664"/>
      <c r="T228" s="1401"/>
    </row>
    <row r="229" spans="2:20" ht="4.2" customHeight="1">
      <c r="B229" s="931"/>
      <c r="C229" s="934"/>
      <c r="D229" s="934"/>
      <c r="E229" s="934"/>
      <c r="F229" s="320"/>
      <c r="G229" s="299"/>
      <c r="H229" s="299"/>
      <c r="I229" s="815"/>
      <c r="K229" s="1403"/>
      <c r="L229" s="354"/>
      <c r="M229" s="354"/>
      <c r="N229" s="354"/>
      <c r="O229" s="354"/>
      <c r="P229" s="354"/>
      <c r="Q229" s="354"/>
      <c r="R229" s="354"/>
      <c r="S229" s="354"/>
      <c r="T229" s="1404"/>
    </row>
    <row r="230" spans="2:20" ht="12" customHeight="1">
      <c r="B230" s="945">
        <v>0</v>
      </c>
      <c r="C230" s="933">
        <v>0.24</v>
      </c>
      <c r="D230" s="933">
        <f>C230</f>
        <v>0.24</v>
      </c>
      <c r="E230" s="933">
        <f>D230</f>
        <v>0.24</v>
      </c>
      <c r="F230" s="810"/>
      <c r="G230" s="935"/>
      <c r="H230" s="935"/>
      <c r="I230" s="811"/>
      <c r="K230" s="663"/>
      <c r="L230" s="664"/>
      <c r="M230" s="664"/>
      <c r="N230" s="664"/>
      <c r="O230" s="664"/>
      <c r="P230" s="664"/>
      <c r="Q230" s="664"/>
      <c r="R230" s="664"/>
      <c r="S230" s="664"/>
      <c r="T230" s="1401"/>
    </row>
    <row r="231" spans="2:20" ht="12" customHeight="1">
      <c r="B231" s="604" t="s">
        <v>160</v>
      </c>
      <c r="C231" s="734">
        <f>C234*C233</f>
        <v>0</v>
      </c>
      <c r="D231" s="734">
        <f>D234*D233</f>
        <v>0</v>
      </c>
      <c r="E231" s="742">
        <f>E234*E233</f>
        <v>0</v>
      </c>
      <c r="F231" s="806"/>
      <c r="G231" s="1576"/>
      <c r="H231" s="1576"/>
      <c r="I231" s="814"/>
      <c r="K231" s="663"/>
      <c r="L231" s="661"/>
      <c r="M231" s="661"/>
      <c r="N231" s="661"/>
      <c r="O231" s="661"/>
      <c r="P231" s="661"/>
      <c r="Q231" s="661"/>
      <c r="R231" s="661"/>
      <c r="S231" s="661"/>
      <c r="T231" s="1401"/>
    </row>
    <row r="232" spans="2:20" ht="12" customHeight="1">
      <c r="B232" s="603" t="s">
        <v>312</v>
      </c>
      <c r="C232" s="792">
        <v>0</v>
      </c>
      <c r="D232" s="792">
        <f t="shared" ref="D232:E234" si="21">C232*(1+G232)</f>
        <v>0</v>
      </c>
      <c r="E232" s="793">
        <f t="shared" si="21"/>
        <v>0</v>
      </c>
      <c r="F232" s="808"/>
      <c r="G232" s="933">
        <v>0.03</v>
      </c>
      <c r="H232" s="933">
        <f>G232</f>
        <v>0.03</v>
      </c>
      <c r="I232" s="817" t="s">
        <v>313</v>
      </c>
      <c r="K232" s="663"/>
      <c r="L232" s="661"/>
      <c r="M232" s="661"/>
      <c r="N232" s="661"/>
      <c r="O232" s="661"/>
      <c r="P232" s="661"/>
      <c r="Q232" s="661"/>
      <c r="R232" s="661"/>
      <c r="S232" s="661"/>
      <c r="T232" s="1401"/>
    </row>
    <row r="233" spans="2:20" ht="12" customHeight="1">
      <c r="B233" s="603" t="s">
        <v>9</v>
      </c>
      <c r="C233" s="794">
        <v>0</v>
      </c>
      <c r="D233" s="794">
        <f>C233*12/C$13+G233*C233*12/C$13</f>
        <v>0</v>
      </c>
      <c r="E233" s="795">
        <f t="shared" si="21"/>
        <v>0</v>
      </c>
      <c r="F233" s="808"/>
      <c r="G233" s="933">
        <v>0</v>
      </c>
      <c r="H233" s="933">
        <f>G233</f>
        <v>0</v>
      </c>
      <c r="I233" s="817" t="s">
        <v>556</v>
      </c>
      <c r="K233" s="663"/>
      <c r="L233" s="661"/>
      <c r="M233" s="661"/>
      <c r="N233" s="661"/>
      <c r="O233" s="661"/>
      <c r="P233" s="661"/>
      <c r="Q233" s="661"/>
      <c r="R233" s="661"/>
      <c r="S233" s="661"/>
      <c r="T233" s="1401"/>
    </row>
    <row r="234" spans="2:20" ht="12" customHeight="1">
      <c r="B234" s="603" t="s">
        <v>311</v>
      </c>
      <c r="C234" s="792">
        <v>0</v>
      </c>
      <c r="D234" s="792">
        <f t="shared" si="21"/>
        <v>0</v>
      </c>
      <c r="E234" s="793">
        <f t="shared" si="21"/>
        <v>0</v>
      </c>
      <c r="F234" s="808"/>
      <c r="G234" s="933">
        <v>0.03</v>
      </c>
      <c r="H234" s="933">
        <f>G234</f>
        <v>0.03</v>
      </c>
      <c r="I234" s="817" t="s">
        <v>314</v>
      </c>
      <c r="K234" s="663"/>
      <c r="L234" s="661"/>
      <c r="M234" s="661"/>
      <c r="N234" s="661"/>
      <c r="O234" s="661"/>
      <c r="P234" s="661"/>
      <c r="Q234" s="661"/>
      <c r="R234" s="661"/>
      <c r="S234" s="661"/>
      <c r="T234" s="1401"/>
    </row>
    <row r="235" spans="2:20" ht="12" customHeight="1">
      <c r="B235" s="593" t="s">
        <v>10</v>
      </c>
      <c r="C235" s="726">
        <f>IF(C234=0,0,(C234-C232)/C234)</f>
        <v>0</v>
      </c>
      <c r="D235" s="726">
        <f>IF(D234=0,0,(D234-D232)/D234)</f>
        <v>0</v>
      </c>
      <c r="E235" s="727">
        <f>IF(E234=0,0,(E234-E232)/E234)</f>
        <v>0</v>
      </c>
      <c r="F235" s="818"/>
      <c r="G235" s="819"/>
      <c r="H235" s="819"/>
      <c r="I235" s="820"/>
      <c r="K235" s="665"/>
      <c r="L235" s="677"/>
      <c r="M235" s="677"/>
      <c r="N235" s="677"/>
      <c r="O235" s="677"/>
      <c r="P235" s="677"/>
      <c r="Q235" s="677"/>
      <c r="R235" s="677"/>
      <c r="S235" s="677"/>
      <c r="T235" s="1402"/>
    </row>
    <row r="236" spans="2:20" ht="4.2" customHeight="1">
      <c r="B236" s="323"/>
      <c r="C236" s="730"/>
      <c r="D236" s="730"/>
      <c r="E236" s="730"/>
      <c r="F236" s="320"/>
      <c r="G236" s="323"/>
      <c r="H236" s="327"/>
      <c r="I236" s="327"/>
      <c r="L236" s="20"/>
      <c r="M236" s="20"/>
      <c r="N236" s="20"/>
      <c r="O236" s="20"/>
      <c r="P236" s="20"/>
      <c r="Q236" s="20"/>
      <c r="R236" s="20"/>
      <c r="S236" s="20"/>
    </row>
    <row r="237" spans="2:20" ht="12.75" customHeight="1">
      <c r="B237" s="799" t="s">
        <v>235</v>
      </c>
      <c r="C237" s="734">
        <f>C166*(1+C165)+C171*(1+C170)+C176*(1+C175)+C181*(1+C180)+C186*(1+C185)+C191*(1+C190)+C196*(1+C195)+C203*(1+C202)+C210*(1+C209)+C217*(1+C216)+C224*(1+C223)+C231*(1+C230)+C156</f>
        <v>0</v>
      </c>
      <c r="D237" s="734">
        <f>D166*(1+D165)+D171*(1+D170)+D176*(1+D175)+D181*(1+D180)+D186*(1+D185)+D191*(1+D190)+D196*(1+D195)+D203*(1+D202)+D210*(1+D209)+D217*(1+D216)+D224*(1+D223)+D231*(1+D230)+D156</f>
        <v>0</v>
      </c>
      <c r="E237" s="734">
        <f>E166*(1+E165)+E171*(1+E170)+E176*(1+E175)+E181*(1+E180)+E186*(1+E185)+E191*(1+E190)+E196*(1+E195)+E203*(1+E202)+E210*(1+E209)+E217*(1+E216)+E224*(1+E223)+E231*(1+E230)+E156</f>
        <v>0</v>
      </c>
      <c r="F237"/>
      <c r="I237" s="20"/>
      <c r="J237" s="20"/>
      <c r="K237" s="20"/>
      <c r="L237" s="20"/>
      <c r="M237" s="20"/>
      <c r="N237" s="20"/>
      <c r="O237" s="20"/>
      <c r="P237" s="20"/>
      <c r="Q237" s="20"/>
      <c r="R237" s="20"/>
      <c r="S237" s="20"/>
    </row>
    <row r="238" spans="2:20">
      <c r="B238" s="800" t="s">
        <v>236</v>
      </c>
      <c r="C238" s="734">
        <f>C166+C171+C176+C181+C186+C191+C196+C203+C210+C217+C224+C231+C157</f>
        <v>0</v>
      </c>
      <c r="D238" s="734">
        <f>D166+D171+D176+D181+D186+D191+D196+D203+D210+D217+D224+D231+D157</f>
        <v>0</v>
      </c>
      <c r="E238" s="734">
        <f>E166+E171+E176+E181+E186+E191+E196+E203+E210+E217+E224+E231+E157</f>
        <v>0</v>
      </c>
      <c r="F238" s="20"/>
      <c r="G238" s="20"/>
      <c r="H238" s="20"/>
      <c r="I238" s="20"/>
      <c r="J238" s="20"/>
      <c r="K238" s="20"/>
      <c r="L238" s="20"/>
      <c r="M238" s="20"/>
      <c r="N238" s="20"/>
      <c r="O238" s="20"/>
      <c r="P238" s="20"/>
      <c r="Q238" s="20"/>
      <c r="R238" s="20"/>
      <c r="S238" s="20"/>
    </row>
    <row r="239" spans="2:20">
      <c r="B239" s="800" t="s">
        <v>657</v>
      </c>
      <c r="C239" s="734">
        <f>C196*(1-C200)+C203*(1-C207)+C210*(1-C214)+C217*(1-C221)+C224*(1-C228)+C231*(1-C235)+C158</f>
        <v>0</v>
      </c>
      <c r="D239" s="734">
        <f>D196*(1-D200)+D203*(1-D207)+D210*(1-D214)+D217*(1-D221)+D224*(1-D228)+D231*(1-D235)+D158</f>
        <v>0</v>
      </c>
      <c r="E239" s="734">
        <f>E196*(1-E200)+E203*(1-E207)+E210*(1-E214)+E217*(1-E221)+E224*(1-E228)+E231*(1-E235)+E158</f>
        <v>0</v>
      </c>
      <c r="F239" s="20"/>
      <c r="G239" s="20"/>
      <c r="H239" s="20"/>
      <c r="I239" s="20"/>
      <c r="J239" s="20"/>
      <c r="K239" s="20"/>
    </row>
    <row r="240" spans="2:20" hidden="1">
      <c r="B240" s="800" t="s">
        <v>658</v>
      </c>
      <c r="C240" s="734">
        <f>C232*C233+C232*C233*C230+C225*C226+C225*C226*C223+C218*C219+C218*C219*C216+C211*C212+C211*C212*C209+C204*C205+C204*C205*C202+C197*C198+C197*C198*C195+C159</f>
        <v>0</v>
      </c>
      <c r="D240" s="734">
        <f t="shared" ref="D240:E240" si="22">D232*D233+D232*D233*D230+D225*D226+D225*D226*D223+D218*D219+D218*D219*D216+D211*D212+D211*D212*D209+D204*D205+D204*D205*D202+D197*D198+D197*D198*D195+D159</f>
        <v>0</v>
      </c>
      <c r="E240" s="734">
        <f t="shared" si="22"/>
        <v>0</v>
      </c>
      <c r="F240" s="20"/>
      <c r="G240" s="20"/>
      <c r="H240" s="20"/>
      <c r="I240" s="20"/>
      <c r="J240" s="20"/>
      <c r="K240" s="20"/>
    </row>
    <row r="241" spans="2:11">
      <c r="F241" s="20"/>
      <c r="G241" s="20"/>
      <c r="H241" s="20"/>
      <c r="I241" s="20"/>
      <c r="J241" s="20"/>
      <c r="K241" s="20"/>
    </row>
    <row r="242" spans="2:11">
      <c r="B242" s="312" t="s">
        <v>331</v>
      </c>
    </row>
    <row r="243" spans="2:11">
      <c r="B243" s="100" t="s">
        <v>332</v>
      </c>
    </row>
    <row r="244" spans="2:11">
      <c r="B244" s="100" t="s">
        <v>333</v>
      </c>
    </row>
  </sheetData>
  <sheetProtection algorithmName="SHA-512" hashValue="eN8visfXjJOUOSToU9O9YgnlC2aHL6JUueMs/i95YDdI7emX4cw+ftlZvwoig2i1LJOJMTO+dCbpCceFoiLs+A==" saltValue="HiozVPeKy3zt1Ik4FCishQ==" spinCount="100000" sheet="1" objects="1" scenarios="1"/>
  <mergeCells count="14">
    <mergeCell ref="F84:H84"/>
    <mergeCell ref="F165:H165"/>
    <mergeCell ref="N3:O3"/>
    <mergeCell ref="B1:H1"/>
    <mergeCell ref="C8:E8"/>
    <mergeCell ref="K3:L3"/>
    <mergeCell ref="F9:I9"/>
    <mergeCell ref="B4:I4"/>
    <mergeCell ref="B2:I2"/>
    <mergeCell ref="B11:B12"/>
    <mergeCell ref="B80:B81"/>
    <mergeCell ref="B161:B162"/>
    <mergeCell ref="L13:R13"/>
    <mergeCell ref="G15:H15"/>
  </mergeCells>
  <phoneticPr fontId="8" type="noConversion"/>
  <printOptions horizontalCentered="1"/>
  <pageMargins left="0.25" right="0.25" top="0.75" bottom="0.75" header="0.3" footer="0.3"/>
  <pageSetup paperSize="9" scale="84" orientation="portrait" r:id="rId1"/>
  <headerFooter alignWithMargins="0">
    <oddFooter>&amp;C&amp;8YT5 ALOITTAVAN YRITYKSEN TALOUSSUUNNITELMA</oddFooter>
  </headerFooter>
  <rowBreaks count="2" manualBreakCount="2">
    <brk id="79" min="1" max="19" man="1"/>
    <brk id="160" min="1" max="19" man="1"/>
  </rowBreaks>
  <colBreaks count="1" manualBreakCount="1">
    <brk id="9" min="3" max="238"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ul9">
    <tabColor theme="3" tint="0.79998168889431442"/>
  </sheetPr>
  <dimension ref="A2:AF169"/>
  <sheetViews>
    <sheetView showGridLines="0" showZeros="0" zoomScaleNormal="100" workbookViewId="0">
      <selection activeCell="E17" sqref="E17"/>
    </sheetView>
  </sheetViews>
  <sheetFormatPr defaultRowHeight="12.45"/>
  <cols>
    <col min="1" max="1" width="5.84375" customWidth="1"/>
    <col min="2" max="2" width="3.3046875" customWidth="1"/>
    <col min="3" max="3" width="25.07421875" customWidth="1"/>
    <col min="4" max="4" width="9.07421875" customWidth="1"/>
    <col min="5" max="5" width="13.07421875" customWidth="1"/>
    <col min="6" max="6" width="11" customWidth="1"/>
    <col min="7" max="7" width="5.07421875" customWidth="1"/>
    <col min="8" max="8" width="6.84375" customWidth="1"/>
    <col min="9" max="9" width="4.84375" customWidth="1"/>
    <col min="10" max="10" width="5.07421875" customWidth="1"/>
    <col min="11" max="11" width="11" customWidth="1"/>
    <col min="12" max="12" width="5.07421875" customWidth="1"/>
    <col min="13" max="13" width="3.84375" customWidth="1"/>
    <col min="15" max="15" width="13.69140625" customWidth="1"/>
    <col min="16" max="19" width="9.07421875" customWidth="1"/>
    <col min="23" max="23" width="10.07421875" customWidth="1"/>
  </cols>
  <sheetData>
    <row r="2" spans="2:24" ht="15" customHeight="1">
      <c r="B2" s="1857" t="s">
        <v>359</v>
      </c>
      <c r="C2" s="1857"/>
      <c r="D2" s="1857"/>
      <c r="E2" s="1857"/>
      <c r="F2" s="1857"/>
      <c r="G2" s="1857"/>
      <c r="H2" s="1857"/>
      <c r="I2" s="1857"/>
      <c r="J2" s="1857"/>
      <c r="K2" s="1857"/>
      <c r="L2" s="1857"/>
    </row>
    <row r="3" spans="2:24" ht="15" customHeight="1">
      <c r="N3" s="1694" t="s">
        <v>348</v>
      </c>
      <c r="O3" s="1694"/>
      <c r="Q3" s="1680"/>
      <c r="R3" s="1680"/>
    </row>
    <row r="4" spans="2:24" ht="15" customHeight="1">
      <c r="B4" s="1980"/>
      <c r="C4" s="1980"/>
      <c r="D4" s="1980"/>
      <c r="E4" s="1980"/>
      <c r="F4" s="1980"/>
      <c r="G4" s="1980"/>
      <c r="H4" s="1980"/>
      <c r="I4" s="1980"/>
      <c r="J4" s="1980"/>
      <c r="K4" s="1980"/>
      <c r="L4" s="1980"/>
      <c r="N4" s="345"/>
      <c r="O4" s="345"/>
      <c r="Q4" s="411"/>
      <c r="R4" s="411"/>
    </row>
    <row r="5" spans="2:24" ht="15" customHeight="1">
      <c r="B5" s="423" t="str">
        <f>'Myynti Y2'!B5</f>
        <v>Yritystulkin tarjoavat</v>
      </c>
    </row>
    <row r="6" spans="2:24" ht="12" customHeight="1">
      <c r="B6" s="308" t="str">
        <f>Aloitussivu!J34</f>
        <v>Iisalmi, Lapinlahti, Sonkajärvi, Vieremä</v>
      </c>
      <c r="C6" s="72"/>
      <c r="D6" s="54"/>
      <c r="E6" s="54"/>
      <c r="F6" s="72"/>
      <c r="G6" s="53"/>
      <c r="H6" s="53"/>
      <c r="I6" s="151"/>
      <c r="J6" s="1940"/>
      <c r="K6" s="1940"/>
      <c r="L6" s="1940"/>
    </row>
    <row r="7" spans="2:24" ht="16.5" customHeight="1">
      <c r="B7" s="413"/>
      <c r="C7" s="72"/>
      <c r="D7" s="54"/>
      <c r="E7" s="54"/>
      <c r="F7" s="72"/>
      <c r="G7" s="53"/>
      <c r="H7" s="53"/>
      <c r="I7" s="151"/>
      <c r="J7" s="426"/>
      <c r="K7" s="426"/>
      <c r="L7" s="426"/>
    </row>
    <row r="8" spans="2:24" ht="12" customHeight="1">
      <c r="B8" s="332" t="s">
        <v>22</v>
      </c>
      <c r="C8" s="415"/>
      <c r="D8" s="415"/>
      <c r="E8" s="154"/>
      <c r="F8" s="72"/>
      <c r="G8" s="72" t="s">
        <v>546</v>
      </c>
      <c r="H8" s="53"/>
      <c r="I8" s="151"/>
      <c r="K8" s="72"/>
      <c r="L8" s="145"/>
    </row>
    <row r="9" spans="2:24">
      <c r="B9" s="1979">
        <f>'Kustannukset Y1'!C9</f>
        <v>0</v>
      </c>
      <c r="C9" s="1979"/>
      <c r="D9" s="1979"/>
      <c r="E9" s="1979"/>
      <c r="F9" s="93"/>
      <c r="G9" s="1942">
        <v>0</v>
      </c>
      <c r="H9" s="1942"/>
      <c r="I9" s="1942"/>
      <c r="J9" s="1942"/>
      <c r="K9" s="1942"/>
      <c r="L9" s="1942"/>
    </row>
    <row r="10" spans="2:24" ht="6" customHeight="1">
      <c r="B10" s="53"/>
      <c r="D10" s="54"/>
      <c r="E10" s="54"/>
      <c r="F10" s="53"/>
      <c r="G10" s="39"/>
      <c r="H10" s="39"/>
      <c r="I10" s="39"/>
      <c r="J10" s="39"/>
    </row>
    <row r="11" spans="2:24" ht="4.5" customHeight="1">
      <c r="B11" s="53"/>
      <c r="C11" s="1979"/>
      <c r="D11" s="1985"/>
      <c r="E11" s="1985"/>
      <c r="H11" s="1780"/>
      <c r="I11" s="1780"/>
      <c r="J11" s="1780"/>
      <c r="K11" s="1780"/>
      <c r="L11" s="1780"/>
      <c r="N11" s="71"/>
    </row>
    <row r="12" spans="2:24" ht="6" customHeight="1">
      <c r="B12" s="53"/>
      <c r="C12" s="7"/>
      <c r="D12" s="7"/>
      <c r="E12" s="7"/>
      <c r="G12" s="55"/>
      <c r="H12" s="55"/>
      <c r="I12" s="33"/>
      <c r="J12" s="33"/>
    </row>
    <row r="13" spans="2:24" ht="12.75" customHeight="1">
      <c r="B13" s="1928" t="s">
        <v>549</v>
      </c>
      <c r="C13" s="1773"/>
      <c r="D13" s="1773"/>
      <c r="E13" s="1773"/>
      <c r="F13" s="1773"/>
      <c r="G13" s="1773"/>
      <c r="H13" s="1773"/>
      <c r="I13" s="1773"/>
      <c r="J13" s="1773"/>
      <c r="K13" s="1773"/>
      <c r="L13" s="1773"/>
      <c r="N13" s="243"/>
      <c r="O13" s="243"/>
      <c r="P13" s="243"/>
      <c r="Q13" s="1680"/>
      <c r="R13" s="1680"/>
      <c r="S13" s="1680"/>
      <c r="T13" s="1680"/>
      <c r="U13" s="1680"/>
      <c r="V13" s="1680"/>
    </row>
    <row r="14" spans="2:24" ht="10.5" customHeight="1">
      <c r="B14" s="1928"/>
      <c r="C14" s="1773"/>
      <c r="D14" s="1773"/>
      <c r="E14" s="1773"/>
      <c r="F14" s="1773"/>
      <c r="G14" s="1773"/>
      <c r="H14" s="1773"/>
      <c r="I14" s="1773"/>
      <c r="J14" s="1773"/>
      <c r="K14" s="1773"/>
      <c r="L14" s="1773"/>
    </row>
    <row r="15" spans="2:24" ht="16.5" customHeight="1">
      <c r="B15" s="912" t="s">
        <v>692</v>
      </c>
      <c r="C15" s="913"/>
      <c r="D15" s="914"/>
      <c r="E15" s="1182" t="s">
        <v>33</v>
      </c>
      <c r="F15" s="924" t="s">
        <v>488</v>
      </c>
      <c r="G15" s="927"/>
      <c r="H15" s="927"/>
      <c r="I15" s="927"/>
      <c r="J15" s="927"/>
      <c r="K15" s="1797" t="s">
        <v>33</v>
      </c>
      <c r="L15" s="1797"/>
      <c r="N15" s="1412" t="s">
        <v>773</v>
      </c>
      <c r="O15" s="1426"/>
      <c r="P15" s="1427"/>
      <c r="Q15" s="1427"/>
      <c r="R15" s="1427"/>
      <c r="S15" s="1427"/>
      <c r="T15" s="1427"/>
      <c r="U15" s="1427"/>
      <c r="V15" s="1427"/>
      <c r="W15" s="1427"/>
      <c r="X15" s="1428"/>
    </row>
    <row r="16" spans="2:24">
      <c r="B16" s="1986" t="s">
        <v>792</v>
      </c>
      <c r="C16" s="1987"/>
      <c r="D16" s="1292" t="s">
        <v>61</v>
      </c>
      <c r="E16" s="1335">
        <f>E17+E18+E19</f>
        <v>0</v>
      </c>
      <c r="F16" s="1303" t="s">
        <v>541</v>
      </c>
      <c r="G16" s="1304"/>
      <c r="H16" s="1305"/>
      <c r="I16" s="1306"/>
      <c r="J16" s="1307"/>
      <c r="K16" s="1935">
        <f>SUM(K18:L20)</f>
        <v>0</v>
      </c>
      <c r="L16" s="1936"/>
      <c r="N16" s="1416"/>
      <c r="O16" s="354"/>
      <c r="P16" s="309"/>
      <c r="Q16" s="309"/>
      <c r="R16" s="309"/>
      <c r="S16" s="309"/>
      <c r="T16" s="309"/>
      <c r="U16" s="309"/>
      <c r="V16" s="309"/>
      <c r="W16" s="309"/>
      <c r="X16" s="1417"/>
    </row>
    <row r="17" spans="1:32">
      <c r="A17" s="154"/>
      <c r="B17" s="1875" t="s">
        <v>861</v>
      </c>
      <c r="C17" s="1876"/>
      <c r="D17" s="1293">
        <v>0</v>
      </c>
      <c r="E17" s="1294">
        <v>0</v>
      </c>
      <c r="F17" s="1931" t="s">
        <v>526</v>
      </c>
      <c r="G17" s="1932"/>
      <c r="H17" s="1301" t="s">
        <v>42</v>
      </c>
      <c r="I17" s="1929" t="s">
        <v>45</v>
      </c>
      <c r="J17" s="1930"/>
      <c r="K17" s="1929" t="s">
        <v>43</v>
      </c>
      <c r="L17" s="1930"/>
      <c r="N17" s="1416"/>
      <c r="O17" s="354"/>
      <c r="P17" s="309"/>
      <c r="Q17" s="309"/>
      <c r="R17" s="309"/>
      <c r="S17" s="309"/>
      <c r="T17" s="1043" t="s">
        <v>772</v>
      </c>
      <c r="U17" s="309"/>
      <c r="V17" s="309"/>
      <c r="W17" s="309"/>
      <c r="X17" s="1417"/>
    </row>
    <row r="18" spans="1:32">
      <c r="B18" s="1875" t="s">
        <v>862</v>
      </c>
      <c r="C18" s="1876"/>
      <c r="D18" s="1293">
        <v>0</v>
      </c>
      <c r="E18" s="1295">
        <v>0</v>
      </c>
      <c r="F18" s="1933" t="s">
        <v>487</v>
      </c>
      <c r="G18" s="1934"/>
      <c r="H18" s="1300">
        <v>0</v>
      </c>
      <c r="I18" s="1302">
        <v>0</v>
      </c>
      <c r="J18" s="1295">
        <v>0</v>
      </c>
      <c r="K18" s="1882">
        <v>0</v>
      </c>
      <c r="L18" s="1883"/>
      <c r="N18" s="921"/>
      <c r="O18" s="664"/>
      <c r="P18" s="664"/>
      <c r="Q18" s="664"/>
      <c r="R18" s="664"/>
      <c r="S18" s="664"/>
      <c r="T18" s="664"/>
      <c r="U18" s="664"/>
      <c r="V18" s="664"/>
      <c r="W18" s="664"/>
      <c r="X18" s="922"/>
    </row>
    <row r="19" spans="1:32">
      <c r="A19" s="154"/>
      <c r="B19" s="1875" t="s">
        <v>860</v>
      </c>
      <c r="C19" s="1876"/>
      <c r="D19" s="1293">
        <v>0</v>
      </c>
      <c r="E19" s="1295">
        <v>0</v>
      </c>
      <c r="F19" s="1933" t="s">
        <v>486</v>
      </c>
      <c r="G19" s="1934"/>
      <c r="H19" s="1300">
        <v>0</v>
      </c>
      <c r="I19" s="1302">
        <v>0</v>
      </c>
      <c r="J19" s="1295">
        <v>0</v>
      </c>
      <c r="K19" s="1882">
        <v>0</v>
      </c>
      <c r="L19" s="1883"/>
      <c r="N19" s="921"/>
      <c r="O19" s="664"/>
      <c r="P19" s="664"/>
      <c r="Q19" s="664"/>
      <c r="R19" s="664"/>
      <c r="S19" s="664"/>
      <c r="T19" s="664"/>
      <c r="U19" s="664"/>
      <c r="V19" s="664"/>
      <c r="W19" s="664"/>
      <c r="X19" s="922"/>
    </row>
    <row r="20" spans="1:32">
      <c r="A20" s="2"/>
      <c r="B20" s="1871" t="s">
        <v>536</v>
      </c>
      <c r="C20" s="1790"/>
      <c r="D20" s="1292" t="s">
        <v>61</v>
      </c>
      <c r="E20" s="1102">
        <f>SUM(E21:E26)</f>
        <v>0</v>
      </c>
      <c r="F20" s="1933">
        <v>0</v>
      </c>
      <c r="G20" s="1934"/>
      <c r="H20" s="1300">
        <v>0</v>
      </c>
      <c r="I20" s="1302">
        <v>0</v>
      </c>
      <c r="J20" s="1295">
        <v>0</v>
      </c>
      <c r="K20" s="1882">
        <v>0</v>
      </c>
      <c r="L20" s="1883"/>
      <c r="N20" s="921"/>
      <c r="O20" s="664"/>
      <c r="P20" s="664"/>
      <c r="Q20" s="664"/>
      <c r="R20" s="664"/>
      <c r="S20" s="664"/>
      <c r="T20" s="664"/>
      <c r="U20" s="664"/>
      <c r="V20" s="664"/>
      <c r="W20" s="664"/>
      <c r="X20" s="922"/>
    </row>
    <row r="21" spans="1:32">
      <c r="A21" s="154"/>
      <c r="B21" s="1872">
        <v>0</v>
      </c>
      <c r="C21" s="1874"/>
      <c r="D21" s="1293">
        <v>0</v>
      </c>
      <c r="E21" s="1295">
        <v>0</v>
      </c>
      <c r="F21" s="1871" t="s">
        <v>548</v>
      </c>
      <c r="G21" s="1790"/>
      <c r="H21" s="1300">
        <v>0</v>
      </c>
      <c r="I21" s="1882">
        <v>0</v>
      </c>
      <c r="J21" s="1883"/>
      <c r="K21" s="1882">
        <v>0</v>
      </c>
      <c r="L21" s="1883"/>
      <c r="N21" s="921"/>
      <c r="O21" s="664"/>
      <c r="P21" s="664"/>
      <c r="Q21" s="664"/>
      <c r="R21" s="664"/>
      <c r="S21" s="664"/>
      <c r="T21" s="664"/>
      <c r="U21" s="664"/>
      <c r="V21" s="664"/>
      <c r="W21" s="664"/>
      <c r="X21" s="922"/>
    </row>
    <row r="22" spans="1:32">
      <c r="A22" s="154"/>
      <c r="B22" s="1872">
        <v>0</v>
      </c>
      <c r="C22" s="1874"/>
      <c r="D22" s="1293">
        <v>0</v>
      </c>
      <c r="E22" s="1295">
        <v>0</v>
      </c>
      <c r="F22" s="1871" t="s">
        <v>547</v>
      </c>
      <c r="G22" s="1790"/>
      <c r="H22" s="1300">
        <v>0</v>
      </c>
      <c r="I22" s="1882">
        <v>0</v>
      </c>
      <c r="J22" s="1883"/>
      <c r="K22" s="1882">
        <v>0</v>
      </c>
      <c r="L22" s="1883"/>
      <c r="N22" s="921"/>
      <c r="O22" s="664"/>
      <c r="P22" s="664"/>
      <c r="Q22" s="664"/>
      <c r="R22" s="664"/>
      <c r="S22" s="664"/>
      <c r="T22" s="664"/>
      <c r="U22" s="664"/>
      <c r="V22" s="664"/>
      <c r="W22" s="664"/>
      <c r="X22" s="922"/>
    </row>
    <row r="23" spans="1:32">
      <c r="B23" s="1877"/>
      <c r="C23" s="1878"/>
      <c r="D23" s="1297">
        <v>0</v>
      </c>
      <c r="E23" s="1295">
        <v>0</v>
      </c>
      <c r="F23" s="1871" t="s">
        <v>538</v>
      </c>
      <c r="G23" s="1789"/>
      <c r="H23" s="1789"/>
      <c r="I23" s="1789"/>
      <c r="J23" s="1790"/>
      <c r="K23" s="1935">
        <f>IF(E33=0,0,SUM(K24:K26))</f>
        <v>0</v>
      </c>
      <c r="L23" s="1936"/>
      <c r="N23" s="921"/>
      <c r="O23" s="664"/>
      <c r="P23" s="664"/>
      <c r="Q23" s="664"/>
      <c r="R23" s="664"/>
      <c r="S23" s="664"/>
      <c r="T23" s="664"/>
      <c r="U23" s="664"/>
      <c r="V23" s="664"/>
      <c r="W23" s="664"/>
      <c r="X23" s="922"/>
    </row>
    <row r="24" spans="1:32">
      <c r="A24" s="154"/>
      <c r="B24" s="1770" t="s">
        <v>175</v>
      </c>
      <c r="C24" s="1879"/>
      <c r="D24" s="1162"/>
      <c r="E24" s="1296">
        <v>0</v>
      </c>
      <c r="F24" s="1933" t="s">
        <v>591</v>
      </c>
      <c r="G24" s="1941"/>
      <c r="H24" s="1941"/>
      <c r="I24" s="1941"/>
      <c r="J24" s="1934"/>
      <c r="K24" s="1782">
        <f>IF('5 YP Lainat ja avustukset'!E$61&lt;0,0,'5 YP Lainat ja avustukset'!E$61)</f>
        <v>0</v>
      </c>
      <c r="L24" s="1783"/>
      <c r="N24" s="921"/>
      <c r="O24" s="664"/>
      <c r="P24" s="664"/>
      <c r="Q24" s="664"/>
      <c r="R24" s="664"/>
      <c r="S24" s="664"/>
      <c r="T24" s="664"/>
      <c r="U24" s="664"/>
      <c r="V24" s="664"/>
      <c r="W24" s="664"/>
      <c r="X24" s="922"/>
    </row>
    <row r="25" spans="1:32">
      <c r="A25" s="2"/>
      <c r="B25" s="1988" t="s">
        <v>525</v>
      </c>
      <c r="C25" s="1989"/>
      <c r="D25" s="1298"/>
      <c r="E25" s="1295">
        <v>0</v>
      </c>
      <c r="F25" s="1884" t="s">
        <v>507</v>
      </c>
      <c r="G25" s="1885"/>
      <c r="H25" s="1885"/>
      <c r="I25" s="1885"/>
      <c r="J25" s="1886"/>
      <c r="K25" s="1882">
        <v>0</v>
      </c>
      <c r="L25" s="1883"/>
      <c r="N25" s="921"/>
      <c r="O25" s="664"/>
      <c r="P25" s="664"/>
      <c r="Q25" s="664"/>
      <c r="R25" s="664"/>
      <c r="S25" s="664"/>
      <c r="T25" s="664"/>
      <c r="U25" s="664"/>
      <c r="V25" s="664"/>
      <c r="W25" s="664"/>
      <c r="X25" s="922"/>
    </row>
    <row r="26" spans="1:32">
      <c r="A26" s="2"/>
      <c r="B26" s="1875" t="s">
        <v>812</v>
      </c>
      <c r="C26" s="1876"/>
      <c r="D26" s="1293">
        <v>0</v>
      </c>
      <c r="E26" s="1295">
        <v>0</v>
      </c>
      <c r="F26" s="1884" t="s">
        <v>0</v>
      </c>
      <c r="G26" s="1885"/>
      <c r="H26" s="1885"/>
      <c r="I26" s="1885"/>
      <c r="J26" s="1886"/>
      <c r="K26" s="1882">
        <v>0</v>
      </c>
      <c r="L26" s="1883"/>
      <c r="N26" s="921"/>
      <c r="O26" s="664"/>
      <c r="P26" s="664"/>
      <c r="Q26" s="664"/>
      <c r="R26" s="664"/>
      <c r="S26" s="664"/>
      <c r="T26" s="664"/>
      <c r="U26" s="664"/>
      <c r="V26" s="664"/>
      <c r="W26" s="664"/>
      <c r="X26" s="922"/>
    </row>
    <row r="27" spans="1:32">
      <c r="A27" s="154"/>
      <c r="B27" s="1871" t="s">
        <v>537</v>
      </c>
      <c r="C27" s="1789"/>
      <c r="D27" s="1790"/>
      <c r="E27" s="1102">
        <f>E28+E29</f>
        <v>0</v>
      </c>
      <c r="F27" s="1937" t="s">
        <v>539</v>
      </c>
      <c r="G27" s="1748"/>
      <c r="H27" s="1748"/>
      <c r="I27" s="1748"/>
      <c r="J27" s="1749"/>
      <c r="K27" s="1935">
        <f>IF((E19+E20+E27-E26-K21-E24)*0.19355&lt;0,0,(E19+E20+E27-E26-K21-E24)*0.19355)</f>
        <v>0</v>
      </c>
      <c r="L27" s="1936"/>
      <c r="N27" s="921"/>
      <c r="O27" s="664"/>
      <c r="P27" s="664"/>
      <c r="Q27" s="664"/>
      <c r="R27" s="664"/>
      <c r="S27" s="664"/>
      <c r="T27" s="664"/>
      <c r="U27" s="664"/>
      <c r="V27" s="664"/>
      <c r="W27" s="664"/>
      <c r="X27" s="922"/>
      <c r="AA27">
        <v>0</v>
      </c>
    </row>
    <row r="28" spans="1:32">
      <c r="B28" s="1872"/>
      <c r="C28" s="1873"/>
      <c r="D28" s="1874"/>
      <c r="E28" s="1295">
        <v>0</v>
      </c>
      <c r="F28" s="1937" t="s">
        <v>540</v>
      </c>
      <c r="G28" s="1748"/>
      <c r="H28" s="1748"/>
      <c r="I28" s="1748"/>
      <c r="J28" s="1749"/>
      <c r="K28" s="1935">
        <f>SUM(K29:K32)</f>
        <v>0</v>
      </c>
      <c r="L28" s="1936"/>
      <c r="N28" s="921"/>
      <c r="O28" s="664"/>
      <c r="P28" s="664"/>
      <c r="Q28" s="664"/>
      <c r="R28" s="664"/>
      <c r="S28" s="664"/>
      <c r="T28" s="664"/>
      <c r="U28" s="664"/>
      <c r="V28" s="664"/>
      <c r="W28" s="664"/>
      <c r="X28" s="922"/>
    </row>
    <row r="29" spans="1:32">
      <c r="A29" s="154"/>
      <c r="B29" s="1872"/>
      <c r="C29" s="1873"/>
      <c r="D29" s="1874"/>
      <c r="E29" s="1295">
        <v>0</v>
      </c>
      <c r="F29" s="1925" t="s">
        <v>44</v>
      </c>
      <c r="G29" s="1743"/>
      <c r="H29" s="1743"/>
      <c r="I29" s="1743"/>
      <c r="J29" s="1744"/>
      <c r="K29" s="1882">
        <v>0</v>
      </c>
      <c r="L29" s="1883"/>
      <c r="N29" s="921"/>
      <c r="O29" s="664"/>
      <c r="P29" s="664"/>
      <c r="Q29" s="664"/>
      <c r="R29" s="664"/>
      <c r="S29" s="664"/>
      <c r="T29" s="664"/>
      <c r="U29" s="664"/>
      <c r="V29" s="664"/>
      <c r="W29" s="664"/>
      <c r="X29" s="922"/>
      <c r="AF29" s="255" t="s">
        <v>565</v>
      </c>
    </row>
    <row r="30" spans="1:32">
      <c r="A30" s="2"/>
      <c r="B30" s="1871" t="s">
        <v>542</v>
      </c>
      <c r="C30" s="1789"/>
      <c r="D30" s="1790"/>
      <c r="E30" s="1299">
        <v>0</v>
      </c>
      <c r="F30" s="1884" t="s">
        <v>544</v>
      </c>
      <c r="G30" s="1885"/>
      <c r="H30" s="1885"/>
      <c r="I30" s="1885"/>
      <c r="J30" s="1886"/>
      <c r="K30" s="1882">
        <v>0</v>
      </c>
      <c r="L30" s="1883"/>
      <c r="N30" s="921"/>
      <c r="O30" s="664"/>
      <c r="P30" s="664"/>
      <c r="Q30" s="664"/>
      <c r="R30" s="664"/>
      <c r="S30" s="664"/>
      <c r="T30" s="664"/>
      <c r="U30" s="664"/>
      <c r="V30" s="664"/>
      <c r="W30" s="664"/>
      <c r="X30" s="922"/>
    </row>
    <row r="31" spans="1:32">
      <c r="B31" s="1871" t="s">
        <v>559</v>
      </c>
      <c r="C31" s="1789"/>
      <c r="D31" s="1790"/>
      <c r="E31" s="1299">
        <v>0</v>
      </c>
      <c r="F31" s="1884"/>
      <c r="G31" s="1885"/>
      <c r="H31" s="1885"/>
      <c r="I31" s="1885"/>
      <c r="J31" s="1886"/>
      <c r="K31" s="1882">
        <v>0</v>
      </c>
      <c r="L31" s="1883"/>
      <c r="N31" s="921"/>
      <c r="O31" s="664"/>
      <c r="P31" s="664"/>
      <c r="Q31" s="664"/>
      <c r="R31" s="664"/>
      <c r="S31" s="664"/>
      <c r="T31" s="664"/>
      <c r="U31" s="664"/>
      <c r="V31" s="664"/>
      <c r="W31" s="664"/>
      <c r="X31" s="922"/>
    </row>
    <row r="32" spans="1:32">
      <c r="A32" s="154"/>
      <c r="B32" s="1871" t="s">
        <v>567</v>
      </c>
      <c r="C32" s="1789"/>
      <c r="D32" s="1790"/>
      <c r="E32" s="1299">
        <v>0</v>
      </c>
      <c r="F32" s="1884"/>
      <c r="G32" s="1885"/>
      <c r="H32" s="1885"/>
      <c r="I32" s="1885"/>
      <c r="J32" s="1886"/>
      <c r="K32" s="1882">
        <v>0</v>
      </c>
      <c r="L32" s="1883"/>
      <c r="N32" s="921"/>
      <c r="O32" s="664"/>
      <c r="P32" s="664"/>
      <c r="Q32" s="664"/>
      <c r="R32" s="664"/>
      <c r="S32" s="664"/>
      <c r="T32" s="664"/>
      <c r="U32" s="664"/>
      <c r="V32" s="664"/>
      <c r="W32" s="664"/>
      <c r="X32" s="922"/>
    </row>
    <row r="33" spans="1:24">
      <c r="B33" s="9"/>
      <c r="C33" s="1745" t="s">
        <v>35</v>
      </c>
      <c r="D33" s="1745"/>
      <c r="E33" s="1155">
        <f>E16+E20+E27+E31+E32+E30</f>
        <v>0</v>
      </c>
      <c r="F33" s="1758"/>
      <c r="G33" s="1758"/>
      <c r="H33" s="1745" t="s">
        <v>35</v>
      </c>
      <c r="I33" s="1745"/>
      <c r="J33" s="1745"/>
      <c r="K33" s="1981">
        <f>K16+K21+K23+K27+K28+K22</f>
        <v>0</v>
      </c>
      <c r="L33" s="1982"/>
      <c r="N33" s="921"/>
      <c r="O33" s="664"/>
      <c r="P33" s="664"/>
      <c r="Q33" s="664"/>
      <c r="R33" s="664"/>
      <c r="S33" s="664"/>
      <c r="T33" s="664"/>
      <c r="U33" s="664"/>
      <c r="V33" s="664"/>
      <c r="W33" s="664"/>
      <c r="X33" s="922"/>
    </row>
    <row r="34" spans="1:24" ht="5.25" customHeight="1">
      <c r="A34" s="154"/>
      <c r="C34" s="261"/>
      <c r="D34" s="261"/>
      <c r="E34" s="714"/>
      <c r="F34" s="261"/>
      <c r="G34" s="261"/>
      <c r="H34" s="261"/>
      <c r="I34" s="63"/>
      <c r="K34" s="714"/>
      <c r="L34" s="93"/>
      <c r="N34" s="1416"/>
      <c r="O34" s="354"/>
      <c r="P34" s="354"/>
      <c r="Q34" s="354"/>
      <c r="R34" s="354"/>
      <c r="S34" s="354"/>
      <c r="T34" s="354"/>
      <c r="U34" s="354"/>
      <c r="V34" s="354"/>
      <c r="W34" s="354"/>
      <c r="X34" s="1433"/>
    </row>
    <row r="35" spans="1:24">
      <c r="A35" s="2"/>
      <c r="B35" s="1794" t="s">
        <v>508</v>
      </c>
      <c r="C35" s="1794"/>
      <c r="D35" s="1794"/>
      <c r="E35" s="1156">
        <f>ROUND(E33-K33,0)</f>
        <v>0</v>
      </c>
      <c r="F35" s="1794" t="s">
        <v>53</v>
      </c>
      <c r="G35" s="1794"/>
      <c r="H35" s="1794"/>
      <c r="I35" s="1794"/>
      <c r="J35" s="1794"/>
      <c r="K35" s="1983">
        <f>K23+K27</f>
        <v>0</v>
      </c>
      <c r="L35" s="1984"/>
      <c r="N35" s="921"/>
      <c r="O35" s="664"/>
      <c r="P35" s="664"/>
      <c r="Q35" s="664"/>
      <c r="R35" s="664"/>
      <c r="S35" s="664"/>
      <c r="T35" s="664"/>
      <c r="U35" s="664"/>
      <c r="V35" s="664"/>
      <c r="W35" s="664"/>
      <c r="X35" s="922"/>
    </row>
    <row r="36" spans="1:24" ht="12" customHeight="1">
      <c r="C36" s="918" t="str">
        <f>IF( E35&lt;&gt;0,"VARMISTA, ETTÄ Rahoitustarve - Rahoitussuunnitelma, erotus = 0!","")</f>
        <v/>
      </c>
      <c r="D36" s="791"/>
      <c r="E36" s="2"/>
      <c r="G36" s="226"/>
      <c r="H36" s="226"/>
      <c r="I36" s="226"/>
      <c r="J36" s="358"/>
      <c r="N36" s="921"/>
      <c r="O36" s="664"/>
      <c r="P36" s="664"/>
      <c r="Q36" s="664"/>
      <c r="R36" s="664"/>
      <c r="S36" s="664"/>
      <c r="T36" s="664"/>
      <c r="U36" s="664"/>
      <c r="V36" s="664"/>
      <c r="W36" s="664"/>
      <c r="X36" s="922"/>
    </row>
    <row r="37" spans="1:24" ht="13.5" customHeight="1">
      <c r="B37" s="1571" t="s">
        <v>0</v>
      </c>
      <c r="C37" s="1894" t="s">
        <v>34</v>
      </c>
      <c r="D37" s="1308"/>
      <c r="E37" s="1308"/>
      <c r="F37" s="1892" t="s">
        <v>400</v>
      </c>
      <c r="G37" s="1893"/>
      <c r="H37" s="1964" t="s">
        <v>401</v>
      </c>
      <c r="I37" s="1965"/>
      <c r="J37" s="1960"/>
      <c r="K37" s="1892" t="s">
        <v>454</v>
      </c>
      <c r="L37" s="1960"/>
      <c r="N37" s="921"/>
      <c r="O37" s="664"/>
      <c r="P37" s="664"/>
      <c r="Q37" s="664"/>
      <c r="R37" s="664"/>
      <c r="S37" s="664"/>
      <c r="T37" s="664"/>
      <c r="U37" s="664"/>
      <c r="V37" s="664"/>
      <c r="W37" s="664"/>
      <c r="X37" s="922"/>
    </row>
    <row r="38" spans="1:24" ht="13.5" customHeight="1">
      <c r="A38" s="154"/>
      <c r="B38" s="1571" t="s">
        <v>0</v>
      </c>
      <c r="C38" s="1894"/>
      <c r="D38" s="1308"/>
      <c r="E38" s="1308"/>
      <c r="F38" s="1938">
        <f>'Kustannukset Y1'!F12</f>
        <v>2025</v>
      </c>
      <c r="G38" s="1939"/>
      <c r="H38" s="1961">
        <f>F38+1</f>
        <v>2026</v>
      </c>
      <c r="I38" s="1962"/>
      <c r="J38" s="1963"/>
      <c r="K38" s="1966">
        <f>H38+1</f>
        <v>2027</v>
      </c>
      <c r="L38" s="1963"/>
      <c r="N38" s="921"/>
      <c r="O38" s="664"/>
      <c r="P38" s="664"/>
      <c r="Q38" s="664"/>
      <c r="R38" s="664"/>
      <c r="S38" s="664"/>
      <c r="T38" s="664"/>
      <c r="U38" s="664"/>
      <c r="V38" s="664"/>
      <c r="W38" s="664"/>
      <c r="X38" s="922"/>
    </row>
    <row r="39" spans="1:24" ht="13.5" customHeight="1">
      <c r="A39" s="154"/>
      <c r="B39" s="1338"/>
      <c r="C39" s="591" t="s">
        <v>523</v>
      </c>
      <c r="D39" s="1309"/>
      <c r="E39" s="1310"/>
      <c r="F39" s="1887">
        <f>'Kustannukset Y1'!F13</f>
        <v>12</v>
      </c>
      <c r="G39" s="1888"/>
      <c r="H39" s="1889">
        <f>'Kustannukset Y1'!G13</f>
        <v>12</v>
      </c>
      <c r="I39" s="1890"/>
      <c r="J39" s="1891"/>
      <c r="K39" s="1889">
        <f>'Kustannukset K1'!H13</f>
        <v>12</v>
      </c>
      <c r="L39" s="1976"/>
      <c r="N39" s="921"/>
      <c r="O39" s="664"/>
      <c r="P39" s="664"/>
      <c r="Q39" s="664"/>
      <c r="R39" s="664"/>
      <c r="S39" s="664"/>
      <c r="T39" s="664"/>
      <c r="U39" s="664"/>
      <c r="V39" s="664"/>
      <c r="W39" s="664"/>
      <c r="X39" s="922"/>
    </row>
    <row r="40" spans="1:24">
      <c r="B40" s="1339"/>
      <c r="C40" s="1311" t="s">
        <v>25</v>
      </c>
      <c r="D40" s="1312"/>
      <c r="E40" s="1313"/>
      <c r="F40" s="1314">
        <f>'Palkat '!C11+'Kustannukset Y1'!F19</f>
        <v>2</v>
      </c>
      <c r="G40" s="1315" t="s">
        <v>100</v>
      </c>
      <c r="H40" s="1926">
        <f>'Palkat '!D11+'Kustannukset Y1'!G19</f>
        <v>2</v>
      </c>
      <c r="I40" s="1927"/>
      <c r="J40" s="1315" t="s">
        <v>100</v>
      </c>
      <c r="K40" s="1314">
        <f>'Palkat '!E11+'Kustannukset Y1'!H19</f>
        <v>2</v>
      </c>
      <c r="L40" s="1340" t="s">
        <v>100</v>
      </c>
      <c r="N40" s="921"/>
      <c r="O40" s="664"/>
      <c r="P40" s="664"/>
      <c r="Q40" s="664"/>
      <c r="R40" s="664"/>
      <c r="S40" s="664"/>
      <c r="T40" s="664"/>
      <c r="U40" s="664"/>
      <c r="V40" s="664"/>
      <c r="W40" s="664"/>
      <c r="X40" s="922"/>
    </row>
    <row r="41" spans="1:24" ht="12" customHeight="1">
      <c r="A41" s="154"/>
      <c r="B41" s="1341" t="s">
        <v>12</v>
      </c>
      <c r="C41" s="1316" t="s">
        <v>159</v>
      </c>
      <c r="D41" s="1316"/>
      <c r="E41" s="1317"/>
      <c r="F41" s="1102">
        <f>'Myynti Y2'!C237</f>
        <v>0</v>
      </c>
      <c r="G41" s="1328"/>
      <c r="H41" s="1968">
        <f>'Myynti Y2'!D237</f>
        <v>0</v>
      </c>
      <c r="I41" s="1969"/>
      <c r="J41" s="1328"/>
      <c r="K41" s="1102">
        <f>'Myynti Y2'!E237</f>
        <v>0</v>
      </c>
      <c r="L41" s="1342"/>
      <c r="N41" s="921"/>
      <c r="O41" s="664"/>
      <c r="P41" s="664"/>
      <c r="Q41" s="664"/>
      <c r="R41" s="664"/>
      <c r="S41" s="664"/>
      <c r="T41" s="664"/>
      <c r="U41" s="664"/>
      <c r="V41" s="664"/>
      <c r="W41" s="664"/>
      <c r="X41" s="922"/>
    </row>
    <row r="42" spans="1:24" ht="12" customHeight="1">
      <c r="A42" s="2"/>
      <c r="B42" s="1341"/>
      <c r="C42" s="1318" t="s">
        <v>29</v>
      </c>
      <c r="D42" s="1318"/>
      <c r="E42" s="1319"/>
      <c r="F42" s="1099">
        <f>-(F41-F43)</f>
        <v>0</v>
      </c>
      <c r="G42" s="1329"/>
      <c r="H42" s="1880">
        <f>-(H41-H43)</f>
        <v>0</v>
      </c>
      <c r="I42" s="1881"/>
      <c r="J42" s="1329"/>
      <c r="K42" s="1099">
        <f>-(K41-K43)</f>
        <v>0</v>
      </c>
      <c r="L42" s="1343"/>
      <c r="N42" s="921"/>
      <c r="O42" s="664"/>
      <c r="P42" s="664"/>
      <c r="Q42" s="664"/>
      <c r="R42" s="664"/>
      <c r="S42" s="664"/>
      <c r="T42" s="664"/>
      <c r="U42" s="664"/>
      <c r="V42" s="664"/>
      <c r="W42" s="664"/>
      <c r="X42" s="922"/>
    </row>
    <row r="43" spans="1:24" ht="12" customHeight="1">
      <c r="B43" s="1341" t="s">
        <v>13</v>
      </c>
      <c r="C43" s="1316" t="s">
        <v>160</v>
      </c>
      <c r="D43" s="1316"/>
      <c r="E43" s="1317"/>
      <c r="F43" s="1102">
        <f>'Myynti Y2'!C238</f>
        <v>0</v>
      </c>
      <c r="G43" s="1330">
        <v>100</v>
      </c>
      <c r="H43" s="1968">
        <f>'Myynti Y2'!D238</f>
        <v>0</v>
      </c>
      <c r="I43" s="1969"/>
      <c r="J43" s="1330">
        <v>100</v>
      </c>
      <c r="K43" s="1102">
        <f>'Myynti Y2'!E238</f>
        <v>0</v>
      </c>
      <c r="L43" s="1344">
        <v>100</v>
      </c>
      <c r="N43" s="921"/>
      <c r="O43" s="664"/>
      <c r="P43" s="664">
        <v>0</v>
      </c>
      <c r="Q43" s="664"/>
      <c r="R43" s="664"/>
      <c r="S43" s="664"/>
      <c r="T43" s="664"/>
      <c r="U43" s="664"/>
      <c r="V43" s="664"/>
      <c r="W43" s="664"/>
      <c r="X43" s="922"/>
    </row>
    <row r="44" spans="1:24" ht="12" customHeight="1">
      <c r="A44" s="154"/>
      <c r="B44" s="1341" t="s">
        <v>14</v>
      </c>
      <c r="C44" s="1318" t="s">
        <v>276</v>
      </c>
      <c r="D44" s="1318"/>
      <c r="E44" s="1319"/>
      <c r="F44" s="1099">
        <f>-('Myynti Y2'!C239+'Kustannukset Y1'!F62*'Kustannukset Y1'!F63*'Kustannukset Y1'!F64+'Kustannukset Y1'!F65+'Kustannukset Y1'!F68)</f>
        <v>0</v>
      </c>
      <c r="G44" s="1331">
        <f>IF(F$43=0,0,F44/F$43)*-100</f>
        <v>0</v>
      </c>
      <c r="H44" s="1880">
        <f>-('Myynti Y2'!D239+'Kustannukset Y1'!G62*'Kustannukset Y1'!G63*'Kustannukset Y1'!G64+'Kustannukset Y1'!G65+'Kustannukset Y1'!G68)</f>
        <v>0</v>
      </c>
      <c r="I44" s="1881">
        <f>-('Myynti Y2'!F239+'Kustannukset Y1'!I62*'Kustannukset Y1'!I63*'Kustannukset Y1'!I64+'Kustannukset Y1'!I65+'Kustannukset Y1'!I68)</f>
        <v>0</v>
      </c>
      <c r="J44" s="1331">
        <f>IF(H$43=0,0,H44/H$43)*-100</f>
        <v>0</v>
      </c>
      <c r="K44" s="1099">
        <f>-('Myynti Y2'!E239+'Kustannukset Y1'!H62*'Kustannukset Y1'!H63*'Kustannukset Y1'!H64+'Kustannukset Y1'!H65+'Kustannukset Y1'!H68)</f>
        <v>0</v>
      </c>
      <c r="L44" s="1345">
        <f>IF(K$43=0,0,K44/K$43)*-100</f>
        <v>0</v>
      </c>
      <c r="N44" s="921"/>
      <c r="O44" s="664"/>
      <c r="P44" s="664"/>
      <c r="Q44" s="664"/>
      <c r="R44" s="664"/>
      <c r="S44" s="664"/>
      <c r="T44" s="664"/>
      <c r="U44" s="664"/>
      <c r="V44" s="664"/>
      <c r="W44" s="664"/>
      <c r="X44" s="922"/>
    </row>
    <row r="45" spans="1:24" ht="12" customHeight="1">
      <c r="B45" s="1341" t="s">
        <v>15</v>
      </c>
      <c r="C45" s="1318" t="s">
        <v>360</v>
      </c>
      <c r="D45" s="1318"/>
      <c r="E45" s="1319"/>
      <c r="F45" s="1099">
        <f>-('Kustannukset Y1'!F14+'Kustannukset Y1'!F28+'Kustannukset Y1'!F29+'Kustannukset Y1'!F36+'2 AT Palkat, alv'!H20+'2 AT Palkat, alv'!H36)</f>
        <v>0</v>
      </c>
      <c r="G45" s="1331">
        <f t="shared" ref="G45:G54" si="0">IF(F$43=0,0,F45/F$43)*-100</f>
        <v>0</v>
      </c>
      <c r="H45" s="1880">
        <f>-('Kustannukset Y1'!G14+'Kustannukset Y1'!G28+'Kustannukset Y1'!G29+'Kustannukset Y1'!G36+'2 AT Palkat, alv'!S20+'2 AT Palkat, alv'!S36)</f>
        <v>0</v>
      </c>
      <c r="I45" s="1881">
        <f>-('Kustannukset Y1'!F14+'Kustannukset Y1'!F28+'Kustannukset Y1'!F29+'Kustannukset Y1'!F36+'2 AT Palkat, alv'!S21+'2 AT Palkat, alv'!S36)</f>
        <v>0</v>
      </c>
      <c r="J45" s="1331">
        <f t="shared" ref="J45:J54" si="1">IF(H$43=0,0,H45/H$43)*-100</f>
        <v>0</v>
      </c>
      <c r="K45" s="1099">
        <f>-('Kustannukset Y1'!H14+'Kustannukset Y1'!H28+'Kustannukset Y1'!H29+'Kustannukset Y1'!H36+'2 AT Palkat, alv'!U20+'2 AT Palkat, alv'!U36)</f>
        <v>0</v>
      </c>
      <c r="L45" s="1345">
        <f t="shared" ref="L45:L54" si="2">IF(K$43=0,0,K45/K$43)*-100</f>
        <v>0</v>
      </c>
      <c r="M45" s="76"/>
      <c r="N45" s="1429"/>
      <c r="O45" s="661"/>
      <c r="P45" s="664"/>
      <c r="Q45" s="664"/>
      <c r="R45" s="664"/>
      <c r="S45" s="664"/>
      <c r="T45" s="664"/>
      <c r="U45" s="664"/>
      <c r="V45" s="664"/>
      <c r="W45" s="664"/>
      <c r="X45" s="922"/>
    </row>
    <row r="46" spans="1:24" ht="12" customHeight="1">
      <c r="A46" s="154"/>
      <c r="B46" s="1341" t="s">
        <v>16</v>
      </c>
      <c r="C46" s="1318" t="s">
        <v>162</v>
      </c>
      <c r="D46" s="1318"/>
      <c r="E46" s="1319"/>
      <c r="F46" s="1099">
        <f>-('Kustannukset Y1'!F48+'Kustannukset Y1'!F59)</f>
        <v>0</v>
      </c>
      <c r="G46" s="1331">
        <f t="shared" si="0"/>
        <v>0</v>
      </c>
      <c r="H46" s="1880">
        <f>-('Kustannukset Y1'!G48+'Kustannukset Y1'!G59)</f>
        <v>0</v>
      </c>
      <c r="I46" s="1881">
        <f>-('Kustannukset Y1'!I48+'Kustannukset Y1'!I59)</f>
        <v>0</v>
      </c>
      <c r="J46" s="1331">
        <f t="shared" si="1"/>
        <v>0</v>
      </c>
      <c r="K46" s="1099">
        <f>-('Kustannukset Y1'!H48+'Kustannukset Y1'!H59)</f>
        <v>0</v>
      </c>
      <c r="L46" s="1345">
        <f t="shared" si="2"/>
        <v>0</v>
      </c>
      <c r="M46" s="78"/>
      <c r="N46" s="1429"/>
      <c r="O46" s="661"/>
      <c r="P46" s="664"/>
      <c r="Q46" s="664"/>
      <c r="R46" s="664"/>
      <c r="S46" s="664"/>
      <c r="T46" s="664"/>
      <c r="U46" s="664"/>
      <c r="V46" s="664"/>
      <c r="W46" s="664"/>
      <c r="X46" s="922"/>
    </row>
    <row r="47" spans="1:24" ht="12" customHeight="1">
      <c r="A47" s="2"/>
      <c r="B47" s="1341" t="s">
        <v>17</v>
      </c>
      <c r="C47" s="1318" t="s">
        <v>163</v>
      </c>
      <c r="D47" s="1318"/>
      <c r="E47" s="1319"/>
      <c r="F47" s="1099">
        <f>-'Kustannukset Y1'!F89</f>
        <v>0</v>
      </c>
      <c r="G47" s="1331">
        <f t="shared" si="0"/>
        <v>0</v>
      </c>
      <c r="H47" s="1880">
        <f>-'Kustannukset Y1'!G89</f>
        <v>0</v>
      </c>
      <c r="I47" s="1881">
        <f>'Kustannukset Y1'!I89</f>
        <v>0</v>
      </c>
      <c r="J47" s="1331">
        <f t="shared" si="1"/>
        <v>0</v>
      </c>
      <c r="K47" s="1099">
        <f>-'Kustannukset Y1'!H89</f>
        <v>0</v>
      </c>
      <c r="L47" s="1345">
        <f t="shared" si="2"/>
        <v>0</v>
      </c>
      <c r="M47" s="78"/>
      <c r="N47" s="1429"/>
      <c r="O47" s="661"/>
      <c r="P47" s="664"/>
      <c r="Q47" s="664"/>
      <c r="R47" s="664"/>
      <c r="S47" s="664"/>
      <c r="T47" s="664"/>
      <c r="U47" s="664"/>
      <c r="V47" s="664"/>
      <c r="W47" s="664"/>
      <c r="X47" s="922"/>
    </row>
    <row r="48" spans="1:24" ht="12" customHeight="1">
      <c r="B48" s="1341" t="s">
        <v>18</v>
      </c>
      <c r="C48" s="1318" t="s">
        <v>164</v>
      </c>
      <c r="D48" s="1318"/>
      <c r="E48" s="1319"/>
      <c r="F48" s="1099">
        <f>-('Kustannukset Y1'!F116+'Kustannukset Y1'!F115+'Kustannukset Y1'!F114+'Kustannukset Y1'!F111+'Kustannukset Y1'!F106+'Kustannukset Y1'!F102+'Kustannukset Y1'!F98+'Kustannukset Y1'!F95+'Kustannukset Y1'!F88+'Kustannukset Y1'!F83+'Kustannukset Y1'!F79+'Kustannukset Y1'!F74+'Kustannukset Y1'!F69+'Kustannukset Y1'!F67+'Kustannukset Y1'!F66+'Kustannukset Y1'!F47-'Kustannukset Y1'!F48+'Kustannukset Y1'!F41+'Kustannukset Y1'!F117+'Kustannukset Y1'!F118)</f>
        <v>0</v>
      </c>
      <c r="G48" s="1331">
        <f>IF(F$43=0,0,F48/F$43)*-100</f>
        <v>0</v>
      </c>
      <c r="H48" s="1880">
        <f>-('Kustannukset Y1'!G116+'Kustannukset Y1'!G115+'Kustannukset Y1'!G114+'Kustannukset Y1'!G111+'Kustannukset Y1'!G106+'Kustannukset Y1'!G102+'Kustannukset Y1'!G98+'Kustannukset Y1'!G95+'Kustannukset Y1'!G88+'Kustannukset Y1'!G83+'Kustannukset Y1'!G79+'Kustannukset Y1'!G74+'Kustannukset Y1'!G69+'Kustannukset Y1'!G66++'Kustannukset Y1'!G67+'Kustannukset Y1'!G47-'Kustannukset Y1'!G48+'Kustannukset Y1'!G41+'Kustannukset Y1'!G117+'Kustannukset Y1'!G118)</f>
        <v>0</v>
      </c>
      <c r="I48" s="1881" t="e">
        <f>-('Kustannukset Y1'!#REF!+'Kustannukset Y1'!I116+'Kustannukset Y1'!I115+'Kustannukset Y1'!I114+'Kustannukset Y1'!I111+'Kustannukset Y1'!I106+'Kustannukset Y1'!I102+'Kustannukset Y1'!I98+'Kustannukset Y1'!I95+'Kustannukset Y1'!I88+'Kustannukset Y1'!I83+'Kustannukset Y1'!I79+'Kustannukset Y1'!I74+'Kustannukset Y1'!I69+'Kustannukset Y1'!I61+'Kustannukset Y1'!I47-'Kustannukset Y1'!I48+'Kustannukset Y1'!I41)</f>
        <v>#REF!</v>
      </c>
      <c r="J48" s="1331">
        <f t="shared" si="1"/>
        <v>0</v>
      </c>
      <c r="K48" s="1099">
        <f>-('Kustannukset Y1'!H116+'Kustannukset Y1'!H115+'Kustannukset Y1'!H114+'Kustannukset Y1'!H111+'Kustannukset Y1'!H106+'Kustannukset Y1'!H102+'Kustannukset Y1'!H98+'Kustannukset Y1'!H95+'Kustannukset Y1'!H88+'Kustannukset Y1'!H83+'Kustannukset Y1'!H79+'Kustannukset Y1'!H74+'Kustannukset Y1'!H69+'Kustannukset Y1'!H66+'Kustannukset Y1'!H67+'Kustannukset Y1'!H47-'Kustannukset Y1'!H48+'Kustannukset Y1'!H41+'Kustannukset Y1'!H117+'Kustannukset Y1'!H118)</f>
        <v>0</v>
      </c>
      <c r="L48" s="1345">
        <f t="shared" si="2"/>
        <v>0</v>
      </c>
      <c r="M48" s="78"/>
      <c r="N48" s="1429"/>
      <c r="O48" s="661"/>
      <c r="P48" s="664"/>
      <c r="Q48" s="664"/>
      <c r="R48" s="664"/>
      <c r="S48" s="664"/>
      <c r="T48" s="664"/>
      <c r="U48" s="664"/>
      <c r="V48" s="664"/>
      <c r="W48" s="664"/>
      <c r="X48" s="922"/>
    </row>
    <row r="49" spans="1:24" ht="12" customHeight="1">
      <c r="A49" s="154"/>
      <c r="B49" s="1341" t="s">
        <v>19</v>
      </c>
      <c r="C49" s="1952" t="s">
        <v>165</v>
      </c>
      <c r="D49" s="1952"/>
      <c r="E49" s="1953"/>
      <c r="F49" s="1102">
        <f>F43+F44+F45+F46+F47+F48</f>
        <v>0</v>
      </c>
      <c r="G49" s="1330">
        <f>-(IF(F$43=0,0,F49/F$43)*-100)</f>
        <v>0</v>
      </c>
      <c r="H49" s="1968">
        <f>H43+H44+H45+H46+H47+H48</f>
        <v>0</v>
      </c>
      <c r="I49" s="1969"/>
      <c r="J49" s="1330">
        <f>-(IF(H$43=0,0,H49/H$43)*-100)</f>
        <v>0</v>
      </c>
      <c r="K49" s="1102">
        <f>K43+K44+K45+K46+K47+K48</f>
        <v>0</v>
      </c>
      <c r="L49" s="1344">
        <f>-(IF(K$43=0,0,K49/K$43)*-100)</f>
        <v>0</v>
      </c>
      <c r="M49" s="78"/>
      <c r="N49" s="1429"/>
      <c r="O49" s="661"/>
      <c r="P49" s="664"/>
      <c r="Q49" s="664"/>
      <c r="R49" s="664"/>
      <c r="S49" s="664"/>
      <c r="T49" s="664"/>
      <c r="U49" s="664"/>
      <c r="V49" s="664"/>
      <c r="W49" s="664"/>
      <c r="X49" s="922"/>
    </row>
    <row r="50" spans="1:24" ht="12" customHeight="1">
      <c r="B50" s="1341" t="s">
        <v>20</v>
      </c>
      <c r="C50" s="1318" t="s">
        <v>166</v>
      </c>
      <c r="D50" s="1318"/>
      <c r="E50" s="1319"/>
      <c r="F50" s="1099">
        <f>-IF($F39=6,'5 YP Lainat ja avustukset'!B196,IF($F39=7,'5 YP Lainat ja avustukset'!C197,IF($F39=8,'5 YP Lainat ja avustukset'!D198,IF($F39=9,'5 YP Lainat ja avustukset'!E199,IF($F39=10,'5 YP Lainat ja avustukset'!F200,IF($F39=11,'5 YP Lainat ja avustukset'!G201,IF($F39=12,'5 YP Lainat ja avustukset'!H202,IF($F39=13,'5 YP Lainat ja avustukset'!I203,IF($F39=14,'5 YP Lainat ja avustukset'!J204,IF($F39=15,'5 YP Lainat ja avustukset'!K205,IF($F39=16,'5 YP Lainat ja avustukset'!L206,IF($F39=17,'5 YP Lainat ja avustukset'!M207,'5 YP Lainat ja avustukset'!N208))))))))))))</f>
        <v>0</v>
      </c>
      <c r="G50" s="1331">
        <f t="shared" si="0"/>
        <v>0</v>
      </c>
      <c r="H50" s="1880">
        <f>-IF($F39=6,'5 YP Lainat ja avustukset'!N196,IF($F39=7,'5 YP Lainat ja avustukset'!O197,IF($F39=8,'5 YP Lainat ja avustukset'!P198,IF($F39=9,'5 YP Lainat ja avustukset'!Q199,IF($F39=10,'5 YP Lainat ja avustukset'!R200,IF($F39=11,'5 YP Lainat ja avustukset'!S201,IF($F39=12,'5 YP Lainat ja avustukset'!T202,IF($F39=13,'5 YP Lainat ja avustukset'!U203,IF($F39=14,'5 YP Lainat ja avustukset'!V204,IF($F39=15,'5 YP Lainat ja avustukset'!W205,IF($F39=16,'5 YP Lainat ja avustukset'!X206,IF($F39=17,'5 YP Lainat ja avustukset'!Y207,'5 YP Lainat ja avustukset'!Z208))))))))))))</f>
        <v>0</v>
      </c>
      <c r="I50" s="1881">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331">
        <f t="shared" si="1"/>
        <v>0</v>
      </c>
      <c r="K50" s="1099">
        <f>-IF($F39=6,'5 YP Lainat ja avustukset'!Z196,IF($F39=7,'5 YP Lainat ja avustukset'!AA197,IF($F39=8,'5 YP Lainat ja avustukset'!AB198,IF($F39=9,'5 YP Lainat ja avustukset'!AC199,IF($F39=10,'5 YP Lainat ja avustukset'!AD200,IF($F39=11,'5 YP Lainat ja avustukset'!AE201,IF($F39=12,'5 YP Lainat ja avustukset'!AF202,IF($F39=13,'5 YP Lainat ja avustukset'!AG203,IF($F39=14,'5 YP Lainat ja avustukset'!AH204,IF($F39=15,'5 YP Lainat ja avustukset'!AI205,IF($F39=16,'5 YP Lainat ja avustukset'!AJ206,IF($F39=17,'5 YP Lainat ja avustukset'!AK207,'5 YP Lainat ja avustukset'!AL208))))))))))))</f>
        <v>0</v>
      </c>
      <c r="L50" s="1345">
        <f t="shared" si="2"/>
        <v>0</v>
      </c>
      <c r="M50" s="78"/>
      <c r="N50" s="1429"/>
      <c r="O50" s="661"/>
      <c r="P50" s="664"/>
      <c r="Q50" s="664"/>
      <c r="R50" s="664"/>
      <c r="S50" s="664"/>
      <c r="T50" s="664"/>
      <c r="U50" s="664"/>
      <c r="V50" s="664"/>
      <c r="W50" s="664"/>
      <c r="X50" s="922"/>
    </row>
    <row r="51" spans="1:24" ht="12" customHeight="1">
      <c r="A51" s="154"/>
      <c r="B51" s="1341" t="s">
        <v>21</v>
      </c>
      <c r="C51" s="1318" t="s">
        <v>113</v>
      </c>
      <c r="D51" s="1318"/>
      <c r="E51" s="1319"/>
      <c r="F51" s="1099">
        <f>-IF(F52*(F49+F50+F54+0.5*'Kustannukset Y1'!F88)&lt;0,0,F52*(F49+F50+F54+0.5*'Kustannukset Y1'!F88))</f>
        <v>0</v>
      </c>
      <c r="G51" s="1331">
        <f t="shared" si="0"/>
        <v>0</v>
      </c>
      <c r="H51" s="1880">
        <f>-IF(H52*(H49+H50+H54+0.5*'Kustannukset Y1'!G88)&lt;0,0,H52*(H49+H50+H54+0.5*'Kustannukset Y1'!G88))</f>
        <v>0</v>
      </c>
      <c r="I51" s="1881"/>
      <c r="J51" s="1331">
        <f t="shared" si="1"/>
        <v>0</v>
      </c>
      <c r="K51" s="1099">
        <f>-IF(K52*(K49+K50+K54+0.5*'Kustannukset Y1'!H88)&lt;0,0,K52*(K49+K50+K54+0.5*'Kustannukset Y1'!H88))</f>
        <v>0</v>
      </c>
      <c r="L51" s="1345">
        <f t="shared" si="2"/>
        <v>0</v>
      </c>
      <c r="N51" s="921"/>
      <c r="O51" s="664"/>
      <c r="P51" s="664"/>
      <c r="Q51" s="664"/>
      <c r="R51" s="664"/>
      <c r="S51" s="664"/>
      <c r="T51" s="664"/>
      <c r="U51" s="664"/>
      <c r="V51" s="664"/>
      <c r="W51" s="664"/>
      <c r="X51" s="922"/>
    </row>
    <row r="52" spans="1:24" ht="12" customHeight="1">
      <c r="A52" s="154"/>
      <c r="B52" s="1341"/>
      <c r="C52" s="1320" t="s">
        <v>604</v>
      </c>
      <c r="D52" s="1318"/>
      <c r="E52" s="1319"/>
      <c r="F52" s="1327">
        <v>0.2</v>
      </c>
      <c r="G52" s="1332"/>
      <c r="H52" s="1972">
        <v>0.2</v>
      </c>
      <c r="I52" s="1973"/>
      <c r="J52" s="1332"/>
      <c r="K52" s="1327">
        <v>0.2</v>
      </c>
      <c r="L52" s="1346"/>
      <c r="N52" s="921"/>
      <c r="O52" s="664"/>
      <c r="P52" s="664"/>
      <c r="Q52" s="664"/>
      <c r="R52" s="664"/>
      <c r="S52" s="664"/>
      <c r="T52" s="664"/>
      <c r="U52" s="664"/>
      <c r="V52" s="664"/>
      <c r="W52" s="664"/>
      <c r="X52" s="922"/>
    </row>
    <row r="53" spans="1:24" ht="12" customHeight="1">
      <c r="A53" s="2"/>
      <c r="B53" s="1341" t="s">
        <v>606</v>
      </c>
      <c r="C53" s="1954" t="s">
        <v>167</v>
      </c>
      <c r="D53" s="1955"/>
      <c r="E53" s="1956"/>
      <c r="F53" s="1155">
        <f>SUM(F49:F51)</f>
        <v>0</v>
      </c>
      <c r="G53" s="1549">
        <f>-(IF(F$43=0,0,F53/F$43)*-100)</f>
        <v>0</v>
      </c>
      <c r="H53" s="1946">
        <f>SUM(H49:H51)</f>
        <v>0</v>
      </c>
      <c r="I53" s="1947"/>
      <c r="J53" s="1325">
        <f>-(IF(H$43=0,0,H53/H$43)*-100)</f>
        <v>0</v>
      </c>
      <c r="K53" s="1155">
        <f>SUM(K49:K51)</f>
        <v>0</v>
      </c>
      <c r="L53" s="1550">
        <f>-(IF(K$43=0,0,K53/K$43)*-100)</f>
        <v>0</v>
      </c>
      <c r="N53" s="921"/>
      <c r="O53" s="664"/>
      <c r="P53" s="664"/>
      <c r="Q53" s="664"/>
      <c r="R53" s="664"/>
      <c r="S53" s="664"/>
      <c r="T53" s="664"/>
      <c r="U53" s="664"/>
      <c r="V53" s="664"/>
      <c r="W53" s="664"/>
      <c r="X53" s="922"/>
    </row>
    <row r="54" spans="1:24" ht="12" customHeight="1">
      <c r="B54" s="1341" t="s">
        <v>607</v>
      </c>
      <c r="C54" s="1318" t="s">
        <v>168</v>
      </c>
      <c r="D54" s="1316"/>
      <c r="E54" s="1317"/>
      <c r="F54" s="1099">
        <f>-'5 YP Lainat ja avustukset'!F2</f>
        <v>0</v>
      </c>
      <c r="G54" s="1331">
        <f t="shared" si="0"/>
        <v>0</v>
      </c>
      <c r="H54" s="1880">
        <f>-'5 YP Lainat ja avustukset'!G2</f>
        <v>0</v>
      </c>
      <c r="I54" s="1881"/>
      <c r="J54" s="1331">
        <f t="shared" si="1"/>
        <v>0</v>
      </c>
      <c r="K54" s="1099">
        <f>-'5 YP Lainat ja avustukset'!H2</f>
        <v>0</v>
      </c>
      <c r="L54" s="1345">
        <f t="shared" si="2"/>
        <v>0</v>
      </c>
      <c r="N54" s="921"/>
      <c r="O54" s="664"/>
      <c r="P54" s="664"/>
      <c r="Q54" s="664"/>
      <c r="R54" s="664"/>
      <c r="S54" s="664"/>
      <c r="T54" s="664"/>
      <c r="U54" s="664"/>
      <c r="V54" s="664"/>
      <c r="W54" s="664"/>
      <c r="X54" s="922"/>
    </row>
    <row r="55" spans="1:24" ht="12" customHeight="1">
      <c r="B55" s="1347"/>
      <c r="C55" s="1321" t="s">
        <v>31</v>
      </c>
      <c r="D55" s="1322"/>
      <c r="E55" s="1322"/>
      <c r="F55" s="1326">
        <v>7.0000000000000007E-2</v>
      </c>
      <c r="G55" s="1331" t="s">
        <v>0</v>
      </c>
      <c r="H55" s="1970">
        <f>F55</f>
        <v>7.0000000000000007E-2</v>
      </c>
      <c r="I55" s="1971"/>
      <c r="J55" s="1331" t="s">
        <v>0</v>
      </c>
      <c r="K55" s="1326">
        <f>H55</f>
        <v>7.0000000000000007E-2</v>
      </c>
      <c r="L55" s="1345" t="s">
        <v>0</v>
      </c>
      <c r="N55" s="921"/>
      <c r="O55" s="664"/>
      <c r="P55" s="664"/>
      <c r="Q55" s="664"/>
      <c r="R55" s="664"/>
      <c r="S55" s="664"/>
      <c r="T55" s="664"/>
      <c r="U55" s="664"/>
      <c r="V55" s="664"/>
      <c r="W55" s="664"/>
      <c r="X55" s="922"/>
    </row>
    <row r="56" spans="1:24" ht="12" customHeight="1">
      <c r="B56" s="1347"/>
      <c r="C56" s="1193" t="s">
        <v>32</v>
      </c>
      <c r="D56" s="1196"/>
      <c r="E56" s="1196"/>
      <c r="F56" s="1326">
        <v>0.2</v>
      </c>
      <c r="G56" s="1331" t="s">
        <v>0</v>
      </c>
      <c r="H56" s="1970">
        <f>F56</f>
        <v>0.2</v>
      </c>
      <c r="I56" s="1971">
        <f t="shared" ref="I56" si="3">F56</f>
        <v>0.2</v>
      </c>
      <c r="J56" s="1331" t="s">
        <v>0</v>
      </c>
      <c r="K56" s="1326">
        <f>H56</f>
        <v>0.2</v>
      </c>
      <c r="L56" s="1345" t="s">
        <v>0</v>
      </c>
      <c r="N56" s="921"/>
      <c r="O56" s="664"/>
      <c r="P56" s="664"/>
      <c r="Q56" s="664"/>
      <c r="R56" s="664"/>
      <c r="S56" s="664"/>
      <c r="T56" s="664"/>
      <c r="U56" s="664"/>
      <c r="V56" s="664"/>
      <c r="W56" s="664"/>
      <c r="X56" s="922"/>
    </row>
    <row r="57" spans="1:24">
      <c r="B57" s="1347"/>
      <c r="C57" s="1193" t="s">
        <v>801</v>
      </c>
      <c r="D57" s="1196"/>
      <c r="E57" s="1196"/>
      <c r="F57" s="1326">
        <v>0.2</v>
      </c>
      <c r="G57" s="1333"/>
      <c r="H57" s="1977">
        <v>0.2</v>
      </c>
      <c r="I57" s="1978"/>
      <c r="J57" s="1333"/>
      <c r="K57" s="1326">
        <v>0.2</v>
      </c>
      <c r="L57" s="1348"/>
      <c r="M57" s="37"/>
      <c r="N57" s="921"/>
      <c r="O57" s="664"/>
      <c r="P57" s="664"/>
      <c r="Q57" s="664"/>
      <c r="R57" s="664"/>
      <c r="S57" s="664"/>
      <c r="T57" s="664"/>
      <c r="U57" s="664"/>
      <c r="V57" s="664"/>
      <c r="W57" s="664"/>
      <c r="X57" s="922"/>
    </row>
    <row r="58" spans="1:24">
      <c r="B58" s="1347"/>
      <c r="C58" s="1323" t="s">
        <v>802</v>
      </c>
      <c r="D58" s="1324"/>
      <c r="E58" s="1324"/>
      <c r="F58" s="1326">
        <v>0.2</v>
      </c>
      <c r="G58" s="1333"/>
      <c r="H58" s="1977">
        <v>0.2</v>
      </c>
      <c r="I58" s="1978"/>
      <c r="J58" s="1333"/>
      <c r="K58" s="1326">
        <v>0.2</v>
      </c>
      <c r="L58" s="1348"/>
      <c r="M58" s="37"/>
      <c r="N58" s="921"/>
      <c r="O58" s="664"/>
      <c r="P58" s="664"/>
      <c r="Q58" s="664"/>
      <c r="R58" s="664"/>
      <c r="S58" s="664"/>
      <c r="T58" s="664"/>
      <c r="U58" s="664"/>
      <c r="V58" s="664"/>
      <c r="W58" s="664"/>
      <c r="X58" s="922"/>
    </row>
    <row r="59" spans="1:24" ht="12" customHeight="1">
      <c r="B59" s="1341" t="s">
        <v>608</v>
      </c>
      <c r="C59" s="1954" t="s">
        <v>169</v>
      </c>
      <c r="D59" s="1955"/>
      <c r="E59" s="1956"/>
      <c r="F59" s="1155">
        <f>F53+F54</f>
        <v>0</v>
      </c>
      <c r="G59" s="1549">
        <f>-(IF(F$43=0,0,F59/F$43)*-100)</f>
        <v>0</v>
      </c>
      <c r="H59" s="1946">
        <f>H53+H54</f>
        <v>0</v>
      </c>
      <c r="I59" s="1947"/>
      <c r="J59" s="1549">
        <f>-(IF(H$43=0,0,H59/H$43)*-100)</f>
        <v>0</v>
      </c>
      <c r="K59" s="1155">
        <f>K53+K54</f>
        <v>0</v>
      </c>
      <c r="L59" s="1550">
        <f>-(IF(K$43=0,0,K59/K$43)*-100)</f>
        <v>0</v>
      </c>
      <c r="N59" s="921"/>
      <c r="O59" s="664"/>
      <c r="P59" s="664"/>
      <c r="Q59" s="664"/>
      <c r="R59" s="664"/>
      <c r="S59" s="664"/>
      <c r="T59" s="664"/>
      <c r="U59" s="664"/>
      <c r="V59" s="664"/>
      <c r="W59" s="664"/>
      <c r="X59" s="922"/>
    </row>
    <row r="60" spans="1:24" ht="12" customHeight="1">
      <c r="B60" s="1349" t="s">
        <v>609</v>
      </c>
      <c r="C60" s="1957" t="s">
        <v>170</v>
      </c>
      <c r="D60" s="1958"/>
      <c r="E60" s="1959"/>
      <c r="F60" s="1350">
        <f>F59</f>
        <v>0</v>
      </c>
      <c r="G60" s="1551">
        <f>-(IF(F43=0,0,F60/F$43)*-100)</f>
        <v>0</v>
      </c>
      <c r="H60" s="1974">
        <f t="shared" ref="H60:I60" si="4">H59</f>
        <v>0</v>
      </c>
      <c r="I60" s="1975">
        <f t="shared" si="4"/>
        <v>0</v>
      </c>
      <c r="J60" s="1551">
        <f>-(IF(H43=0,0,H60/H$43)*-100)</f>
        <v>0</v>
      </c>
      <c r="K60" s="1350">
        <f>K59</f>
        <v>0</v>
      </c>
      <c r="L60" s="1552">
        <f>-(IF(K43=0,0,K60/K$43)*-100)</f>
        <v>0</v>
      </c>
      <c r="N60" s="921"/>
      <c r="O60" s="664"/>
      <c r="P60" s="664"/>
      <c r="Q60" s="664"/>
      <c r="R60" s="664"/>
      <c r="S60" s="664"/>
      <c r="T60" s="664"/>
      <c r="U60" s="664"/>
      <c r="V60" s="664"/>
      <c r="W60" s="664"/>
      <c r="X60" s="922"/>
    </row>
    <row r="61" spans="1:24" ht="6" customHeight="1">
      <c r="B61" s="354"/>
      <c r="C61" s="308"/>
      <c r="D61" s="308"/>
      <c r="E61" s="308"/>
      <c r="F61" s="359"/>
      <c r="G61" s="154"/>
      <c r="H61" s="360"/>
      <c r="I61" s="360"/>
      <c r="J61" s="154"/>
      <c r="K61" s="359"/>
      <c r="L61" s="154"/>
      <c r="N61" s="1416"/>
      <c r="O61" s="354"/>
      <c r="P61" s="354"/>
      <c r="Q61" s="354"/>
      <c r="R61" s="354"/>
      <c r="S61" s="354"/>
      <c r="T61" s="354"/>
      <c r="U61" s="354"/>
      <c r="V61" s="354"/>
      <c r="W61" s="354"/>
      <c r="X61" s="1433"/>
    </row>
    <row r="62" spans="1:24" ht="25.5" customHeight="1">
      <c r="B62" s="1195" t="s">
        <v>610</v>
      </c>
      <c r="C62" s="1948" t="s">
        <v>693</v>
      </c>
      <c r="D62" s="1949"/>
      <c r="E62" s="1950"/>
      <c r="F62" s="1944">
        <f>IF($F39=6,'5 YP Lainat ja avustukset'!B183,IF($F39=7,'5 YP Lainat ja avustukset'!C184,IF($F39=8,'5 YP Lainat ja avustukset'!D185,IF($F39=9,'5 YP Lainat ja avustukset'!E186,IF($F39=10,'5 YP Lainat ja avustukset'!F187,IF($F39=11,'5 YP Lainat ja avustukset'!G188,IF($F39=12,'5 YP Lainat ja avustukset'!H189,IF($F39=13,'5 YP Lainat ja avustukset'!I190,IF($F39=14,'5 YP Lainat ja avustukset'!J191,IF($F39=15,'5 YP Lainat ja avustukset'!K192,IF($F39=16,'5 YP Lainat ja avustukset'!L193,IF($F39=17,'5 YP Lainat ja avustukset'!M194,'5 YP Lainat ja avustukset'!N195))))))))))))</f>
        <v>0</v>
      </c>
      <c r="G62" s="1945"/>
      <c r="H62" s="1944">
        <f>IF($F39=6,'5 YP Lainat ja avustukset'!N183,IF($F39=7,'5 YP Lainat ja avustukset'!O184,IF($F39=8,'5 YP Lainat ja avustukset'!P185,IF($F39=9,'5 YP Lainat ja avustukset'!Q186,IF($F39=10,'5 YP Lainat ja avustukset'!R187,IF($F39=11,'5 YP Lainat ja avustukset'!S188,IF($F39=12,'5 YP Lainat ja avustukset'!T189,IF($F39=13,'5 YP Lainat ja avustukset'!U190,IF($F39=14,'5 YP Lainat ja avustukset'!V191,IF($F39=15,'5 YP Lainat ja avustukset'!W192,IF($F39=16,'5 YP Lainat ja avustukset'!X193,IF($F39=17,'5 YP Lainat ja avustukset'!Y194,'5 YP Lainat ja avustukset'!Z195))))))))))))</f>
        <v>0</v>
      </c>
      <c r="I62" s="1967"/>
      <c r="J62" s="1945"/>
      <c r="K62" s="1944">
        <f>IF($F39=6,'5 YP Lainat ja avustukset'!Z183,IF($F39=7,'5 YP Lainat ja avustukset'!AA184,IF($F39=8,'5 YP Lainat ja avustukset'!AB185,IF($F39=9,'5 YP Lainat ja avustukset'!AC186,IF($F39=10,'5 YP Lainat ja avustukset'!AD187,IF($F39=11,'5 YP Lainat ja avustukset'!AE188,IF($F39=12,'5 YP Lainat ja avustukset'!AF189,IF($F39=13,'5 YP Lainat ja avustukset'!AG190,IF($F39=14,'5 YP Lainat ja avustukset'!AH191,IF($F39=15,'5 YP Lainat ja avustukset'!AI192,IF($F39=16,'5 YP Lainat ja avustukset'!AJ193,IF($F39=17,'5 YP Lainat ja avustukset'!AK194,'5 YP Lainat ja avustukset'!AL195))))))))))))</f>
        <v>0</v>
      </c>
      <c r="L62" s="1945"/>
      <c r="N62" s="921"/>
      <c r="O62" s="664"/>
      <c r="P62" s="664"/>
      <c r="Q62" s="664"/>
      <c r="R62" s="664"/>
      <c r="S62" s="664"/>
      <c r="T62" s="664"/>
      <c r="U62" s="664"/>
      <c r="V62" s="664"/>
      <c r="W62" s="664"/>
      <c r="X62" s="922"/>
    </row>
    <row r="63" spans="1:24" ht="6" customHeight="1">
      <c r="B63" s="354"/>
      <c r="C63" s="308"/>
      <c r="D63" s="308"/>
      <c r="E63" s="308"/>
      <c r="F63" s="359"/>
      <c r="G63" s="359"/>
      <c r="H63" s="359"/>
      <c r="I63" s="359"/>
      <c r="J63" s="359"/>
      <c r="K63" s="155"/>
      <c r="L63" s="154"/>
      <c r="N63" s="1416"/>
      <c r="O63" s="354"/>
      <c r="P63" s="354"/>
      <c r="Q63" s="354"/>
      <c r="R63" s="354"/>
      <c r="S63" s="354"/>
      <c r="T63" s="354"/>
      <c r="U63" s="354"/>
      <c r="V63" s="354"/>
      <c r="W63" s="354"/>
      <c r="X63" s="1433"/>
    </row>
    <row r="64" spans="1:24" ht="16.5" customHeight="1">
      <c r="B64" s="1572" t="s">
        <v>446</v>
      </c>
      <c r="C64" s="1209"/>
      <c r="D64" s="1209"/>
      <c r="E64" s="1209"/>
      <c r="F64" s="1210" t="s">
        <v>0</v>
      </c>
      <c r="G64" s="1210"/>
      <c r="H64" s="1210"/>
      <c r="I64" s="1211"/>
      <c r="J64" s="1211"/>
      <c r="K64" s="1943"/>
      <c r="L64" s="1943"/>
      <c r="N64" s="921"/>
      <c r="O64" s="664"/>
      <c r="P64" s="664"/>
      <c r="Q64" s="664"/>
      <c r="R64" s="664"/>
      <c r="S64" s="664"/>
      <c r="T64" s="664"/>
      <c r="U64" s="664"/>
      <c r="V64" s="664"/>
      <c r="W64" s="664"/>
      <c r="X64" s="922"/>
    </row>
    <row r="65" spans="2:24" ht="14.15" customHeight="1">
      <c r="B65" s="1896" t="s">
        <v>638</v>
      </c>
      <c r="C65" s="1896"/>
      <c r="D65" s="1896"/>
      <c r="E65" s="1334">
        <f>'Kustannukset Y1'!F47-'Kustannukset Y1'!F48</f>
        <v>0</v>
      </c>
      <c r="F65" s="1951" t="s">
        <v>633</v>
      </c>
      <c r="G65" s="1898"/>
      <c r="H65" s="1898"/>
      <c r="I65" s="1898"/>
      <c r="J65" s="1898"/>
      <c r="K65" s="1895">
        <f>'Kustannukset Y1'!F79+'Kustannukset Y1'!F83</f>
        <v>0</v>
      </c>
      <c r="L65" s="1895"/>
      <c r="N65" s="921"/>
      <c r="O65" s="664"/>
      <c r="P65" s="664"/>
      <c r="Q65" s="664"/>
      <c r="R65" s="664"/>
      <c r="S65" s="664"/>
      <c r="T65" s="664"/>
      <c r="U65" s="664"/>
      <c r="V65" s="664"/>
      <c r="W65" s="664"/>
      <c r="X65" s="922"/>
    </row>
    <row r="66" spans="2:24" ht="14.15" customHeight="1">
      <c r="B66" s="1896" t="s">
        <v>639</v>
      </c>
      <c r="C66" s="1896"/>
      <c r="D66" s="1896"/>
      <c r="E66" s="1334">
        <f>'Kustannukset Y1'!F41</f>
        <v>0</v>
      </c>
      <c r="F66" s="1897" t="s">
        <v>634</v>
      </c>
      <c r="G66" s="1898"/>
      <c r="H66" s="1898"/>
      <c r="I66" s="1898"/>
      <c r="J66" s="1898"/>
      <c r="K66" s="1895">
        <f>'Kustannukset Y1'!F98+'Kustannukset Y1'!F111+'Kustannukset Y1'!F114</f>
        <v>0</v>
      </c>
      <c r="L66" s="1895"/>
      <c r="N66" s="921"/>
      <c r="O66" s="664"/>
      <c r="P66" s="664"/>
      <c r="Q66" s="664"/>
      <c r="R66" s="664"/>
      <c r="S66" s="664"/>
      <c r="T66" s="664"/>
      <c r="U66" s="664"/>
      <c r="V66" s="664"/>
      <c r="W66" s="664"/>
      <c r="X66" s="922"/>
    </row>
    <row r="67" spans="2:24" ht="14.15" customHeight="1">
      <c r="B67" s="1896" t="s">
        <v>640</v>
      </c>
      <c r="C67" s="1896"/>
      <c r="D67" s="1896"/>
      <c r="E67" s="1334">
        <f>'Kustannukset Y1'!F66+'Kustannukset Y1'!F67</f>
        <v>0</v>
      </c>
      <c r="F67" s="1897" t="s">
        <v>635</v>
      </c>
      <c r="G67" s="1898"/>
      <c r="H67" s="1898"/>
      <c r="I67" s="1898"/>
      <c r="J67" s="1898"/>
      <c r="K67" s="1895">
        <f>'Kustannukset Y1'!F102</f>
        <v>0</v>
      </c>
      <c r="L67" s="1895"/>
      <c r="N67" s="921"/>
      <c r="O67" s="664"/>
      <c r="P67" s="664"/>
      <c r="Q67" s="664"/>
      <c r="R67" s="664"/>
      <c r="S67" s="664"/>
      <c r="T67" s="664"/>
      <c r="U67" s="664"/>
      <c r="V67" s="664"/>
      <c r="W67" s="664"/>
      <c r="X67" s="922"/>
    </row>
    <row r="68" spans="2:24" ht="14.15" customHeight="1">
      <c r="B68" s="1896" t="s">
        <v>664</v>
      </c>
      <c r="C68" s="1896"/>
      <c r="D68" s="1896"/>
      <c r="E68" s="1334">
        <f>'Kustannukset Y1'!F69</f>
        <v>0</v>
      </c>
      <c r="F68" s="1897" t="s">
        <v>636</v>
      </c>
      <c r="G68" s="1898"/>
      <c r="H68" s="1898"/>
      <c r="I68" s="1898"/>
      <c r="J68" s="1898"/>
      <c r="K68" s="1895">
        <f>'Kustannukset Y1'!F106</f>
        <v>0</v>
      </c>
      <c r="L68" s="1895"/>
      <c r="N68" s="921"/>
      <c r="O68" s="664"/>
      <c r="P68" s="664"/>
      <c r="Q68" s="664"/>
      <c r="R68" s="664"/>
      <c r="S68" s="664"/>
      <c r="T68" s="664"/>
      <c r="U68" s="664"/>
      <c r="V68" s="664"/>
      <c r="W68" s="664"/>
      <c r="X68" s="922"/>
    </row>
    <row r="69" spans="2:24" ht="14.15" customHeight="1">
      <c r="B69" s="1896" t="s">
        <v>665</v>
      </c>
      <c r="C69" s="1896"/>
      <c r="D69" s="1896"/>
      <c r="E69" s="1334">
        <f>'Kustannukset Y1'!F74</f>
        <v>0</v>
      </c>
      <c r="F69" s="1897" t="s">
        <v>637</v>
      </c>
      <c r="G69" s="1898"/>
      <c r="H69" s="1898"/>
      <c r="I69" s="1898"/>
      <c r="J69" s="1898"/>
      <c r="K69" s="1895">
        <f>'Kustannukset Y1'!F116+'Kustannukset Y1'!F115+'Kustannukset Y1'!F95+'Kustannukset Y1'!F88+'Kustannukset Y1'!F117+'Kustannukset Y1'!F118</f>
        <v>0</v>
      </c>
      <c r="L69" s="1895"/>
      <c r="N69" s="1430"/>
      <c r="O69" s="1431"/>
      <c r="P69" s="1431"/>
      <c r="Q69" s="1431"/>
      <c r="R69" s="1431"/>
      <c r="S69" s="1431"/>
      <c r="T69" s="1431"/>
      <c r="U69" s="1431"/>
      <c r="V69" s="1431"/>
      <c r="W69" s="1431"/>
      <c r="X69" s="1432"/>
    </row>
    <row r="70" spans="2:24">
      <c r="B70" s="61"/>
      <c r="C70" s="62"/>
      <c r="D70" s="62"/>
      <c r="E70" s="40"/>
      <c r="F70" s="61"/>
      <c r="G70" s="61"/>
      <c r="H70" s="61"/>
      <c r="I70" s="61"/>
      <c r="J70" s="40"/>
      <c r="K70" s="40"/>
      <c r="N70" s="354"/>
      <c r="O70" s="354"/>
      <c r="P70" s="354"/>
      <c r="Q70" s="354"/>
      <c r="R70" s="354"/>
      <c r="S70" s="354"/>
      <c r="T70" s="354"/>
      <c r="U70" s="354"/>
      <c r="V70" s="354"/>
      <c r="W70" s="354"/>
      <c r="X70" s="354"/>
    </row>
    <row r="71" spans="2:24">
      <c r="B71" s="61"/>
      <c r="C71" s="62"/>
      <c r="D71" s="62"/>
      <c r="E71" s="40"/>
      <c r="F71" s="61"/>
      <c r="G71" s="61"/>
      <c r="H71" s="61"/>
      <c r="I71" s="61"/>
      <c r="J71" s="40"/>
      <c r="K71" s="40"/>
      <c r="N71" s="354"/>
      <c r="O71" s="354"/>
      <c r="P71" s="354"/>
      <c r="Q71" s="354"/>
      <c r="R71" s="354"/>
      <c r="S71" s="354"/>
      <c r="T71" s="354"/>
      <c r="U71" s="354"/>
      <c r="V71" s="354"/>
      <c r="W71" s="354"/>
      <c r="X71" s="354"/>
    </row>
    <row r="72" spans="2:24">
      <c r="B72" s="61"/>
      <c r="C72" s="62"/>
      <c r="D72" s="62"/>
      <c r="E72" s="40"/>
      <c r="F72" s="61"/>
      <c r="G72" s="61"/>
      <c r="H72" s="61"/>
      <c r="I72" s="61"/>
      <c r="J72" s="40"/>
      <c r="K72" s="40"/>
      <c r="N72" s="354"/>
      <c r="O72" s="354"/>
      <c r="P72" s="354"/>
      <c r="Q72" s="354"/>
      <c r="R72" s="354"/>
      <c r="S72" s="354"/>
      <c r="T72" s="354"/>
      <c r="U72" s="354"/>
      <c r="V72" s="354"/>
      <c r="W72" s="354"/>
      <c r="X72" s="354"/>
    </row>
    <row r="73" spans="2:24" ht="12.9">
      <c r="B73" s="1722" t="s">
        <v>22</v>
      </c>
      <c r="C73" s="1722"/>
      <c r="F73" s="54"/>
      <c r="G73" s="54"/>
      <c r="H73" s="259"/>
      <c r="I73" s="259"/>
      <c r="J73" s="259"/>
      <c r="K73" s="54"/>
      <c r="N73" s="354"/>
      <c r="O73" s="354"/>
      <c r="P73" s="354"/>
      <c r="Q73" s="354"/>
      <c r="R73" s="354"/>
      <c r="S73" s="354"/>
      <c r="T73" s="354"/>
      <c r="U73" s="354"/>
      <c r="V73" s="354"/>
      <c r="W73" s="354"/>
      <c r="X73" s="354"/>
    </row>
    <row r="74" spans="2:24">
      <c r="B74" s="1924">
        <f>B9</f>
        <v>0</v>
      </c>
      <c r="C74" s="1924"/>
      <c r="D74" s="1924"/>
      <c r="E74" s="1924"/>
      <c r="F74" s="257">
        <f>C11</f>
        <v>0</v>
      </c>
      <c r="G74" s="1869"/>
      <c r="H74" s="1869"/>
      <c r="I74" s="1869"/>
      <c r="J74" s="1869"/>
      <c r="K74" s="1869"/>
      <c r="L74" s="1869"/>
      <c r="N74" s="354"/>
      <c r="O74" s="354"/>
      <c r="P74" s="354"/>
      <c r="Q74" s="354"/>
      <c r="R74" s="354"/>
      <c r="S74" s="354"/>
      <c r="T74" s="354"/>
      <c r="U74" s="354"/>
      <c r="V74" s="354"/>
      <c r="W74" s="354"/>
      <c r="X74" s="354"/>
    </row>
    <row r="75" spans="2:24" ht="7.5" customHeight="1">
      <c r="B75" s="256"/>
      <c r="C75" s="256"/>
      <c r="D75" s="256"/>
      <c r="E75" s="256"/>
      <c r="F75" s="257"/>
      <c r="G75" s="257"/>
      <c r="H75" s="257"/>
      <c r="I75" s="257"/>
      <c r="J75" s="257"/>
      <c r="K75" s="258"/>
      <c r="L75" s="258"/>
      <c r="M75" s="52"/>
      <c r="N75" s="1457"/>
      <c r="O75" s="1413"/>
      <c r="P75" s="1413"/>
      <c r="Q75" s="1413"/>
      <c r="R75" s="1413"/>
      <c r="S75" s="1413"/>
      <c r="T75" s="1413"/>
      <c r="U75" s="1413"/>
      <c r="V75" s="1413"/>
      <c r="W75" s="1413"/>
      <c r="X75" s="1438"/>
    </row>
    <row r="76" spans="2:24" ht="15.75" customHeight="1">
      <c r="C76" s="639" t="s">
        <v>551</v>
      </c>
      <c r="D76" s="257"/>
      <c r="E76" s="257"/>
      <c r="F76" s="257"/>
      <c r="G76" s="257"/>
      <c r="H76" s="257"/>
      <c r="I76" s="257"/>
      <c r="J76" s="257"/>
      <c r="K76" s="258"/>
      <c r="L76" s="258"/>
      <c r="M76" s="52"/>
      <c r="N76" s="1458" t="s">
        <v>773</v>
      </c>
      <c r="O76" s="354"/>
      <c r="P76" s="354"/>
      <c r="Q76" s="354"/>
      <c r="R76" s="354"/>
      <c r="S76" s="354"/>
      <c r="T76" s="354"/>
      <c r="U76" s="354"/>
      <c r="V76" s="354"/>
      <c r="W76" s="354"/>
      <c r="X76" s="1433"/>
    </row>
    <row r="77" spans="2:24" ht="12.75" customHeight="1">
      <c r="B77" s="256"/>
      <c r="C77" s="256"/>
      <c r="D77" s="256"/>
      <c r="E77" s="1231">
        <f>F38</f>
        <v>2025</v>
      </c>
      <c r="F77" s="1231">
        <f>H38</f>
        <v>2026</v>
      </c>
      <c r="G77" s="1738">
        <f>K38</f>
        <v>2027</v>
      </c>
      <c r="H77" s="1738"/>
      <c r="I77" s="257"/>
      <c r="J77" s="257"/>
      <c r="K77" s="258"/>
      <c r="L77" s="258"/>
      <c r="M77" s="52"/>
      <c r="N77" s="921"/>
      <c r="O77" s="664"/>
      <c r="P77" s="664"/>
      <c r="Q77" s="664"/>
      <c r="R77" s="664"/>
      <c r="S77" s="664"/>
      <c r="T77" s="664"/>
      <c r="U77" s="664"/>
      <c r="V77" s="664"/>
      <c r="W77" s="664"/>
      <c r="X77" s="922"/>
    </row>
    <row r="78" spans="2:24" ht="12.75" customHeight="1">
      <c r="B78" s="554"/>
      <c r="C78" s="1905" t="s">
        <v>353</v>
      </c>
      <c r="D78" s="1905"/>
      <c r="E78" s="1230">
        <f>'Kustannukset Y1'!F124</f>
        <v>0</v>
      </c>
      <c r="F78" s="1230">
        <f>'Kustannukset Y1'!G124</f>
        <v>0</v>
      </c>
      <c r="G78" s="1806">
        <f>'Kustannukset Y1'!H124</f>
        <v>0</v>
      </c>
      <c r="H78" s="1806"/>
      <c r="I78" s="344"/>
      <c r="J78" s="257"/>
      <c r="K78" s="258"/>
      <c r="L78" s="258"/>
      <c r="M78" s="52"/>
      <c r="N78" s="921"/>
      <c r="O78" s="664"/>
      <c r="P78" s="664"/>
      <c r="Q78" s="664"/>
      <c r="R78" s="664"/>
      <c r="S78" s="664"/>
      <c r="T78" s="664"/>
      <c r="U78" s="664"/>
      <c r="V78" s="664"/>
      <c r="W78" s="664"/>
      <c r="X78" s="922"/>
    </row>
    <row r="79" spans="2:24" ht="12.75" customHeight="1">
      <c r="B79" s="554"/>
      <c r="C79" s="1899" t="s">
        <v>351</v>
      </c>
      <c r="D79" s="1900"/>
      <c r="E79" s="1225">
        <f>'Kustannukset Y1'!F125</f>
        <v>0</v>
      </c>
      <c r="F79" s="1225">
        <f>'Kustannukset Y1'!G125</f>
        <v>0</v>
      </c>
      <c r="G79" s="1739">
        <f>'Kustannukset Y1'!H125</f>
        <v>0</v>
      </c>
      <c r="H79" s="1739"/>
      <c r="I79" s="344"/>
      <c r="J79" s="257"/>
      <c r="K79" s="258"/>
      <c r="L79" s="258"/>
      <c r="M79" s="52"/>
      <c r="N79" s="921"/>
      <c r="O79" s="664"/>
      <c r="P79" s="664"/>
      <c r="Q79" s="664"/>
      <c r="R79" s="664"/>
      <c r="S79" s="664"/>
      <c r="T79" s="664"/>
      <c r="U79" s="664"/>
      <c r="V79" s="664"/>
      <c r="W79" s="664"/>
      <c r="X79" s="922"/>
    </row>
    <row r="80" spans="2:24" ht="12.75" customHeight="1">
      <c r="B80" s="554"/>
      <c r="C80" s="551" t="s">
        <v>354</v>
      </c>
      <c r="D80" s="920"/>
      <c r="E80" s="1226">
        <f>'Kustannukset Y1'!F126</f>
        <v>0</v>
      </c>
      <c r="F80" s="1226">
        <f>'Kustannukset Y1'!G126</f>
        <v>0</v>
      </c>
      <c r="G80" s="1812">
        <f>'Kustannukset Y1'!H126</f>
        <v>0</v>
      </c>
      <c r="H80" s="1812"/>
      <c r="I80" s="344"/>
      <c r="J80" s="257"/>
      <c r="K80" s="258"/>
      <c r="L80" s="258"/>
      <c r="M80" s="52"/>
      <c r="N80" s="921"/>
      <c r="O80" s="664"/>
      <c r="P80" s="664"/>
      <c r="Q80" s="664"/>
      <c r="R80" s="664"/>
      <c r="S80" s="664"/>
      <c r="T80" s="664"/>
      <c r="U80" s="664"/>
      <c r="V80" s="664"/>
      <c r="W80" s="664"/>
      <c r="X80" s="922"/>
    </row>
    <row r="81" spans="1:24" ht="12.75" customHeight="1">
      <c r="B81" s="554"/>
      <c r="C81" s="1899" t="s">
        <v>352</v>
      </c>
      <c r="D81" s="1900"/>
      <c r="E81" s="1225">
        <f>'Kustannukset Y1'!F128</f>
        <v>0</v>
      </c>
      <c r="F81" s="1225">
        <f>'Kustannukset Y1'!G128</f>
        <v>0</v>
      </c>
      <c r="G81" s="1739">
        <f>'Kustannukset Y1'!H128</f>
        <v>0</v>
      </c>
      <c r="H81" s="1739"/>
      <c r="I81" s="344"/>
      <c r="J81" s="257"/>
      <c r="K81" s="258"/>
      <c r="L81" s="258"/>
      <c r="M81" s="52"/>
      <c r="N81" s="921"/>
      <c r="O81" s="664"/>
      <c r="P81" s="664"/>
      <c r="Q81" s="664"/>
      <c r="R81" s="664"/>
      <c r="S81" s="664"/>
      <c r="T81" s="664"/>
      <c r="U81" s="664"/>
      <c r="V81" s="664"/>
      <c r="W81" s="664"/>
      <c r="X81" s="922"/>
    </row>
    <row r="82" spans="1:24" ht="12.75" customHeight="1">
      <c r="B82" s="554"/>
      <c r="C82" s="1905" t="s">
        <v>158</v>
      </c>
      <c r="D82" s="1905"/>
      <c r="E82" s="1225">
        <f>F43/F40</f>
        <v>0</v>
      </c>
      <c r="F82" s="1225">
        <f>H43/H40</f>
        <v>0</v>
      </c>
      <c r="G82" s="1739">
        <f>K43/K40</f>
        <v>0</v>
      </c>
      <c r="H82" s="1739"/>
      <c r="I82" s="344"/>
      <c r="J82" s="257"/>
      <c r="K82" s="258"/>
      <c r="L82" s="258"/>
      <c r="M82" s="52"/>
      <c r="N82" s="921"/>
      <c r="O82" s="664"/>
      <c r="P82" s="664"/>
      <c r="Q82" s="664"/>
      <c r="R82" s="664"/>
      <c r="S82" s="664"/>
      <c r="T82" s="664"/>
      <c r="U82" s="664"/>
      <c r="V82" s="664"/>
      <c r="W82" s="664"/>
      <c r="X82" s="922"/>
    </row>
    <row r="83" spans="1:24" ht="12.75" customHeight="1">
      <c r="B83" s="554"/>
      <c r="C83" s="1905" t="s">
        <v>171</v>
      </c>
      <c r="D83" s="1905"/>
      <c r="E83" s="1225">
        <f>-F45/F40</f>
        <v>0</v>
      </c>
      <c r="F83" s="1225">
        <f>-H45/H40</f>
        <v>0</v>
      </c>
      <c r="G83" s="1739">
        <f>-K45/K40</f>
        <v>0</v>
      </c>
      <c r="H83" s="1739"/>
      <c r="I83" s="344"/>
      <c r="J83" s="257"/>
      <c r="K83" s="258"/>
      <c r="L83" s="258"/>
      <c r="M83" s="52"/>
      <c r="N83" s="921"/>
      <c r="O83" s="664"/>
      <c r="P83" s="664"/>
      <c r="Q83" s="664"/>
      <c r="R83" s="664"/>
      <c r="S83" s="664"/>
      <c r="T83" s="664"/>
      <c r="U83" s="664"/>
      <c r="V83" s="664"/>
      <c r="W83" s="664"/>
      <c r="X83" s="922"/>
    </row>
    <row r="84" spans="1:24" ht="6" customHeight="1">
      <c r="B84" s="61"/>
      <c r="C84" s="9"/>
      <c r="D84" s="153"/>
      <c r="E84" s="285"/>
      <c r="F84" s="283"/>
      <c r="G84" s="69"/>
      <c r="H84" s="69"/>
      <c r="I84" s="153"/>
      <c r="J84" s="286"/>
      <c r="K84" s="287"/>
      <c r="L84" s="287"/>
      <c r="N84" s="1416"/>
      <c r="O84" s="354"/>
      <c r="P84" s="354"/>
      <c r="Q84" s="354"/>
      <c r="R84" s="354"/>
      <c r="S84" s="354"/>
      <c r="T84" s="354"/>
      <c r="U84" s="354"/>
      <c r="V84" s="354"/>
      <c r="W84" s="354"/>
      <c r="X84" s="1433"/>
    </row>
    <row r="85" spans="1:24" ht="17.25" customHeight="1">
      <c r="C85" s="641" t="s">
        <v>524</v>
      </c>
      <c r="D85" s="153"/>
      <c r="E85" s="285"/>
      <c r="F85" s="283"/>
      <c r="G85" s="153"/>
      <c r="H85" s="153"/>
      <c r="I85" s="153"/>
      <c r="J85" s="286"/>
      <c r="K85" s="287"/>
      <c r="L85" s="287"/>
      <c r="N85" s="921"/>
      <c r="O85" s="664"/>
      <c r="P85" s="664"/>
      <c r="Q85" s="664"/>
      <c r="R85" s="664"/>
      <c r="S85" s="664"/>
      <c r="T85" s="664"/>
      <c r="U85" s="664"/>
      <c r="V85" s="664"/>
      <c r="W85" s="664"/>
      <c r="X85" s="922"/>
    </row>
    <row r="86" spans="1:24" ht="6" customHeight="1">
      <c r="B86" s="61"/>
      <c r="C86" s="353"/>
      <c r="D86" s="153"/>
      <c r="E86" s="285"/>
      <c r="F86" s="283"/>
      <c r="G86" s="153"/>
      <c r="H86" s="153"/>
      <c r="I86" s="153"/>
      <c r="J86" s="286"/>
      <c r="K86" s="287"/>
      <c r="L86" s="287"/>
      <c r="N86" s="1416"/>
      <c r="O86" s="354"/>
      <c r="P86" s="354"/>
      <c r="Q86" s="354"/>
      <c r="R86" s="354"/>
      <c r="S86" s="354"/>
      <c r="T86" s="354"/>
      <c r="U86" s="354"/>
      <c r="V86" s="354"/>
      <c r="W86" s="354"/>
      <c r="X86" s="1433"/>
    </row>
    <row r="87" spans="1:24" ht="12" customHeight="1">
      <c r="B87" s="61"/>
      <c r="C87" s="99" t="s">
        <v>280</v>
      </c>
      <c r="D87" s="153"/>
      <c r="E87" s="1231">
        <f>E77</f>
        <v>2025</v>
      </c>
      <c r="F87" s="1231">
        <f>F77</f>
        <v>2026</v>
      </c>
      <c r="G87" s="1923">
        <f>G77</f>
        <v>2027</v>
      </c>
      <c r="H87" s="1923"/>
      <c r="I87" s="153"/>
      <c r="J87" s="286"/>
      <c r="K87" s="287"/>
      <c r="L87" s="287"/>
      <c r="N87" s="921"/>
      <c r="O87" s="664"/>
      <c r="P87" s="664"/>
      <c r="Q87" s="664"/>
      <c r="R87" s="664"/>
      <c r="S87" s="664"/>
      <c r="T87" s="664"/>
      <c r="U87" s="664"/>
      <c r="V87" s="664"/>
      <c r="W87" s="664"/>
      <c r="X87" s="922"/>
    </row>
    <row r="88" spans="1:24" ht="12" customHeight="1">
      <c r="B88" s="288"/>
      <c r="C88" s="552" t="s">
        <v>281</v>
      </c>
      <c r="D88" s="289"/>
      <c r="E88" s="1336">
        <v>1</v>
      </c>
      <c r="F88" s="1336">
        <v>1</v>
      </c>
      <c r="G88" s="1910">
        <v>1</v>
      </c>
      <c r="H88" s="1910"/>
      <c r="I88" s="289"/>
      <c r="J88" s="286"/>
      <c r="K88" s="287"/>
      <c r="L88" s="287"/>
      <c r="N88" s="921"/>
      <c r="O88" s="664"/>
      <c r="P88" s="664"/>
      <c r="Q88" s="664"/>
      <c r="R88" s="664"/>
      <c r="S88" s="664"/>
      <c r="T88" s="664"/>
      <c r="U88" s="664"/>
      <c r="V88" s="664"/>
      <c r="W88" s="664"/>
      <c r="X88" s="922"/>
    </row>
    <row r="89" spans="1:24" ht="12" customHeight="1">
      <c r="A89" s="154"/>
      <c r="B89" s="288"/>
      <c r="C89" s="552" t="s">
        <v>289</v>
      </c>
      <c r="D89" s="289"/>
      <c r="E89" s="1337">
        <v>1</v>
      </c>
      <c r="F89" s="1337">
        <v>1</v>
      </c>
      <c r="G89" s="1870">
        <v>1</v>
      </c>
      <c r="H89" s="1870"/>
      <c r="I89" s="289"/>
      <c r="J89" s="286"/>
      <c r="K89" s="287"/>
      <c r="L89" s="287"/>
      <c r="N89" s="921"/>
      <c r="O89" s="664"/>
      <c r="P89" s="664"/>
      <c r="Q89" s="664"/>
      <c r="R89" s="664"/>
      <c r="S89" s="664"/>
      <c r="T89" s="664"/>
      <c r="U89" s="664"/>
      <c r="V89" s="664"/>
      <c r="W89" s="664"/>
      <c r="X89" s="922"/>
    </row>
    <row r="90" spans="1:24" ht="12" customHeight="1">
      <c r="B90" s="288"/>
      <c r="C90" s="552" t="s">
        <v>284</v>
      </c>
      <c r="D90" s="289"/>
      <c r="E90" s="1188">
        <f>E$88*F$43+E$89*(F$44+F$45+F$46+F$47+F$48)+F$50+F51</f>
        <v>0</v>
      </c>
      <c r="F90" s="1188">
        <f>F88*H$43+F89*(H$44+H$45+H$46+H$47+H$48)+H$50+H51</f>
        <v>0</v>
      </c>
      <c r="G90" s="1697">
        <f>G$88*K$43+G$89*(K$44+K$45+K$46+K$47+K$48)+K$50+K51</f>
        <v>0</v>
      </c>
      <c r="H90" s="1697"/>
      <c r="I90" s="289"/>
      <c r="J90" s="286"/>
      <c r="K90" s="287"/>
      <c r="L90" s="287"/>
      <c r="N90" s="921"/>
      <c r="O90" s="664"/>
      <c r="P90" s="664"/>
      <c r="Q90" s="664"/>
      <c r="R90" s="664"/>
      <c r="S90" s="664"/>
      <c r="T90" s="664"/>
      <c r="U90" s="664"/>
      <c r="V90" s="664"/>
      <c r="W90" s="664"/>
      <c r="X90" s="922"/>
    </row>
    <row r="91" spans="1:24" ht="17.7" customHeight="1">
      <c r="A91" s="154"/>
      <c r="B91" s="61"/>
      <c r="C91" s="99" t="s">
        <v>283</v>
      </c>
      <c r="D91" s="153"/>
      <c r="E91" s="69"/>
      <c r="F91" s="319"/>
      <c r="G91" s="153"/>
      <c r="H91" s="153"/>
      <c r="I91" s="153"/>
      <c r="J91" s="286"/>
      <c r="K91" s="287"/>
      <c r="L91" s="287"/>
      <c r="N91" s="921"/>
      <c r="O91" s="664"/>
      <c r="P91" s="664"/>
      <c r="Q91" s="664"/>
      <c r="R91" s="664"/>
      <c r="S91" s="664"/>
      <c r="T91" s="664"/>
      <c r="U91" s="664"/>
      <c r="V91" s="664"/>
      <c r="W91" s="664"/>
      <c r="X91" s="922"/>
    </row>
    <row r="92" spans="1:24" ht="12" customHeight="1">
      <c r="A92" s="2"/>
      <c r="B92" s="288"/>
      <c r="C92" s="552" t="s">
        <v>281</v>
      </c>
      <c r="D92" s="289"/>
      <c r="E92" s="1337">
        <v>1</v>
      </c>
      <c r="F92" s="1337">
        <v>1</v>
      </c>
      <c r="G92" s="1870">
        <v>1</v>
      </c>
      <c r="H92" s="1870"/>
      <c r="I92" s="289"/>
      <c r="J92" s="286"/>
      <c r="K92" s="287"/>
      <c r="L92" s="287"/>
      <c r="N92" s="921"/>
      <c r="O92" s="664"/>
      <c r="P92" s="664"/>
      <c r="Q92" s="664"/>
      <c r="R92" s="664"/>
      <c r="S92" s="664"/>
      <c r="T92" s="664"/>
      <c r="U92" s="664"/>
      <c r="V92" s="664"/>
      <c r="W92" s="664"/>
      <c r="X92" s="922"/>
    </row>
    <row r="93" spans="1:24" ht="12" customHeight="1">
      <c r="A93" s="154"/>
      <c r="B93" s="288"/>
      <c r="C93" s="552" t="s">
        <v>289</v>
      </c>
      <c r="D93" s="289"/>
      <c r="E93" s="1337">
        <v>1</v>
      </c>
      <c r="F93" s="1337">
        <v>1</v>
      </c>
      <c r="G93" s="1870">
        <v>1</v>
      </c>
      <c r="H93" s="1870"/>
      <c r="I93" s="289"/>
      <c r="J93" s="286"/>
      <c r="K93" s="287"/>
      <c r="L93" s="287"/>
      <c r="N93" s="921"/>
      <c r="O93" s="664"/>
      <c r="P93" s="664"/>
      <c r="Q93" s="664"/>
      <c r="R93" s="664"/>
      <c r="S93" s="664"/>
      <c r="T93" s="664"/>
      <c r="U93" s="664"/>
      <c r="V93" s="664"/>
      <c r="W93" s="664"/>
      <c r="X93" s="922"/>
    </row>
    <row r="94" spans="1:24" ht="12" customHeight="1">
      <c r="A94" s="154"/>
      <c r="B94" s="288"/>
      <c r="C94" s="552" t="s">
        <v>284</v>
      </c>
      <c r="D94" s="289"/>
      <c r="E94" s="1188">
        <f>E92*F$43+E$93*(F$44+F$45+F$46+F$47+F$48)+F$50+F51</f>
        <v>0</v>
      </c>
      <c r="F94" s="1188">
        <f>F92*H$43+F93*(H$44+H$45+H$46+H$47+H$48)+H$50+H51</f>
        <v>0</v>
      </c>
      <c r="G94" s="1697">
        <f>G$92*K$43+G$93*(K$44+K$45+K$46+K$47+K$48)+K$50+K51</f>
        <v>0</v>
      </c>
      <c r="H94" s="1697"/>
      <c r="I94" s="289"/>
      <c r="J94" s="286"/>
      <c r="K94" s="287"/>
      <c r="L94" s="287"/>
      <c r="N94" s="921"/>
      <c r="O94" s="664"/>
      <c r="P94" s="664"/>
      <c r="Q94" s="664"/>
      <c r="R94" s="664"/>
      <c r="S94" s="664"/>
      <c r="T94" s="664"/>
      <c r="U94" s="664"/>
      <c r="V94" s="664"/>
      <c r="W94" s="664"/>
      <c r="X94" s="922"/>
    </row>
    <row r="95" spans="1:24" ht="6" customHeight="1">
      <c r="A95" s="154"/>
      <c r="B95" s="256"/>
      <c r="D95" s="256"/>
      <c r="E95" s="256"/>
      <c r="F95" s="257"/>
      <c r="G95" s="257"/>
      <c r="H95" s="257"/>
      <c r="I95" s="257"/>
      <c r="J95" s="257"/>
      <c r="K95" s="258"/>
      <c r="L95" s="258"/>
      <c r="N95" s="1416"/>
      <c r="O95" s="354"/>
      <c r="P95" s="354"/>
      <c r="Q95" s="354"/>
      <c r="R95" s="354"/>
      <c r="S95" s="354"/>
      <c r="T95" s="354"/>
      <c r="U95" s="354"/>
      <c r="V95" s="354"/>
      <c r="W95" s="354"/>
      <c r="X95" s="1433"/>
    </row>
    <row r="96" spans="1:24" ht="15.75" customHeight="1">
      <c r="A96" s="2"/>
      <c r="C96" s="639" t="s">
        <v>350</v>
      </c>
      <c r="D96" s="62"/>
      <c r="E96" s="40"/>
      <c r="F96" s="1906" t="s">
        <v>228</v>
      </c>
      <c r="G96" s="1907"/>
      <c r="H96" s="1908"/>
      <c r="I96" s="1908"/>
      <c r="J96" s="1908"/>
      <c r="K96" s="1908"/>
      <c r="L96" s="1908"/>
      <c r="N96" s="921"/>
      <c r="O96" s="664"/>
      <c r="P96" s="664"/>
      <c r="Q96" s="664"/>
      <c r="R96" s="664"/>
      <c r="S96" s="664"/>
      <c r="T96" s="664"/>
      <c r="U96" s="664"/>
      <c r="V96" s="664"/>
      <c r="W96" s="664"/>
      <c r="X96" s="922"/>
    </row>
    <row r="97" spans="1:24">
      <c r="A97" s="2"/>
      <c r="C97" s="423" t="s">
        <v>226</v>
      </c>
      <c r="D97" s="62"/>
      <c r="E97" s="40"/>
      <c r="F97" s="1907"/>
      <c r="G97" s="1907"/>
      <c r="H97" s="1909"/>
      <c r="I97" s="1909"/>
      <c r="J97" s="1909"/>
      <c r="K97" s="1909"/>
      <c r="L97" s="1908"/>
      <c r="N97" s="921"/>
      <c r="O97" s="664"/>
      <c r="P97" s="664"/>
      <c r="Q97" s="664"/>
      <c r="R97" s="664"/>
      <c r="S97" s="664"/>
      <c r="T97" s="664"/>
      <c r="U97" s="664"/>
      <c r="V97" s="664"/>
      <c r="W97" s="664"/>
      <c r="X97" s="922"/>
    </row>
    <row r="98" spans="1:24" ht="12.75" customHeight="1">
      <c r="A98" s="154"/>
      <c r="C98" s="1911" t="s">
        <v>561</v>
      </c>
      <c r="D98" s="1912"/>
      <c r="E98" s="1913"/>
      <c r="F98" s="1901">
        <v>0</v>
      </c>
      <c r="G98" s="1902"/>
      <c r="H98" s="1917">
        <f>IF($F98=0,0,LOOKUP($F98,Toimialatiedot!$B$8:$B$77,Toimialatiedot!$C$8:$C$71))</f>
        <v>0</v>
      </c>
      <c r="I98" s="1918"/>
      <c r="J98" s="1918"/>
      <c r="K98" s="1919"/>
      <c r="L98" s="917"/>
      <c r="N98" s="921"/>
      <c r="O98" s="664"/>
      <c r="P98" s="664"/>
      <c r="Q98" s="664"/>
      <c r="R98" s="664"/>
      <c r="S98" s="664"/>
      <c r="T98" s="664"/>
      <c r="U98" s="664"/>
      <c r="V98" s="664"/>
      <c r="W98" s="664"/>
      <c r="X98" s="922"/>
    </row>
    <row r="99" spans="1:24">
      <c r="B99" s="919"/>
      <c r="C99" s="1914"/>
      <c r="D99" s="1915"/>
      <c r="E99" s="1916"/>
      <c r="F99" s="1903"/>
      <c r="G99" s="1904"/>
      <c r="H99" s="1920"/>
      <c r="I99" s="1921"/>
      <c r="J99" s="1921"/>
      <c r="K99" s="1922"/>
      <c r="L99" s="917"/>
      <c r="N99" s="921"/>
      <c r="O99" s="664"/>
      <c r="P99" s="664"/>
      <c r="Q99" s="664"/>
      <c r="R99" s="664"/>
      <c r="S99" s="664"/>
      <c r="T99" s="664"/>
      <c r="U99" s="664"/>
      <c r="V99" s="664"/>
      <c r="W99" s="664"/>
      <c r="X99" s="922"/>
    </row>
    <row r="100" spans="1:24" ht="6" customHeight="1">
      <c r="A100" s="154"/>
      <c r="B100" s="901"/>
      <c r="C100" s="901"/>
      <c r="D100" s="901"/>
      <c r="E100" s="901"/>
      <c r="F100" s="61"/>
      <c r="G100" s="61"/>
      <c r="H100" s="61"/>
      <c r="I100" s="61"/>
      <c r="J100" s="40"/>
      <c r="K100" s="40"/>
      <c r="N100" s="1416"/>
      <c r="O100" s="354"/>
      <c r="P100" s="354"/>
      <c r="Q100" s="354"/>
      <c r="R100" s="354"/>
      <c r="S100" s="354"/>
      <c r="T100" s="354"/>
      <c r="U100" s="354"/>
      <c r="V100" s="354"/>
      <c r="W100" s="354"/>
      <c r="X100" s="1433"/>
    </row>
    <row r="101" spans="1:24">
      <c r="A101" s="154"/>
      <c r="H101" s="260"/>
      <c r="I101" s="260"/>
      <c r="N101" s="921"/>
      <c r="O101" s="664"/>
      <c r="P101" s="664"/>
      <c r="Q101" s="664"/>
      <c r="R101" s="664"/>
      <c r="S101" s="664"/>
      <c r="T101" s="664"/>
      <c r="U101" s="664"/>
      <c r="V101" s="664"/>
      <c r="W101" s="664"/>
      <c r="X101" s="922"/>
    </row>
    <row r="102" spans="1:24">
      <c r="A102" s="154"/>
      <c r="C102" s="1"/>
      <c r="D102" s="1"/>
      <c r="E102" s="1"/>
      <c r="F102" s="1"/>
      <c r="G102" s="1"/>
      <c r="H102" s="1"/>
      <c r="I102" s="1"/>
      <c r="J102" s="1"/>
      <c r="K102" s="1"/>
      <c r="L102" s="1"/>
      <c r="N102" s="921"/>
      <c r="O102" s="664"/>
      <c r="P102" s="664"/>
      <c r="Q102" s="664"/>
      <c r="R102" s="664"/>
      <c r="S102" s="664"/>
      <c r="T102" s="664"/>
      <c r="U102" s="664"/>
      <c r="V102" s="664"/>
      <c r="W102" s="664"/>
      <c r="X102" s="922"/>
    </row>
    <row r="103" spans="1:24">
      <c r="A103" s="2"/>
      <c r="C103" s="1"/>
      <c r="D103" s="1"/>
      <c r="E103" s="1"/>
      <c r="F103" s="1"/>
      <c r="G103" s="1"/>
      <c r="H103" s="1"/>
      <c r="I103" s="1"/>
      <c r="J103" s="1"/>
      <c r="K103" s="1"/>
      <c r="L103" s="1"/>
      <c r="N103" s="921"/>
      <c r="O103" s="664"/>
      <c r="P103" s="664"/>
      <c r="Q103" s="664"/>
      <c r="R103" s="664"/>
      <c r="S103" s="664"/>
      <c r="T103" s="664"/>
      <c r="U103" s="664"/>
      <c r="V103" s="664"/>
      <c r="W103" s="664"/>
      <c r="X103" s="922"/>
    </row>
    <row r="104" spans="1:24">
      <c r="C104" s="9"/>
      <c r="D104" s="9"/>
      <c r="E104" s="9"/>
      <c r="F104" s="63"/>
      <c r="G104" s="9"/>
      <c r="H104" s="9"/>
      <c r="I104" s="9"/>
      <c r="J104" s="9"/>
      <c r="K104" s="9"/>
      <c r="N104" s="921"/>
      <c r="O104" s="664"/>
      <c r="P104" s="664"/>
      <c r="Q104" s="664"/>
      <c r="R104" s="664"/>
      <c r="S104" s="664"/>
      <c r="T104" s="664"/>
      <c r="U104" s="664"/>
      <c r="V104" s="664"/>
      <c r="W104" s="664"/>
      <c r="X104" s="922"/>
    </row>
    <row r="105" spans="1:24">
      <c r="A105" s="154"/>
      <c r="N105" s="921"/>
      <c r="O105" s="664"/>
      <c r="P105" s="664"/>
      <c r="Q105" s="664"/>
      <c r="R105" s="664"/>
      <c r="S105" s="664"/>
      <c r="T105" s="664"/>
      <c r="U105" s="664"/>
      <c r="V105" s="664"/>
      <c r="W105" s="664"/>
      <c r="X105" s="922"/>
    </row>
    <row r="106" spans="1:24">
      <c r="N106" s="921"/>
      <c r="O106" s="664"/>
      <c r="P106" s="664"/>
      <c r="Q106" s="664"/>
      <c r="R106" s="664"/>
      <c r="S106" s="664"/>
      <c r="T106" s="664"/>
      <c r="U106" s="664"/>
      <c r="V106" s="664"/>
      <c r="W106" s="664"/>
      <c r="X106" s="922"/>
    </row>
    <row r="107" spans="1:24">
      <c r="A107" s="154"/>
      <c r="N107" s="921"/>
      <c r="O107" s="664"/>
      <c r="P107" s="664"/>
      <c r="Q107" s="664"/>
      <c r="R107" s="664"/>
      <c r="S107" s="664"/>
      <c r="T107" s="664"/>
      <c r="U107" s="664"/>
      <c r="V107" s="664"/>
      <c r="W107" s="664"/>
      <c r="X107" s="922"/>
    </row>
    <row r="108" spans="1:24">
      <c r="A108" s="2"/>
      <c r="N108" s="921"/>
      <c r="O108" s="664"/>
      <c r="P108" s="664"/>
      <c r="Q108" s="664"/>
      <c r="R108" s="664"/>
      <c r="S108" s="664"/>
      <c r="T108" s="664"/>
      <c r="U108" s="664"/>
      <c r="V108" s="664"/>
      <c r="W108" s="664"/>
      <c r="X108" s="922"/>
    </row>
    <row r="109" spans="1:24">
      <c r="N109" s="921"/>
      <c r="O109" s="664"/>
      <c r="P109" s="664"/>
      <c r="Q109" s="664"/>
      <c r="R109" s="664"/>
      <c r="S109" s="664"/>
      <c r="T109" s="664"/>
      <c r="U109" s="664"/>
      <c r="V109" s="664"/>
      <c r="W109" s="664"/>
      <c r="X109" s="922"/>
    </row>
    <row r="110" spans="1:24">
      <c r="A110" s="154"/>
      <c r="N110" s="921"/>
      <c r="O110" s="664"/>
      <c r="P110" s="664"/>
      <c r="Q110" s="664"/>
      <c r="R110" s="664"/>
      <c r="S110" s="664"/>
      <c r="T110" s="664"/>
      <c r="U110" s="664"/>
      <c r="V110" s="664"/>
      <c r="W110" s="664"/>
      <c r="X110" s="922"/>
    </row>
    <row r="111" spans="1:24">
      <c r="N111" s="921"/>
      <c r="O111" s="664"/>
      <c r="P111" s="664"/>
      <c r="Q111" s="664"/>
      <c r="R111" s="664"/>
      <c r="S111" s="664"/>
      <c r="T111" s="664"/>
      <c r="U111" s="664"/>
      <c r="V111" s="664"/>
      <c r="W111" s="664"/>
      <c r="X111" s="922"/>
    </row>
    <row r="112" spans="1:24">
      <c r="A112" s="154"/>
      <c r="N112" s="921"/>
      <c r="O112" s="664"/>
      <c r="P112" s="664"/>
      <c r="Q112" s="664"/>
      <c r="R112" s="664"/>
      <c r="S112" s="664"/>
      <c r="T112" s="664"/>
      <c r="U112" s="664"/>
      <c r="V112" s="664"/>
      <c r="W112" s="664"/>
      <c r="X112" s="922"/>
    </row>
    <row r="113" spans="1:24">
      <c r="A113" s="2"/>
      <c r="N113" s="921"/>
      <c r="O113" s="664"/>
      <c r="P113" s="664"/>
      <c r="Q113" s="664"/>
      <c r="R113" s="664"/>
      <c r="S113" s="664"/>
      <c r="T113" s="664"/>
      <c r="U113" s="664"/>
      <c r="V113" s="664"/>
      <c r="W113" s="664"/>
      <c r="X113" s="922"/>
    </row>
    <row r="114" spans="1:24">
      <c r="N114" s="921"/>
      <c r="O114" s="664"/>
      <c r="P114" s="664"/>
      <c r="Q114" s="664"/>
      <c r="R114" s="664"/>
      <c r="S114" s="664"/>
      <c r="T114" s="664"/>
      <c r="U114" s="664"/>
      <c r="V114" s="664"/>
      <c r="W114" s="664"/>
      <c r="X114" s="922"/>
    </row>
    <row r="115" spans="1:24">
      <c r="N115" s="921"/>
      <c r="O115" s="664"/>
      <c r="P115" s="664"/>
      <c r="Q115" s="664"/>
      <c r="R115" s="664"/>
      <c r="S115" s="664"/>
      <c r="T115" s="664"/>
      <c r="U115" s="664"/>
      <c r="V115" s="664"/>
      <c r="W115" s="664"/>
      <c r="X115" s="922"/>
    </row>
    <row r="116" spans="1:24">
      <c r="N116" s="921"/>
      <c r="O116" s="664"/>
      <c r="P116" s="664"/>
      <c r="Q116" s="664"/>
      <c r="R116" s="664"/>
      <c r="S116" s="664"/>
      <c r="T116" s="664"/>
      <c r="U116" s="664"/>
      <c r="V116" s="664"/>
      <c r="W116" s="664"/>
      <c r="X116" s="922"/>
    </row>
    <row r="117" spans="1:24">
      <c r="N117" s="921"/>
      <c r="O117" s="664"/>
      <c r="P117" s="664"/>
      <c r="Q117" s="664"/>
      <c r="R117" s="664"/>
      <c r="S117" s="664"/>
      <c r="T117" s="664"/>
      <c r="U117" s="664"/>
      <c r="V117" s="664"/>
      <c r="W117" s="664"/>
      <c r="X117" s="922"/>
    </row>
    <row r="118" spans="1:24">
      <c r="N118" s="921"/>
      <c r="O118" s="664"/>
      <c r="P118" s="664"/>
      <c r="Q118" s="664"/>
      <c r="R118" s="664"/>
      <c r="S118" s="664"/>
      <c r="T118" s="664"/>
      <c r="U118" s="664"/>
      <c r="V118" s="664"/>
      <c r="W118" s="664"/>
      <c r="X118" s="922"/>
    </row>
    <row r="119" spans="1:24">
      <c r="N119" s="921"/>
      <c r="O119" s="664"/>
      <c r="P119" s="664"/>
      <c r="Q119" s="664"/>
      <c r="R119" s="664"/>
      <c r="S119" s="664"/>
      <c r="T119" s="664"/>
      <c r="U119" s="664"/>
      <c r="V119" s="664"/>
      <c r="W119" s="664"/>
      <c r="X119" s="922"/>
    </row>
    <row r="120" spans="1:24">
      <c r="N120" s="921"/>
      <c r="O120" s="664"/>
      <c r="P120" s="664"/>
      <c r="Q120" s="664"/>
      <c r="R120" s="664"/>
      <c r="S120" s="664"/>
      <c r="T120" s="664"/>
      <c r="U120" s="664"/>
      <c r="V120" s="664"/>
      <c r="W120" s="664"/>
      <c r="X120" s="922"/>
    </row>
    <row r="121" spans="1:24">
      <c r="N121" s="921"/>
      <c r="O121" s="664"/>
      <c r="P121" s="664"/>
      <c r="Q121" s="664"/>
      <c r="R121" s="664"/>
      <c r="S121" s="664"/>
      <c r="T121" s="664"/>
      <c r="U121" s="664"/>
      <c r="V121" s="664"/>
      <c r="W121" s="664"/>
      <c r="X121" s="922"/>
    </row>
    <row r="122" spans="1:24">
      <c r="N122" s="921"/>
      <c r="O122" s="664"/>
      <c r="P122" s="664"/>
      <c r="Q122" s="664"/>
      <c r="R122" s="664"/>
      <c r="S122" s="664"/>
      <c r="T122" s="664"/>
      <c r="U122" s="664"/>
      <c r="V122" s="664"/>
      <c r="W122" s="664"/>
      <c r="X122" s="922"/>
    </row>
    <row r="123" spans="1:24">
      <c r="N123" s="921"/>
      <c r="O123" s="664"/>
      <c r="P123" s="664"/>
      <c r="Q123" s="664"/>
      <c r="R123" s="664"/>
      <c r="S123" s="664"/>
      <c r="T123" s="664"/>
      <c r="U123" s="664"/>
      <c r="V123" s="664"/>
      <c r="W123" s="664"/>
      <c r="X123" s="922"/>
    </row>
    <row r="124" spans="1:24">
      <c r="N124" s="921"/>
      <c r="O124" s="664"/>
      <c r="P124" s="664"/>
      <c r="Q124" s="664"/>
      <c r="R124" s="664"/>
      <c r="S124" s="664"/>
      <c r="T124" s="664"/>
      <c r="U124" s="664"/>
      <c r="V124" s="664"/>
      <c r="W124" s="664"/>
      <c r="X124" s="922"/>
    </row>
    <row r="125" spans="1:24">
      <c r="N125" s="921"/>
      <c r="O125" s="664"/>
      <c r="P125" s="664"/>
      <c r="Q125" s="664"/>
      <c r="R125" s="664"/>
      <c r="S125" s="664"/>
      <c r="T125" s="664"/>
      <c r="U125" s="664"/>
      <c r="V125" s="664"/>
      <c r="W125" s="664"/>
      <c r="X125" s="922"/>
    </row>
    <row r="126" spans="1:24">
      <c r="N126" s="921"/>
      <c r="O126" s="664"/>
      <c r="P126" s="664"/>
      <c r="Q126" s="664"/>
      <c r="R126" s="664"/>
      <c r="S126" s="664"/>
      <c r="T126" s="664"/>
      <c r="U126" s="664"/>
      <c r="V126" s="664"/>
      <c r="W126" s="664"/>
      <c r="X126" s="922"/>
    </row>
    <row r="127" spans="1:24">
      <c r="N127" s="921"/>
      <c r="O127" s="664"/>
      <c r="P127" s="664"/>
      <c r="Q127" s="664"/>
      <c r="R127" s="664"/>
      <c r="S127" s="664"/>
      <c r="T127" s="664"/>
      <c r="U127" s="664"/>
      <c r="V127" s="664"/>
      <c r="W127" s="664"/>
      <c r="X127" s="922"/>
    </row>
    <row r="128" spans="1:24">
      <c r="N128" s="921"/>
      <c r="O128" s="664"/>
      <c r="P128" s="664"/>
      <c r="Q128" s="664"/>
      <c r="R128" s="664"/>
      <c r="S128" s="664"/>
      <c r="T128" s="664"/>
      <c r="U128" s="664"/>
      <c r="V128" s="664"/>
      <c r="W128" s="664"/>
      <c r="X128" s="922"/>
    </row>
    <row r="129" spans="3:24">
      <c r="N129" s="921"/>
      <c r="O129" s="664"/>
      <c r="P129" s="664"/>
      <c r="Q129" s="664"/>
      <c r="R129" s="664"/>
      <c r="S129" s="664"/>
      <c r="T129" s="664"/>
      <c r="U129" s="664"/>
      <c r="V129" s="664"/>
      <c r="W129" s="664"/>
      <c r="X129" s="922"/>
    </row>
    <row r="130" spans="3:24">
      <c r="N130" s="921"/>
      <c r="O130" s="664"/>
      <c r="P130" s="664"/>
      <c r="Q130" s="664"/>
      <c r="R130" s="664"/>
      <c r="S130" s="664"/>
      <c r="T130" s="664"/>
      <c r="U130" s="664"/>
      <c r="V130" s="664"/>
      <c r="W130" s="664"/>
      <c r="X130" s="922"/>
    </row>
    <row r="131" spans="3:24">
      <c r="N131" s="921"/>
      <c r="O131" s="664"/>
      <c r="P131" s="664"/>
      <c r="Q131" s="664"/>
      <c r="R131" s="664"/>
      <c r="S131" s="664"/>
      <c r="T131" s="664"/>
      <c r="U131" s="664"/>
      <c r="V131" s="664"/>
      <c r="W131" s="664"/>
      <c r="X131" s="922"/>
    </row>
    <row r="132" spans="3:24">
      <c r="N132" s="921"/>
      <c r="O132" s="664"/>
      <c r="P132" s="664"/>
      <c r="Q132" s="664"/>
      <c r="R132" s="664"/>
      <c r="S132" s="664"/>
      <c r="T132" s="664"/>
      <c r="U132" s="664"/>
      <c r="V132" s="664"/>
      <c r="W132" s="664"/>
      <c r="X132" s="922"/>
    </row>
    <row r="133" spans="3:24">
      <c r="N133" s="1416"/>
      <c r="O133" s="354"/>
      <c r="P133" s="354"/>
      <c r="Q133" s="354"/>
      <c r="R133" s="354"/>
      <c r="S133" s="354"/>
      <c r="T133" s="354"/>
      <c r="U133" s="354"/>
      <c r="V133" s="354"/>
      <c r="W133" s="354"/>
      <c r="X133" s="1433"/>
    </row>
    <row r="134" spans="3:24">
      <c r="N134" s="1416"/>
      <c r="O134" s="354"/>
      <c r="P134" s="354"/>
      <c r="Q134" s="354"/>
      <c r="R134" s="354"/>
      <c r="S134" s="354"/>
      <c r="T134" s="354"/>
      <c r="U134" s="354"/>
      <c r="V134" s="354"/>
      <c r="W134" s="354"/>
      <c r="X134" s="1433"/>
    </row>
    <row r="135" spans="3:24">
      <c r="N135" s="1416"/>
      <c r="O135" s="354"/>
      <c r="P135" s="354"/>
      <c r="Q135" s="354"/>
      <c r="R135" s="354"/>
      <c r="S135" s="354"/>
      <c r="T135" s="354"/>
      <c r="U135" s="354"/>
      <c r="V135" s="354"/>
      <c r="W135" s="354"/>
      <c r="X135" s="1433"/>
    </row>
    <row r="136" spans="3:24">
      <c r="N136" s="1434"/>
      <c r="O136" s="1435"/>
      <c r="P136" s="1435"/>
      <c r="Q136" s="1435"/>
      <c r="R136" s="1435"/>
      <c r="S136" s="1435"/>
      <c r="T136" s="1435"/>
      <c r="U136" s="1435"/>
      <c r="V136" s="1435"/>
      <c r="W136" s="1435"/>
      <c r="X136" s="1436"/>
    </row>
    <row r="137" spans="3:24">
      <c r="N137" s="354"/>
      <c r="O137" s="354"/>
      <c r="P137" s="354"/>
      <c r="Q137" s="354"/>
      <c r="R137" s="354"/>
      <c r="S137" s="354"/>
      <c r="T137" s="354"/>
      <c r="U137" s="354"/>
      <c r="V137" s="354"/>
      <c r="W137" s="354"/>
      <c r="X137" s="354"/>
    </row>
    <row r="138" spans="3:24">
      <c r="C138" s="99"/>
      <c r="N138" s="63" t="s">
        <v>331</v>
      </c>
    </row>
    <row r="139" spans="3:24">
      <c r="C139" s="100"/>
      <c r="N139" t="s">
        <v>332</v>
      </c>
    </row>
    <row r="140" spans="3:24">
      <c r="C140" s="100"/>
      <c r="N140" t="s">
        <v>333</v>
      </c>
    </row>
    <row r="144" spans="3:24">
      <c r="C144" s="312"/>
    </row>
    <row r="145" spans="3:3">
      <c r="C145" s="100"/>
    </row>
    <row r="146" spans="3:3">
      <c r="C146" s="100"/>
    </row>
    <row r="167" spans="3:3">
      <c r="C167" s="99" t="s">
        <v>331</v>
      </c>
    </row>
    <row r="168" spans="3:3">
      <c r="C168" s="9" t="s">
        <v>332</v>
      </c>
    </row>
    <row r="169" spans="3:3">
      <c r="C169" s="9" t="s">
        <v>333</v>
      </c>
    </row>
  </sheetData>
  <sheetProtection algorithmName="SHA-512" hashValue="Pb6uzOfoBOf03dhOFmpTJaQF+7+x/3z5ddn2q+gZmcz4hPNjoTeeBtWWdv+8fDqHE9IuUEOP99JhHXT5t6sPsQ==" saltValue="/XN+W9Jtm2AL5BpVDXWN9g==" spinCount="100000" sheet="1" objects="1" scenarios="1"/>
  <mergeCells count="154">
    <mergeCell ref="N3:O3"/>
    <mergeCell ref="Q3:R3"/>
    <mergeCell ref="B9:E9"/>
    <mergeCell ref="H11:L11"/>
    <mergeCell ref="B4:L4"/>
    <mergeCell ref="K33:L33"/>
    <mergeCell ref="K35:L35"/>
    <mergeCell ref="K25:L25"/>
    <mergeCell ref="F28:J28"/>
    <mergeCell ref="B29:D29"/>
    <mergeCell ref="B30:D30"/>
    <mergeCell ref="C11:E11"/>
    <mergeCell ref="B19:C19"/>
    <mergeCell ref="B20:C20"/>
    <mergeCell ref="B22:C22"/>
    <mergeCell ref="B16:C16"/>
    <mergeCell ref="B17:C17"/>
    <mergeCell ref="B18:C18"/>
    <mergeCell ref="I21:J21"/>
    <mergeCell ref="F23:J23"/>
    <mergeCell ref="K20:L20"/>
    <mergeCell ref="K18:L18"/>
    <mergeCell ref="B25:C25"/>
    <mergeCell ref="Q13:V13"/>
    <mergeCell ref="K68:L68"/>
    <mergeCell ref="K38:L38"/>
    <mergeCell ref="H62:J62"/>
    <mergeCell ref="K62:L62"/>
    <mergeCell ref="H49:I49"/>
    <mergeCell ref="H44:I44"/>
    <mergeCell ref="H45:I45"/>
    <mergeCell ref="H50:I50"/>
    <mergeCell ref="H41:I41"/>
    <mergeCell ref="H56:I56"/>
    <mergeCell ref="H52:I52"/>
    <mergeCell ref="H60:I60"/>
    <mergeCell ref="H55:I55"/>
    <mergeCell ref="H43:I43"/>
    <mergeCell ref="K39:L39"/>
    <mergeCell ref="K65:L65"/>
    <mergeCell ref="K66:L66"/>
    <mergeCell ref="H46:I46"/>
    <mergeCell ref="F68:J68"/>
    <mergeCell ref="H53:I53"/>
    <mergeCell ref="H54:I54"/>
    <mergeCell ref="K67:L67"/>
    <mergeCell ref="H57:I57"/>
    <mergeCell ref="H58:I58"/>
    <mergeCell ref="K15:L15"/>
    <mergeCell ref="K16:L16"/>
    <mergeCell ref="G9:L9"/>
    <mergeCell ref="B65:D65"/>
    <mergeCell ref="B66:D66"/>
    <mergeCell ref="B67:D67"/>
    <mergeCell ref="F35:J35"/>
    <mergeCell ref="H33:J33"/>
    <mergeCell ref="K64:L64"/>
    <mergeCell ref="F62:G62"/>
    <mergeCell ref="H51:I51"/>
    <mergeCell ref="H59:I59"/>
    <mergeCell ref="C62:E62"/>
    <mergeCell ref="F65:J65"/>
    <mergeCell ref="F66:J66"/>
    <mergeCell ref="F67:J67"/>
    <mergeCell ref="C49:E49"/>
    <mergeCell ref="C59:E59"/>
    <mergeCell ref="C60:E60"/>
    <mergeCell ref="C53:E53"/>
    <mergeCell ref="K37:L37"/>
    <mergeCell ref="H38:J38"/>
    <mergeCell ref="H37:J37"/>
    <mergeCell ref="K27:L27"/>
    <mergeCell ref="F30:J30"/>
    <mergeCell ref="K32:L32"/>
    <mergeCell ref="K30:L30"/>
    <mergeCell ref="K31:L31"/>
    <mergeCell ref="K21:L21"/>
    <mergeCell ref="F20:G20"/>
    <mergeCell ref="K28:L28"/>
    <mergeCell ref="F22:G22"/>
    <mergeCell ref="F24:J24"/>
    <mergeCell ref="K24:L24"/>
    <mergeCell ref="K22:L22"/>
    <mergeCell ref="I22:J22"/>
    <mergeCell ref="B74:E74"/>
    <mergeCell ref="G80:H80"/>
    <mergeCell ref="B68:D68"/>
    <mergeCell ref="B2:L2"/>
    <mergeCell ref="H42:I42"/>
    <mergeCell ref="F29:J29"/>
    <mergeCell ref="B31:D31"/>
    <mergeCell ref="B27:D27"/>
    <mergeCell ref="H40:I40"/>
    <mergeCell ref="B13:L14"/>
    <mergeCell ref="I17:J17"/>
    <mergeCell ref="F25:J25"/>
    <mergeCell ref="F21:G21"/>
    <mergeCell ref="B21:C21"/>
    <mergeCell ref="K19:L19"/>
    <mergeCell ref="F17:G17"/>
    <mergeCell ref="F18:G18"/>
    <mergeCell ref="K23:L23"/>
    <mergeCell ref="K17:L17"/>
    <mergeCell ref="F19:G19"/>
    <mergeCell ref="F27:J27"/>
    <mergeCell ref="F31:J31"/>
    <mergeCell ref="F38:G38"/>
    <mergeCell ref="J6:L6"/>
    <mergeCell ref="G90:H90"/>
    <mergeCell ref="C81:D81"/>
    <mergeCell ref="F98:G99"/>
    <mergeCell ref="G77:H77"/>
    <mergeCell ref="C78:D78"/>
    <mergeCell ref="F96:G97"/>
    <mergeCell ref="H96:L97"/>
    <mergeCell ref="G93:H93"/>
    <mergeCell ref="G94:H94"/>
    <mergeCell ref="G92:H92"/>
    <mergeCell ref="G88:H88"/>
    <mergeCell ref="C98:E99"/>
    <mergeCell ref="H98:K99"/>
    <mergeCell ref="C83:D83"/>
    <mergeCell ref="G79:H79"/>
    <mergeCell ref="C79:D79"/>
    <mergeCell ref="G82:H82"/>
    <mergeCell ref="G87:H87"/>
    <mergeCell ref="C82:D82"/>
    <mergeCell ref="G81:H81"/>
    <mergeCell ref="G78:H78"/>
    <mergeCell ref="G83:H83"/>
    <mergeCell ref="G74:L74"/>
    <mergeCell ref="G89:H89"/>
    <mergeCell ref="F33:G33"/>
    <mergeCell ref="B32:D32"/>
    <mergeCell ref="B28:D28"/>
    <mergeCell ref="B26:C26"/>
    <mergeCell ref="B23:C23"/>
    <mergeCell ref="B24:C24"/>
    <mergeCell ref="H48:I48"/>
    <mergeCell ref="K29:L29"/>
    <mergeCell ref="K26:L26"/>
    <mergeCell ref="H47:I47"/>
    <mergeCell ref="F26:J26"/>
    <mergeCell ref="F39:G39"/>
    <mergeCell ref="H39:J39"/>
    <mergeCell ref="F37:G37"/>
    <mergeCell ref="C33:D33"/>
    <mergeCell ref="C37:C38"/>
    <mergeCell ref="B35:D35"/>
    <mergeCell ref="F32:J32"/>
    <mergeCell ref="K69:L69"/>
    <mergeCell ref="B69:D69"/>
    <mergeCell ref="F69:J69"/>
    <mergeCell ref="B73:C73"/>
  </mergeCells>
  <conditionalFormatting sqref="E90">
    <cfRule type="cellIs" dxfId="19" priority="4" operator="lessThan">
      <formula>$F$62</formula>
    </cfRule>
    <cfRule type="cellIs" dxfId="18" priority="7" operator="greaterThan">
      <formula>$F$62</formula>
    </cfRule>
  </conditionalFormatting>
  <conditionalFormatting sqref="E94">
    <cfRule type="cellIs" dxfId="17" priority="10" operator="lessThan">
      <formula>0</formula>
    </cfRule>
    <cfRule type="cellIs" dxfId="16" priority="13" operator="greaterThan">
      <formula>0</formula>
    </cfRule>
  </conditionalFormatting>
  <conditionalFormatting sqref="E80:H80">
    <cfRule type="cellIs" dxfId="15" priority="14" operator="lessThan">
      <formula>0</formula>
    </cfRule>
    <cfRule type="cellIs" dxfId="14" priority="17" operator="greaterThan">
      <formula>0</formula>
    </cfRule>
  </conditionalFormatting>
  <conditionalFormatting sqref="F53">
    <cfRule type="cellIs" dxfId="13" priority="29" operator="lessThan">
      <formula>$F$62</formula>
    </cfRule>
    <cfRule type="cellIs" dxfId="12" priority="32" operator="greaterThan">
      <formula>$F$62</formula>
    </cfRule>
  </conditionalFormatting>
  <conditionalFormatting sqref="F90">
    <cfRule type="cellIs" dxfId="11" priority="1" operator="greaterThan">
      <formula>$H$62</formula>
    </cfRule>
    <cfRule type="cellIs" dxfId="10" priority="3" operator="lessThan">
      <formula>$H$62</formula>
    </cfRule>
  </conditionalFormatting>
  <conditionalFormatting sqref="F94">
    <cfRule type="cellIs" dxfId="9" priority="9" operator="lessThan">
      <formula>$H$62</formula>
    </cfRule>
    <cfRule type="cellIs" dxfId="8" priority="12" operator="greaterThan">
      <formula>$H$62</formula>
    </cfRule>
  </conditionalFormatting>
  <conditionalFormatting sqref="G90">
    <cfRule type="cellIs" dxfId="7" priority="2" operator="lessThan">
      <formula>$K$62</formula>
    </cfRule>
    <cfRule type="cellIs" dxfId="6" priority="5" operator="greaterThan">
      <formula>$K$62</formula>
    </cfRule>
  </conditionalFormatting>
  <conditionalFormatting sqref="G94">
    <cfRule type="cellIs" dxfId="5" priority="8" operator="lessThan">
      <formula>$K$62</formula>
    </cfRule>
    <cfRule type="cellIs" dxfId="4" priority="11" operator="greaterThan">
      <formula>$K$62</formula>
    </cfRule>
  </conditionalFormatting>
  <conditionalFormatting sqref="H53:I53">
    <cfRule type="cellIs" dxfId="3" priority="26" operator="lessThan">
      <formula>$H$62</formula>
    </cfRule>
    <cfRule type="cellIs" dxfId="2" priority="31" operator="greaterThan">
      <formula>$H$62</formula>
    </cfRule>
  </conditionalFormatting>
  <conditionalFormatting sqref="K53">
    <cfRule type="cellIs" dxfId="1" priority="27" operator="lessThan">
      <formula>$K$62</formula>
    </cfRule>
    <cfRule type="cellIs" dxfId="0" priority="30" operator="greaterThan">
      <formula>$K$62</formula>
    </cfRule>
  </conditionalFormatting>
  <printOptions horizontalCentered="1"/>
  <pageMargins left="0.23622047244094491" right="0.23622047244094491" top="0.74803149606299213" bottom="0.74803149606299213" header="0.31496062992125984" footer="0.31496062992125984"/>
  <pageSetup paperSize="9" scale="85" orientation="portrait" r:id="rId1"/>
  <rowBreaks count="1" manualBreakCount="1">
    <brk id="69" min="1" max="23" man="1"/>
  </rowBreaks>
  <colBreaks count="1" manualBreakCount="1">
    <brk id="12" min="3" max="133"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17</vt:i4>
      </vt:variant>
      <vt:variant>
        <vt:lpstr>Nimetyt alueet</vt:lpstr>
      </vt:variant>
      <vt:variant>
        <vt:i4>17</vt:i4>
      </vt:variant>
    </vt:vector>
  </HeadingPairs>
  <TitlesOfParts>
    <vt:vector size="34" baseType="lpstr">
      <vt:lpstr>Aloitussivu</vt:lpstr>
      <vt:lpstr>Kustannukset K1</vt:lpstr>
      <vt:lpstr>Myynti K2</vt:lpstr>
      <vt:lpstr>Rahoitus K3</vt:lpstr>
      <vt:lpstr>4. Kassabudjetti</vt:lpstr>
      <vt:lpstr>Palkat </vt:lpstr>
      <vt:lpstr>Kustannukset Y1</vt:lpstr>
      <vt:lpstr>Myynti Y2</vt:lpstr>
      <vt:lpstr>Rahoitus Y3</vt:lpstr>
      <vt:lpstr>Päivitystapahtumat</vt:lpstr>
      <vt:lpstr>Toimialatiedot</vt:lpstr>
      <vt:lpstr>1Kauppa AT lainat ja avustukset</vt:lpstr>
      <vt:lpstr>2 AT Palkat, alv</vt:lpstr>
      <vt:lpstr>3 AT Kassa</vt:lpstr>
      <vt:lpstr>4 AT  Myynnin alv</vt:lpstr>
      <vt:lpstr>5 YP Lainat ja avustukset</vt:lpstr>
      <vt:lpstr>6 Kaaviot</vt:lpstr>
      <vt:lpstr>Rahapalkat__TyEL_työntekijät</vt:lpstr>
      <vt:lpstr>'Kustannukset K1'!Teksti37</vt:lpstr>
      <vt:lpstr>'Kustannukset K1'!Teksti38</vt:lpstr>
      <vt:lpstr>'Kustannukset Y1'!Teksti38</vt:lpstr>
      <vt:lpstr>'Kustannukset K1'!Teksti39</vt:lpstr>
      <vt:lpstr>'4. Kassabudjetti'!Tulostusalue</vt:lpstr>
      <vt:lpstr>Aloitussivu!Tulostusalue</vt:lpstr>
      <vt:lpstr>'Kustannukset K1'!Tulostusalue</vt:lpstr>
      <vt:lpstr>'Kustannukset Y1'!Tulostusalue</vt:lpstr>
      <vt:lpstr>'Myynti K2'!Tulostusalue</vt:lpstr>
      <vt:lpstr>'Myynti Y2'!Tulostusalue</vt:lpstr>
      <vt:lpstr>'Palkat '!Tulostusalue</vt:lpstr>
      <vt:lpstr>'Rahoitus K3'!Tulostusalue</vt:lpstr>
      <vt:lpstr>'Rahoitus Y3'!Tulostusalue</vt:lpstr>
      <vt:lpstr>Toimialatiedot!Tulostusalue</vt:lpstr>
      <vt:lpstr>'Kustannukset K1'!Tulostusotsikot</vt:lpstr>
      <vt:lpstr>'Kustannukset Y1'!Tulostusotsikot</vt:lpstr>
    </vt:vector>
  </TitlesOfParts>
  <Company>Yritystulkki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YT5 Aloittavan yrityksen taloussuunnitelma</dc:title>
  <dc:creator>Yritystulkki</dc:creator>
  <cp:lastModifiedBy>Yritystulkki</cp:lastModifiedBy>
  <cp:lastPrinted>2023-12-19T07:29:18Z</cp:lastPrinted>
  <dcterms:created xsi:type="dcterms:W3CDTF">2006-08-01T10:09:48Z</dcterms:created>
  <dcterms:modified xsi:type="dcterms:W3CDTF">2023-12-19T07:47:20Z</dcterms:modified>
</cp:coreProperties>
</file>