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D:\Dropbox\Yritystulkki\Päivitykset 2024\YT22 240302 Maaliskuu\"/>
    </mc:Choice>
  </mc:AlternateContent>
  <xr:revisionPtr revIDLastSave="0" documentId="13_ncr:1_{B78D309F-A8F0-4879-A9A1-787C5203F6CA}" xr6:coauthVersionLast="47" xr6:coauthVersionMax="47" xr10:uidLastSave="{00000000-0000-0000-0000-000000000000}"/>
  <workbookProtection workbookAlgorithmName="SHA-512" workbookHashValue="bT40Xn3Oi3k7jpdwjiLZ7EiqJDoCLq3RswrCrzGVUhYg4bXY3VccpiuJL7AEGM10oZIZZQ8ujGjSkTpVnpO2gA==" workbookSaltValue="jeYhE9LQN7G4RBbjyg5ynA==" workbookSpinCount="100000" lockStructure="1"/>
  <bookViews>
    <workbookView xWindow="-103" yWindow="-103" windowWidth="33120" windowHeight="18120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AT T5 Kassa" sheetId="33" state="hidden" r:id="rId10"/>
    <sheet name="9. T5 KASSABUDJETTI  " sheetId="30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'!$B$2:$U$101</definedName>
    <definedName name="_xlnm.Print_Area" localSheetId="5">'4. T7 LAINAT '!$B$2:$Q$53</definedName>
    <definedName name="_xlnm.Print_Area" localSheetId="6">'5. E1 KUSTANNUKSET '!$B$2:$AB$127</definedName>
    <definedName name="_xlnm.Print_Area" localSheetId="7">'6. E2 LIIKEVAIHTO '!$B$2:$U$87</definedName>
    <definedName name="_xlnm.Print_Area" localSheetId="8">'8. T4 RAHOITUSSUUN. '!$B$2:$U$64</definedName>
    <definedName name="_xlnm.Print_Area" localSheetId="10">'9. T5 KASSABUDJETTI  '!$B$5:$S$100</definedName>
    <definedName name="_xlnm.Print_Area" localSheetId="0">OHJE!$A$1:$G$23</definedName>
    <definedName name="_xlnm.Print_Area" localSheetId="11">Tulostussivu!$B$2:$AY$81</definedName>
    <definedName name="_xlnm.Print_Titles" localSheetId="4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'!$B$2:$U$102</definedName>
    <definedName name="YT" localSheetId="5">'4. T7 LAINAT '!$B$2:$Q$53</definedName>
    <definedName name="YT" localSheetId="6">'5. E1 KUSTANNUKSET '!$B$2:$AB$127</definedName>
    <definedName name="YT" localSheetId="7">'6. E2 LIIKEVAIHTO '!$B$2:$U$87</definedName>
    <definedName name="YT" localSheetId="8">'8. T4 RAHOITUSSUUN. '!$B$2:$U$65</definedName>
    <definedName name="YT" localSheetId="10">'9. T5 KASSABUDJETTI  '!$B$5:$AN$100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2" l="1"/>
  <c r="E18" i="2" l="1"/>
  <c r="R2" i="33" l="1"/>
  <c r="S2" i="33"/>
  <c r="Q2" i="33"/>
  <c r="F2" i="33"/>
  <c r="E2" i="33"/>
  <c r="D2" i="33"/>
  <c r="C2" i="33"/>
  <c r="E24" i="2" l="1"/>
  <c r="D42" i="26"/>
  <c r="H35" i="32" l="1"/>
  <c r="E26" i="2"/>
  <c r="E25" i="2"/>
  <c r="F25" i="2" s="1"/>
  <c r="E33" i="2"/>
  <c r="E32" i="2"/>
  <c r="E27" i="2"/>
  <c r="E34" i="2"/>
  <c r="F31" i="35" l="1"/>
  <c r="G31" i="35"/>
  <c r="D30" i="35"/>
  <c r="E30" i="35"/>
  <c r="E31" i="35" s="1"/>
  <c r="F30" i="35"/>
  <c r="G30" i="35"/>
  <c r="H30" i="35" l="1"/>
  <c r="H35" i="20"/>
  <c r="G24" i="30"/>
  <c r="I12" i="20"/>
  <c r="E42" i="26" l="1"/>
  <c r="F42" i="26"/>
  <c r="G42" i="26"/>
  <c r="H40" i="26" l="1"/>
  <c r="Q46" i="28" l="1"/>
  <c r="N46" i="28"/>
  <c r="K46" i="28"/>
  <c r="P82" i="1"/>
  <c r="H47" i="28"/>
  <c r="H46" i="28"/>
  <c r="C48" i="28"/>
  <c r="H48" i="28" s="1"/>
  <c r="C47" i="28"/>
  <c r="C46" i="28"/>
  <c r="AO53" i="35"/>
  <c r="H20" i="1"/>
  <c r="I8" i="20" l="1"/>
  <c r="H52" i="35" l="1"/>
  <c r="D15" i="35" l="1"/>
  <c r="H13" i="28"/>
  <c r="H14" i="28"/>
  <c r="H15" i="28"/>
  <c r="H16" i="28"/>
  <c r="H17" i="28"/>
  <c r="H12" i="28"/>
  <c r="H11" i="28"/>
  <c r="H16" i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9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6" i="26"/>
  <c r="O58" i="30"/>
  <c r="I63" i="27"/>
  <c r="F86" i="2"/>
  <c r="I126" i="1"/>
  <c r="N52" i="28"/>
  <c r="I100" i="32"/>
  <c r="M35" i="20"/>
  <c r="I44" i="35" l="1"/>
  <c r="K26" i="2" l="1"/>
  <c r="L26" i="2" s="1"/>
  <c r="M26" i="2" s="1"/>
  <c r="K33" i="2"/>
  <c r="L33" i="2" s="1"/>
  <c r="M33" i="2" s="1"/>
  <c r="U51" i="30" l="1"/>
  <c r="B5" i="20" l="1"/>
  <c r="G33" i="20" l="1"/>
  <c r="J20" i="1"/>
  <c r="L20" i="1" s="1"/>
  <c r="L21" i="1"/>
  <c r="M78" i="32" l="1"/>
  <c r="I33" i="20"/>
  <c r="K33" i="20" s="1"/>
  <c r="M33" i="20" s="1"/>
  <c r="O33" i="20" s="1"/>
  <c r="K19" i="2"/>
  <c r="L19" i="2" s="1"/>
  <c r="M19" i="2" s="1"/>
  <c r="H26" i="1"/>
  <c r="J26" i="1" s="1"/>
  <c r="L26" i="1" s="1"/>
  <c r="AQ25" i="30" l="1"/>
  <c r="AO25" i="30"/>
  <c r="AJ26" i="30"/>
  <c r="AJ25" i="30"/>
  <c r="AH25" i="30"/>
  <c r="AC25" i="30"/>
  <c r="AA25" i="30"/>
  <c r="AS24" i="30"/>
  <c r="AV24" i="30" s="1"/>
  <c r="AR24" i="30"/>
  <c r="AK24" i="30"/>
  <c r="H22" i="1"/>
  <c r="AH26" i="30" s="1"/>
  <c r="F17" i="1"/>
  <c r="AG25" i="30" l="1"/>
  <c r="Q87" i="27"/>
  <c r="P87" i="27"/>
  <c r="AI25" i="30" l="1"/>
  <c r="H29" i="1"/>
  <c r="AQ26" i="30" s="1"/>
  <c r="J23" i="1"/>
  <c r="L23" i="1" s="1"/>
  <c r="AK25" i="30" l="1"/>
  <c r="AL25" i="30"/>
  <c r="AM25" i="30" s="1"/>
  <c r="J16" i="1"/>
  <c r="L16" i="1" s="1"/>
  <c r="AC26" i="30"/>
  <c r="J29" i="1"/>
  <c r="L29" i="1" s="1"/>
  <c r="F47" i="1" l="1"/>
  <c r="F48" i="1"/>
  <c r="E46" i="2" l="1"/>
  <c r="H90" i="32"/>
  <c r="H78" i="32"/>
  <c r="H74" i="32"/>
  <c r="H65" i="32"/>
  <c r="I72" i="32"/>
  <c r="H72" i="32"/>
  <c r="H69" i="32"/>
  <c r="K47" i="28" s="1"/>
  <c r="K48" i="28" l="1"/>
  <c r="H32" i="27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H50" i="27" s="1"/>
  <c r="H40" i="32" s="1"/>
  <c r="F49" i="27"/>
  <c r="F50" i="27" s="1"/>
  <c r="E81" i="2" l="1"/>
  <c r="F24" i="28" l="1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8" i="2" l="1"/>
  <c r="K25" i="2"/>
  <c r="K39" i="2"/>
  <c r="L39" i="2" s="1"/>
  <c r="M39" i="2" s="1"/>
  <c r="K32" i="2"/>
  <c r="L32" i="2" l="1"/>
  <c r="M32" i="2" s="1"/>
  <c r="F32" i="2"/>
  <c r="L25" i="2"/>
  <c r="M25" i="2" s="1"/>
  <c r="G25" i="2"/>
  <c r="H25" i="2" s="1"/>
  <c r="L18" i="2"/>
  <c r="M18" i="2" s="1"/>
  <c r="F18" i="2"/>
  <c r="G18" i="2" s="1"/>
  <c r="H18" i="2" s="1"/>
  <c r="L42" i="35"/>
  <c r="G32" i="2" l="1"/>
  <c r="H32" i="2" s="1"/>
  <c r="G11" i="32"/>
  <c r="F5" i="28"/>
  <c r="B5" i="28"/>
  <c r="AY82" i="35" l="1"/>
  <c r="AE5" i="35" l="1"/>
  <c r="AU5" i="35"/>
  <c r="AT5" i="35" s="1"/>
  <c r="AR8" i="35"/>
  <c r="F19" i="28" l="1"/>
  <c r="AE38" i="35" s="1"/>
  <c r="C19" i="28"/>
  <c r="AB38" i="35" s="1"/>
  <c r="M48" i="35" l="1"/>
  <c r="M46" i="35"/>
  <c r="M44" i="35"/>
  <c r="M42" i="35"/>
  <c r="M41" i="35"/>
  <c r="L48" i="35"/>
  <c r="L46" i="35"/>
  <c r="L44" i="35"/>
  <c r="K46" i="35"/>
  <c r="K44" i="35"/>
  <c r="K42" i="35"/>
  <c r="AD68" i="35" l="1"/>
  <c r="AB68" i="35"/>
  <c r="AC63" i="35"/>
  <c r="AD63" i="35"/>
  <c r="AB63" i="35"/>
  <c r="AC35" i="35"/>
  <c r="AA28" i="35"/>
  <c r="K46" i="2" l="1"/>
  <c r="L46" i="2" s="1"/>
  <c r="M46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E5" i="2"/>
  <c r="K5" i="1"/>
  <c r="O5" i="28"/>
  <c r="J5" i="28"/>
  <c r="B5" i="32"/>
  <c r="H8" i="32"/>
  <c r="B8" i="32"/>
  <c r="O5" i="20"/>
  <c r="H5" i="2" s="1" a="1"/>
  <c r="H5" i="2" s="1"/>
  <c r="G5" i="20"/>
  <c r="D16" i="22" l="1"/>
  <c r="E16" i="22"/>
  <c r="F16" i="22"/>
  <c r="C16" i="22"/>
  <c r="P120" i="1" l="1"/>
  <c r="F59" i="1" l="1"/>
  <c r="D10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11" i="2"/>
  <c r="L123" i="1" l="1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B31" i="22" l="1"/>
  <c r="D31" i="22" l="1"/>
  <c r="E31" i="22"/>
  <c r="F31" i="22"/>
  <c r="C31" i="22"/>
  <c r="F119" i="1" l="1"/>
  <c r="U41" i="30" s="1"/>
  <c r="F120" i="1"/>
  <c r="H119" i="1" l="1"/>
  <c r="O119" i="1"/>
  <c r="I31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1" i="30" l="1"/>
  <c r="K41" i="30"/>
  <c r="M41" i="30"/>
  <c r="G41" i="30"/>
  <c r="O41" i="30"/>
  <c r="P41" i="30"/>
  <c r="R41" i="30"/>
  <c r="H41" i="30"/>
  <c r="N41" i="30"/>
  <c r="J41" i="30"/>
  <c r="L41" i="30"/>
  <c r="I41" i="30"/>
  <c r="R22" i="29"/>
  <c r="Q22" i="29"/>
  <c r="R23" i="29"/>
  <c r="Q23" i="29"/>
  <c r="P22" i="29"/>
  <c r="P23" i="29"/>
  <c r="O37" i="28"/>
  <c r="AN57" i="35" s="1"/>
  <c r="S41" i="30" l="1"/>
  <c r="T41" i="30" s="1"/>
  <c r="S23" i="29"/>
  <c r="T22" i="29"/>
  <c r="S22" i="29"/>
  <c r="T23" i="29"/>
  <c r="A26" i="29" l="1"/>
  <c r="L40" i="29" l="1"/>
  <c r="I74" i="32"/>
  <c r="AJ69" i="35"/>
  <c r="N48" i="28" l="1"/>
  <c r="AM69" i="35" s="1"/>
  <c r="H59" i="26"/>
  <c r="D29" i="22"/>
  <c r="E29" i="22"/>
  <c r="F29" i="22"/>
  <c r="C29" i="22"/>
  <c r="H61" i="32" l="1"/>
  <c r="I61" i="32" s="1"/>
  <c r="I31" i="27" s="1"/>
  <c r="K48" i="35"/>
  <c r="I42" i="35"/>
  <c r="I46" i="35"/>
  <c r="I48" i="35"/>
  <c r="I41" i="35"/>
  <c r="H31" i="27" l="1"/>
  <c r="M70" i="32"/>
  <c r="I78" i="32"/>
  <c r="J61" i="32" l="1"/>
  <c r="J31" i="27" s="1"/>
  <c r="I69" i="32"/>
  <c r="N47" i="28" s="1"/>
  <c r="J78" i="32"/>
  <c r="K78" i="32" s="1"/>
  <c r="E46" i="35"/>
  <c r="F46" i="35"/>
  <c r="G46" i="35"/>
  <c r="D46" i="35"/>
  <c r="C45" i="35"/>
  <c r="J69" i="32" l="1"/>
  <c r="Q47" i="28" s="1"/>
  <c r="I32" i="27"/>
  <c r="K61" i="32"/>
  <c r="K31" i="27" s="1"/>
  <c r="J74" i="32"/>
  <c r="J72" i="32"/>
  <c r="J30" i="22"/>
  <c r="I30" i="22"/>
  <c r="Q48" i="28" l="1"/>
  <c r="AP69" i="35" s="1"/>
  <c r="K69" i="32"/>
  <c r="J32" i="27"/>
  <c r="K72" i="32"/>
  <c r="M72" i="32" s="1"/>
  <c r="K74" i="32"/>
  <c r="M74" i="32" s="1"/>
  <c r="H33" i="27"/>
  <c r="K32" i="27" l="1"/>
  <c r="I33" i="27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40" i="2"/>
  <c r="L40" i="2" s="1"/>
  <c r="M40" i="2" s="1"/>
  <c r="E39" i="2"/>
  <c r="F39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8" i="26"/>
  <c r="H46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B94" i="29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5" i="30" l="1"/>
  <c r="AD8" i="29"/>
  <c r="AK36" i="35"/>
  <c r="AD11" i="29"/>
  <c r="AD12" i="29"/>
  <c r="AN34" i="35"/>
  <c r="AD7" i="29"/>
  <c r="AN29" i="35"/>
  <c r="AN36" i="35" s="1"/>
  <c r="AD13" i="29"/>
  <c r="B59" i="30"/>
  <c r="R64" i="27"/>
  <c r="B64" i="27"/>
  <c r="B53" i="28"/>
  <c r="B127" i="1"/>
  <c r="B67" i="26"/>
  <c r="AB25" i="30" l="1"/>
  <c r="AF25" i="30" s="1"/>
  <c r="E19" i="35"/>
  <c r="F19" i="35"/>
  <c r="G19" i="35"/>
  <c r="D19" i="35"/>
  <c r="AD25" i="30" l="1"/>
  <c r="K17" i="28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AG35" i="35"/>
  <c r="AG34" i="35"/>
  <c r="AG33" i="35"/>
  <c r="AG32" i="35"/>
  <c r="AG31" i="35"/>
  <c r="AG30" i="35"/>
  <c r="AG29" i="35"/>
  <c r="AG36" i="35" l="1"/>
  <c r="Y27" i="29"/>
  <c r="F121" i="1" l="1"/>
  <c r="W39" i="35" l="1"/>
  <c r="X39" i="35"/>
  <c r="Y39" i="35"/>
  <c r="R39" i="35"/>
  <c r="K57" i="32" l="1"/>
  <c r="V66" i="35" l="1"/>
  <c r="W66" i="35" l="1"/>
  <c r="G51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2" i="26" l="1"/>
  <c r="F76" i="35" l="1"/>
  <c r="E87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4" i="35"/>
  <c r="D74" i="35"/>
  <c r="N73" i="35"/>
  <c r="L73" i="35"/>
  <c r="J73" i="35"/>
  <c r="H73" i="35"/>
  <c r="F73" i="35"/>
  <c r="D73" i="35"/>
  <c r="K8" i="20" l="1"/>
  <c r="E15" i="35" s="1"/>
  <c r="R199" i="35"/>
  <c r="M8" i="20" l="1"/>
  <c r="F15" i="35" s="1"/>
  <c r="D94" i="29"/>
  <c r="V68" i="35"/>
  <c r="W68" i="35"/>
  <c r="X68" i="35"/>
  <c r="Y68" i="35"/>
  <c r="O8" i="20" l="1"/>
  <c r="G15" i="35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4" i="35"/>
  <c r="H54" i="35"/>
  <c r="J54" i="35"/>
  <c r="L54" i="35"/>
  <c r="N54" i="35"/>
  <c r="D54" i="35"/>
  <c r="F52" i="35"/>
  <c r="J52" i="35"/>
  <c r="L52" i="35"/>
  <c r="D52" i="35"/>
  <c r="D34" i="35"/>
  <c r="D76" i="35"/>
  <c r="O73" i="35"/>
  <c r="N57" i="35"/>
  <c r="N67" i="35"/>
  <c r="N68" i="35"/>
  <c r="M73" i="35"/>
  <c r="L57" i="35"/>
  <c r="L67" i="35"/>
  <c r="L68" i="35"/>
  <c r="K73" i="35"/>
  <c r="J57" i="35"/>
  <c r="J67" i="35"/>
  <c r="J68" i="35"/>
  <c r="I73" i="35"/>
  <c r="H57" i="35"/>
  <c r="H67" i="35"/>
  <c r="H68" i="35"/>
  <c r="G73" i="35"/>
  <c r="F56" i="35"/>
  <c r="F57" i="35"/>
  <c r="F59" i="35"/>
  <c r="F60" i="35"/>
  <c r="F61" i="35"/>
  <c r="F62" i="35"/>
  <c r="F63" i="35"/>
  <c r="F65" i="35"/>
  <c r="F67" i="35"/>
  <c r="F68" i="35"/>
  <c r="F69" i="35"/>
  <c r="F72" i="35"/>
  <c r="F55" i="35"/>
  <c r="E73" i="35"/>
  <c r="D56" i="35"/>
  <c r="D57" i="35"/>
  <c r="D59" i="35"/>
  <c r="D60" i="35"/>
  <c r="D61" i="35"/>
  <c r="D62" i="35"/>
  <c r="D63" i="35"/>
  <c r="D65" i="35"/>
  <c r="D67" i="35"/>
  <c r="D68" i="35"/>
  <c r="D69" i="35"/>
  <c r="D72" i="35"/>
  <c r="D55" i="35"/>
  <c r="E37" i="35"/>
  <c r="F37" i="35"/>
  <c r="G37" i="35"/>
  <c r="E38" i="35"/>
  <c r="F38" i="35"/>
  <c r="G38" i="35"/>
  <c r="E40" i="35"/>
  <c r="F40" i="35"/>
  <c r="G40" i="35"/>
  <c r="E41" i="35"/>
  <c r="F41" i="35"/>
  <c r="G41" i="35"/>
  <c r="E43" i="35"/>
  <c r="F43" i="35"/>
  <c r="G43" i="35"/>
  <c r="E44" i="35"/>
  <c r="F44" i="35"/>
  <c r="G44" i="35"/>
  <c r="E45" i="35"/>
  <c r="F45" i="35"/>
  <c r="G45" i="35"/>
  <c r="D45" i="35"/>
  <c r="D44" i="35"/>
  <c r="D43" i="35"/>
  <c r="D41" i="35"/>
  <c r="D40" i="35"/>
  <c r="D38" i="35"/>
  <c r="D37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N52" i="35" l="1"/>
  <c r="H94" i="29"/>
  <c r="H8" i="2"/>
  <c r="L8" i="1"/>
  <c r="K11" i="27"/>
  <c r="U25" i="35"/>
  <c r="H23" i="35"/>
  <c r="H28" i="35"/>
  <c r="H26" i="35"/>
  <c r="H20" i="35"/>
  <c r="H18" i="35"/>
  <c r="H29" i="35"/>
  <c r="H16" i="35"/>
  <c r="H21" i="35"/>
  <c r="U5" i="35"/>
  <c r="AG5" i="35" s="1"/>
  <c r="H24" i="35"/>
  <c r="D31" i="35"/>
  <c r="H31" i="35" l="1"/>
  <c r="F40" i="32" l="1"/>
  <c r="J35" i="32"/>
  <c r="J40" i="27" s="1"/>
  <c r="X73" i="35" s="1"/>
  <c r="K35" i="32"/>
  <c r="I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7" i="35" s="1"/>
  <c r="G14" i="20" l="1"/>
  <c r="H19" i="20" s="1"/>
  <c r="E14" i="20"/>
  <c r="F19" i="20" l="1"/>
  <c r="H18" i="20"/>
  <c r="F58" i="35"/>
  <c r="D58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Q3" i="33" s="1"/>
  <c r="AG14" i="35"/>
  <c r="G52" i="27"/>
  <c r="H52" i="27" s="1"/>
  <c r="AG9" i="35"/>
  <c r="F52" i="27"/>
  <c r="F60" i="27"/>
  <c r="AE18" i="35" s="1"/>
  <c r="G60" i="27"/>
  <c r="AG18" i="35" s="1"/>
  <c r="C3" i="33" l="1"/>
  <c r="D3" i="33" s="1"/>
  <c r="E16" i="30"/>
  <c r="G82" i="32"/>
  <c r="H57" i="27"/>
  <c r="AG10" i="35"/>
  <c r="I52" i="27"/>
  <c r="AG17" i="35"/>
  <c r="H59" i="27"/>
  <c r="F43" i="32"/>
  <c r="AE10" i="35"/>
  <c r="AG15" i="35"/>
  <c r="F82" i="32"/>
  <c r="AE15" i="35"/>
  <c r="G61" i="27"/>
  <c r="AG19" i="35" s="1"/>
  <c r="C8" i="33" l="1"/>
  <c r="D8" i="33" s="1"/>
  <c r="E8" i="33" s="1"/>
  <c r="C9" i="33"/>
  <c r="D9" i="33" s="1"/>
  <c r="E9" i="33" s="1"/>
  <c r="F9" i="33" s="1"/>
  <c r="E3" i="33"/>
  <c r="E23" i="30"/>
  <c r="AJ68" i="35"/>
  <c r="F43" i="27"/>
  <c r="G43" i="27"/>
  <c r="H48" i="27"/>
  <c r="I48" i="27" s="1"/>
  <c r="J48" i="27" s="1"/>
  <c r="K48" i="27" s="1"/>
  <c r="F3" i="33" l="1"/>
  <c r="F8" i="33" s="1"/>
  <c r="R3" i="33"/>
  <c r="AM68" i="35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4" i="35" s="1"/>
  <c r="S3" i="33" l="1"/>
  <c r="AG6" i="35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9" i="35" s="1"/>
  <c r="F17" i="20"/>
  <c r="E61" i="35" s="1"/>
  <c r="F23" i="20"/>
  <c r="E67" i="35" s="1"/>
  <c r="F18" i="20"/>
  <c r="E62" i="35" s="1"/>
  <c r="F24" i="20"/>
  <c r="E68" i="35" s="1"/>
  <c r="F27" i="20"/>
  <c r="E72" i="35" s="1"/>
  <c r="F30" i="20"/>
  <c r="E75" i="35" s="1"/>
  <c r="F21" i="20"/>
  <c r="E65" i="35" s="1"/>
  <c r="F16" i="20"/>
  <c r="E60" i="35" s="1"/>
  <c r="E63" i="35"/>
  <c r="F25" i="20"/>
  <c r="E69" i="35" s="1"/>
  <c r="T36" i="35" l="1"/>
  <c r="P29" i="27"/>
  <c r="AT11" i="35" s="1"/>
  <c r="P27" i="27"/>
  <c r="P46" i="27"/>
  <c r="C53" i="34" s="1"/>
  <c r="T42" i="35"/>
  <c r="F51" i="32"/>
  <c r="T24" i="35" s="1"/>
  <c r="E22" i="20"/>
  <c r="D64" i="35"/>
  <c r="P18" i="27"/>
  <c r="F47" i="27"/>
  <c r="P11" i="27"/>
  <c r="P44" i="27"/>
  <c r="C51" i="34" s="1"/>
  <c r="F20" i="20"/>
  <c r="C2" i="34" l="1"/>
  <c r="C26" i="34" s="1"/>
  <c r="P72" i="27"/>
  <c r="P86" i="27"/>
  <c r="D66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4" i="35"/>
  <c r="P19" i="27"/>
  <c r="C27" i="34" s="1"/>
  <c r="H49" i="26"/>
  <c r="H38" i="35" s="1"/>
  <c r="H38" i="26"/>
  <c r="F26" i="20" l="1"/>
  <c r="E70" i="35" s="1"/>
  <c r="F15" i="27"/>
  <c r="E66" i="35"/>
  <c r="P21" i="27"/>
  <c r="E31" i="20"/>
  <c r="D70" i="35"/>
  <c r="C28" i="34" l="1"/>
  <c r="P22" i="27"/>
  <c r="AI8" i="35"/>
  <c r="F31" i="20"/>
  <c r="P24" i="27" s="1"/>
  <c r="C29" i="34" s="1"/>
  <c r="D75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3" i="28"/>
  <c r="M59" i="30"/>
  <c r="M100" i="30" s="1"/>
  <c r="G64" i="27"/>
  <c r="G101" i="32"/>
  <c r="K36" i="20"/>
  <c r="D67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6" i="2"/>
  <c r="G16" i="2" s="1"/>
  <c r="H16" i="2" s="1"/>
  <c r="L35" i="1" l="1"/>
  <c r="Y38" i="35"/>
  <c r="X38" i="35"/>
  <c r="Y33" i="35"/>
  <c r="U52" i="30" l="1"/>
  <c r="C20" i="33"/>
  <c r="C30" i="33" s="1"/>
  <c r="G89" i="32"/>
  <c r="H89" i="32" s="1"/>
  <c r="C34" i="33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AK54" i="35" s="1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40" i="30"/>
  <c r="S26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8" i="29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9" i="2"/>
  <c r="D20" i="2"/>
  <c r="D26" i="2"/>
  <c r="F26" i="2" s="1"/>
  <c r="G26" i="2" s="1"/>
  <c r="H26" i="2" s="1"/>
  <c r="D27" i="2"/>
  <c r="F27" i="2" s="1"/>
  <c r="G27" i="2" s="1"/>
  <c r="H27" i="2" s="1"/>
  <c r="D33" i="2"/>
  <c r="D34" i="2"/>
  <c r="D40" i="2"/>
  <c r="E40" i="2" s="1"/>
  <c r="D41" i="2"/>
  <c r="F46" i="2"/>
  <c r="D47" i="2"/>
  <c r="E47" i="2" s="1"/>
  <c r="E45" i="2" s="1"/>
  <c r="K47" i="2"/>
  <c r="L47" i="2" s="1"/>
  <c r="M47" i="2" s="1"/>
  <c r="D48" i="2"/>
  <c r="E48" i="2" s="1"/>
  <c r="E53" i="2"/>
  <c r="K53" i="2"/>
  <c r="L53" i="2" s="1"/>
  <c r="M53" i="2" s="1"/>
  <c r="D54" i="2"/>
  <c r="E54" i="2" s="1"/>
  <c r="K54" i="2"/>
  <c r="D55" i="2"/>
  <c r="E55" i="2" s="1"/>
  <c r="F55" i="2" s="1"/>
  <c r="G55" i="2" s="1"/>
  <c r="G56" i="2" s="1"/>
  <c r="E60" i="2"/>
  <c r="K60" i="2"/>
  <c r="L60" i="2" s="1"/>
  <c r="M60" i="2" s="1"/>
  <c r="D61" i="2"/>
  <c r="E61" i="2" s="1"/>
  <c r="K61" i="2"/>
  <c r="D62" i="2"/>
  <c r="E62" i="2" s="1"/>
  <c r="E67" i="2"/>
  <c r="K67" i="2"/>
  <c r="L67" i="2" s="1"/>
  <c r="M67" i="2" s="1"/>
  <c r="D68" i="2"/>
  <c r="E68" i="2" s="1"/>
  <c r="K68" i="2"/>
  <c r="D69" i="2"/>
  <c r="E69" i="2" s="1"/>
  <c r="F69" i="2" s="1"/>
  <c r="F70" i="2" s="1"/>
  <c r="E74" i="2"/>
  <c r="K74" i="2"/>
  <c r="D75" i="2"/>
  <c r="E75" i="2" s="1"/>
  <c r="K75" i="2"/>
  <c r="L75" i="2" s="1"/>
  <c r="M75" i="2" s="1"/>
  <c r="D76" i="2"/>
  <c r="E76" i="2" s="1"/>
  <c r="K81" i="2"/>
  <c r="L81" i="2" s="1"/>
  <c r="M81" i="2" s="1"/>
  <c r="D82" i="2"/>
  <c r="E82" i="2" s="1"/>
  <c r="K82" i="2"/>
  <c r="L82" i="2" s="1"/>
  <c r="M82" i="2" s="1"/>
  <c r="D83" i="2"/>
  <c r="E83" i="2" s="1"/>
  <c r="F83" i="2" s="1"/>
  <c r="G83" i="2" s="1"/>
  <c r="H83" i="2" s="1"/>
  <c r="H2" i="1"/>
  <c r="F7" i="1"/>
  <c r="H9" i="1"/>
  <c r="J9" i="1" s="1"/>
  <c r="L9" i="1" s="1"/>
  <c r="H13" i="1"/>
  <c r="Q13" i="1"/>
  <c r="R13" i="1" s="1"/>
  <c r="H14" i="1"/>
  <c r="AA26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6" i="30" s="1"/>
  <c r="S21" i="30"/>
  <c r="S46" i="30" s="1"/>
  <c r="B24" i="30"/>
  <c r="H12" i="22" s="1"/>
  <c r="S24" i="30"/>
  <c r="S42" i="30"/>
  <c r="S43" i="30"/>
  <c r="B48" i="30"/>
  <c r="B49" i="30" s="1"/>
  <c r="B50" i="30" s="1"/>
  <c r="B51" i="30" s="1"/>
  <c r="B52" i="30" s="1"/>
  <c r="S51" i="30"/>
  <c r="T51" i="30" s="1"/>
  <c r="I61" i="30"/>
  <c r="J61" i="30"/>
  <c r="N61" i="30"/>
  <c r="D63" i="30"/>
  <c r="G95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8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62" i="26"/>
  <c r="E62" i="26"/>
  <c r="F62" i="26"/>
  <c r="F49" i="35" s="1"/>
  <c r="G62" i="26"/>
  <c r="D44" i="26"/>
  <c r="D45" i="26"/>
  <c r="H48" i="26"/>
  <c r="H37" i="35" s="1"/>
  <c r="H51" i="26"/>
  <c r="H40" i="35" s="1"/>
  <c r="H52" i="26"/>
  <c r="H41" i="35" s="1"/>
  <c r="H55" i="26"/>
  <c r="H43" i="35" s="1"/>
  <c r="H56" i="26"/>
  <c r="H44" i="35" s="1"/>
  <c r="H57" i="26"/>
  <c r="H45" i="35" s="1"/>
  <c r="B66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M24" i="28"/>
  <c r="AL44" i="35" s="1"/>
  <c r="R7" i="29"/>
  <c r="C31" i="33"/>
  <c r="D20" i="33"/>
  <c r="G62" i="35"/>
  <c r="H34" i="32"/>
  <c r="C32" i="33"/>
  <c r="C28" i="33"/>
  <c r="C33" i="33"/>
  <c r="I41" i="33" s="1"/>
  <c r="C29" i="33"/>
  <c r="N17" i="28"/>
  <c r="AM35" i="35" s="1"/>
  <c r="R13" i="29"/>
  <c r="O11" i="29"/>
  <c r="F48" i="2"/>
  <c r="G48" i="2" s="1"/>
  <c r="Q59" i="1"/>
  <c r="R59" i="1" s="1"/>
  <c r="E19" i="2" l="1"/>
  <c r="F19" i="2" s="1"/>
  <c r="G19" i="2" s="1"/>
  <c r="H19" i="2" s="1"/>
  <c r="R18" i="29"/>
  <c r="J39" i="28"/>
  <c r="M25" i="28"/>
  <c r="AL45" i="35" s="1"/>
  <c r="R18" i="28"/>
  <c r="U49" i="30"/>
  <c r="H55" i="2"/>
  <c r="H56" i="2" s="1"/>
  <c r="F56" i="2"/>
  <c r="E56" i="2"/>
  <c r="F47" i="2"/>
  <c r="G47" i="2" s="1"/>
  <c r="H47" i="2" s="1"/>
  <c r="F34" i="2"/>
  <c r="G34" i="2" s="1"/>
  <c r="H34" i="2" s="1"/>
  <c r="F33" i="2"/>
  <c r="F20" i="2"/>
  <c r="G20" i="2" s="1"/>
  <c r="H20" i="2" s="1"/>
  <c r="F23" i="22"/>
  <c r="F24" i="22" s="1"/>
  <c r="C32" i="22"/>
  <c r="C33" i="22" s="1"/>
  <c r="R64" i="1"/>
  <c r="H64" i="1"/>
  <c r="U28" i="30" s="1"/>
  <c r="G28" i="30" s="1"/>
  <c r="H77" i="1"/>
  <c r="G39" i="33"/>
  <c r="Q86" i="27"/>
  <c r="AO26" i="30"/>
  <c r="R79" i="27"/>
  <c r="Q81" i="27"/>
  <c r="G52" i="30"/>
  <c r="S52" i="30" s="1"/>
  <c r="T52" i="30" s="1"/>
  <c r="B86" i="2"/>
  <c r="B125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D24" i="29"/>
  <c r="AO54" i="35"/>
  <c r="AI59" i="35"/>
  <c r="AB36" i="35"/>
  <c r="J3" i="29"/>
  <c r="J38" i="29" s="1"/>
  <c r="AE40" i="35"/>
  <c r="AJ29" i="35"/>
  <c r="AJ36" i="35" s="1"/>
  <c r="C50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M17" i="29" s="1"/>
  <c r="O17" i="29" s="1"/>
  <c r="H25" i="28" s="1"/>
  <c r="AG45" i="35" s="1"/>
  <c r="U7" i="29"/>
  <c r="U47" i="29"/>
  <c r="K42" i="28" s="1"/>
  <c r="AJ64" i="35" s="1"/>
  <c r="R17" i="28"/>
  <c r="D45" i="1"/>
  <c r="AD53" i="29"/>
  <c r="AF53" i="29" s="1"/>
  <c r="AL53" i="29" s="1"/>
  <c r="AF64" i="29" s="1"/>
  <c r="E49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52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AP66" i="35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9" i="35"/>
  <c r="E49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75" i="2"/>
  <c r="G75" i="2" s="1"/>
  <c r="H75" i="2" s="1"/>
  <c r="K13" i="22"/>
  <c r="L13" i="22"/>
  <c r="H108" i="1"/>
  <c r="J108" i="1" s="1"/>
  <c r="H53" i="1"/>
  <c r="E59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5" i="30"/>
  <c r="Q80" i="1"/>
  <c r="R80" i="1" s="1"/>
  <c r="H80" i="1"/>
  <c r="E41" i="2"/>
  <c r="F41" i="2" s="1"/>
  <c r="G41" i="2" s="1"/>
  <c r="H41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K18" i="29"/>
  <c r="AK27" i="29"/>
  <c r="AM27" i="29" s="1"/>
  <c r="R16" i="29"/>
  <c r="R28" i="29" s="1"/>
  <c r="S9" i="29"/>
  <c r="S8" i="29"/>
  <c r="J76" i="35"/>
  <c r="H76" i="35"/>
  <c r="G18" i="30"/>
  <c r="H56" i="35"/>
  <c r="C6" i="22"/>
  <c r="C7" i="22" s="1"/>
  <c r="H20" i="32" s="1"/>
  <c r="C108" i="29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M14" i="29" s="1"/>
  <c r="T17" i="22"/>
  <c r="V17" i="22"/>
  <c r="V13" i="22"/>
  <c r="M13" i="22"/>
  <c r="C19" i="33"/>
  <c r="E66" i="2"/>
  <c r="F61" i="2"/>
  <c r="E73" i="2"/>
  <c r="T10" i="27"/>
  <c r="C122" i="29"/>
  <c r="V14" i="35"/>
  <c r="F40" i="2"/>
  <c r="G40" i="2" s="1"/>
  <c r="E38" i="2"/>
  <c r="H72" i="1"/>
  <c r="U36" i="35"/>
  <c r="U40" i="35"/>
  <c r="V29" i="35"/>
  <c r="G38" i="32"/>
  <c r="U15" i="35" s="1"/>
  <c r="U17" i="35"/>
  <c r="U7" i="35"/>
  <c r="U9" i="35"/>
  <c r="Q14" i="27"/>
  <c r="F77" i="35" s="1"/>
  <c r="B5" i="1"/>
  <c r="B6" i="35"/>
  <c r="F16" i="26"/>
  <c r="G16" i="26" s="1"/>
  <c r="G34" i="35" s="1"/>
  <c r="E34" i="35"/>
  <c r="L27" i="1"/>
  <c r="H18" i="30"/>
  <c r="K12" i="20"/>
  <c r="J56" i="35" s="1"/>
  <c r="E5" i="1"/>
  <c r="F8" i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7" i="2" s="1"/>
  <c r="D99" i="30"/>
  <c r="C36" i="22"/>
  <c r="C39" i="22" s="1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12" i="2"/>
  <c r="H58" i="1"/>
  <c r="G40" i="32"/>
  <c r="D10" i="22"/>
  <c r="I25" i="27" s="1"/>
  <c r="B6" i="27"/>
  <c r="M6" i="27" s="1"/>
  <c r="B5" i="2"/>
  <c r="D64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AI15" i="35"/>
  <c r="G43" i="3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6" i="30" s="1"/>
  <c r="I9" i="30"/>
  <c r="J9" i="30" s="1"/>
  <c r="T11" i="29"/>
  <c r="F74" i="1"/>
  <c r="M24" i="29"/>
  <c r="O24" i="29" s="1"/>
  <c r="T8" i="29"/>
  <c r="U10" i="29"/>
  <c r="AH37" i="29"/>
  <c r="X12" i="29"/>
  <c r="F74" i="2"/>
  <c r="J35" i="29"/>
  <c r="L35" i="29" s="1"/>
  <c r="B36" i="20"/>
  <c r="H95" i="30"/>
  <c r="I39" i="28"/>
  <c r="H114" i="1"/>
  <c r="J114" i="1" s="1"/>
  <c r="L114" i="1" s="1"/>
  <c r="E43" i="22"/>
  <c r="E46" i="22" s="1"/>
  <c r="E47" i="22" s="1"/>
  <c r="J15" i="32" s="1"/>
  <c r="E103" i="29" s="1"/>
  <c r="R15" i="27"/>
  <c r="P25" i="28"/>
  <c r="X53" i="29"/>
  <c r="Z53" i="29" s="1"/>
  <c r="AE64" i="29" s="1"/>
  <c r="L2" i="22"/>
  <c r="AJ65" i="29"/>
  <c r="B100" i="29"/>
  <c r="E31" i="2"/>
  <c r="E35" i="2" s="1"/>
  <c r="N35" i="29"/>
  <c r="K27" i="29"/>
  <c r="D100" i="30"/>
  <c r="R10" i="27"/>
  <c r="F53" i="2"/>
  <c r="G53" i="2" s="1"/>
  <c r="H53" i="2" s="1"/>
  <c r="M26" i="29"/>
  <c r="O26" i="29" s="1"/>
  <c r="G69" i="2"/>
  <c r="G70" i="2" s="1"/>
  <c r="E70" i="2"/>
  <c r="F46" i="1"/>
  <c r="O13" i="22"/>
  <c r="Q55" i="1"/>
  <c r="H48" i="2"/>
  <c r="B106" i="29"/>
  <c r="D28" i="33"/>
  <c r="L43" i="29"/>
  <c r="F81" i="2"/>
  <c r="G81" i="2" s="1"/>
  <c r="H81" i="2" s="1"/>
  <c r="P30" i="28"/>
  <c r="H106" i="1"/>
  <c r="Q72" i="1"/>
  <c r="R72" i="1" s="1"/>
  <c r="H68" i="1"/>
  <c r="J68" i="1" s="1"/>
  <c r="L68" i="1" s="1"/>
  <c r="F45" i="2"/>
  <c r="F49" i="2" s="1"/>
  <c r="D34" i="33"/>
  <c r="D19" i="33"/>
  <c r="X34" i="29"/>
  <c r="X37" i="29" s="1"/>
  <c r="V37" i="29"/>
  <c r="E77" i="2"/>
  <c r="F76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9" i="35" s="1"/>
  <c r="O14" i="29"/>
  <c r="D30" i="33"/>
  <c r="H23" i="20"/>
  <c r="G67" i="35" s="1"/>
  <c r="G20" i="20"/>
  <c r="F64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61" i="2"/>
  <c r="M61" i="2" s="1"/>
  <c r="T13" i="22"/>
  <c r="H73" i="1"/>
  <c r="J73" i="1" s="1"/>
  <c r="L73" i="1" s="1"/>
  <c r="H115" i="1"/>
  <c r="J115" i="1" s="1"/>
  <c r="L115" i="1" s="1"/>
  <c r="G63" i="35"/>
  <c r="H96" i="1"/>
  <c r="J96" i="1" s="1"/>
  <c r="L96" i="1" s="1"/>
  <c r="H100" i="1"/>
  <c r="J100" i="1" s="1"/>
  <c r="L100" i="1" s="1"/>
  <c r="H17" i="20"/>
  <c r="G61" i="35" s="1"/>
  <c r="Q58" i="1"/>
  <c r="R58" i="1" s="1"/>
  <c r="F107" i="1"/>
  <c r="Q13" i="22"/>
  <c r="G3" i="27"/>
  <c r="D33" i="33"/>
  <c r="J41" i="33" s="1"/>
  <c r="H21" i="20"/>
  <c r="G65" i="35" s="1"/>
  <c r="H27" i="20"/>
  <c r="G72" i="35" s="1"/>
  <c r="H95" i="1"/>
  <c r="J95" i="1" s="1"/>
  <c r="L95" i="1" s="1"/>
  <c r="H71" i="1"/>
  <c r="J71" i="1" s="1"/>
  <c r="L71" i="1" s="1"/>
  <c r="F67" i="2"/>
  <c r="G67" i="2" s="1"/>
  <c r="H67" i="2" s="1"/>
  <c r="P13" i="22"/>
  <c r="E6" i="22"/>
  <c r="H30" i="20"/>
  <c r="G75" i="35" s="1"/>
  <c r="H90" i="1"/>
  <c r="J90" i="1" s="1"/>
  <c r="L90" i="1" s="1"/>
  <c r="B28" i="29"/>
  <c r="L17" i="22"/>
  <c r="D29" i="33"/>
  <c r="H16" i="20"/>
  <c r="J16" i="20" s="1"/>
  <c r="L16" i="20" s="1"/>
  <c r="H29" i="20"/>
  <c r="G74" i="35" s="1"/>
  <c r="H15" i="20"/>
  <c r="G59" i="35" s="1"/>
  <c r="AB36" i="29"/>
  <c r="AD36" i="29" s="1"/>
  <c r="AD37" i="29" s="1"/>
  <c r="H70" i="1"/>
  <c r="J70" i="1" s="1"/>
  <c r="L70" i="1" s="1"/>
  <c r="AJ37" i="29"/>
  <c r="H42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6" i="30" s="1"/>
  <c r="F63" i="1"/>
  <c r="F79" i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H24" i="1"/>
  <c r="AN26" i="30" s="1"/>
  <c r="J13" i="1"/>
  <c r="I11" i="32"/>
  <c r="W6" i="35" s="1"/>
  <c r="F23" i="2"/>
  <c r="G23" i="2" s="1"/>
  <c r="H23" i="2" s="1"/>
  <c r="H40" i="33"/>
  <c r="L74" i="2"/>
  <c r="M74" i="2" s="1"/>
  <c r="F60" i="2"/>
  <c r="G46" i="2"/>
  <c r="G39" i="2"/>
  <c r="H39" i="2" s="1"/>
  <c r="E28" i="2"/>
  <c r="J14" i="1"/>
  <c r="R110" i="1"/>
  <c r="O13" i="30"/>
  <c r="X13" i="29"/>
  <c r="AJ43" i="29"/>
  <c r="AE60" i="29"/>
  <c r="AB64" i="29"/>
  <c r="AB56" i="29"/>
  <c r="E63" i="2"/>
  <c r="F62" i="2"/>
  <c r="T13" i="29"/>
  <c r="I46" i="27"/>
  <c r="S10" i="27"/>
  <c r="R12" i="29"/>
  <c r="AJ12" i="29" s="1"/>
  <c r="I18" i="28"/>
  <c r="E20" i="33"/>
  <c r="D32" i="33"/>
  <c r="H48" i="1"/>
  <c r="Q10" i="27"/>
  <c r="G46" i="27"/>
  <c r="R78" i="1"/>
  <c r="F68" i="2"/>
  <c r="L68" i="2"/>
  <c r="M68" i="2" s="1"/>
  <c r="L54" i="2"/>
  <c r="M54" i="2" s="1"/>
  <c r="F54" i="2"/>
  <c r="D31" i="33"/>
  <c r="P47" i="29"/>
  <c r="F82" i="2"/>
  <c r="E80" i="2"/>
  <c r="E84" i="2" s="1"/>
  <c r="V50" i="29"/>
  <c r="E45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I40" i="32" l="1"/>
  <c r="J50" i="27"/>
  <c r="K26" i="27"/>
  <c r="M35" i="29"/>
  <c r="Q17" i="29"/>
  <c r="W17" i="29" s="1"/>
  <c r="AC17" i="29" s="1"/>
  <c r="AI17" i="29" s="1"/>
  <c r="AF22" i="29"/>
  <c r="S26" i="29"/>
  <c r="U26" i="29" s="1"/>
  <c r="B97" i="29"/>
  <c r="AI26" i="30"/>
  <c r="AK26" i="30" s="1"/>
  <c r="J121" i="1"/>
  <c r="U36" i="30"/>
  <c r="H36" i="30" s="1"/>
  <c r="B95" i="29"/>
  <c r="J53" i="1"/>
  <c r="L53" i="1" s="1"/>
  <c r="U27" i="30"/>
  <c r="G33" i="2"/>
  <c r="H33" i="2" s="1"/>
  <c r="H31" i="2" s="1"/>
  <c r="F31" i="2"/>
  <c r="J110" i="1"/>
  <c r="J111" i="1"/>
  <c r="V28" i="29"/>
  <c r="Z23" i="29"/>
  <c r="M12" i="20"/>
  <c r="D2" i="34"/>
  <c r="D26" i="34" s="1"/>
  <c r="Q72" i="27"/>
  <c r="AN25" i="30"/>
  <c r="H87" i="32"/>
  <c r="I87" i="32"/>
  <c r="AP67" i="35"/>
  <c r="N44" i="29"/>
  <c r="S61" i="29" s="1"/>
  <c r="J56" i="29"/>
  <c r="AP26" i="30"/>
  <c r="Z26" i="30"/>
  <c r="AE67" i="35"/>
  <c r="U48" i="30"/>
  <c r="G48" i="30" s="1"/>
  <c r="S48" i="30" s="1"/>
  <c r="T48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AA8" i="29"/>
  <c r="AM30" i="35"/>
  <c r="Q27" i="27"/>
  <c r="E42" i="2"/>
  <c r="M2" i="22"/>
  <c r="Q29" i="27"/>
  <c r="H43" i="32"/>
  <c r="AI10" i="35"/>
  <c r="H45" i="32"/>
  <c r="AI13" i="35"/>
  <c r="AK8" i="35"/>
  <c r="J76" i="1"/>
  <c r="L76" i="1" s="1"/>
  <c r="O50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AA25" i="29" s="1"/>
  <c r="H45" i="28"/>
  <c r="G45" i="28"/>
  <c r="G50" i="28" s="1"/>
  <c r="S20" i="29"/>
  <c r="U20" i="29" s="1"/>
  <c r="K29" i="28" s="1"/>
  <c r="AJ49" i="35" s="1"/>
  <c r="P28" i="29"/>
  <c r="Y19" i="29"/>
  <c r="F45" i="26"/>
  <c r="F73" i="2"/>
  <c r="F50" i="28"/>
  <c r="AE72" i="35" s="1"/>
  <c r="H93" i="32"/>
  <c r="H94" i="32" s="1"/>
  <c r="F45" i="1"/>
  <c r="F17" i="2"/>
  <c r="F21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F34" i="1"/>
  <c r="F39" i="1"/>
  <c r="L49" i="30"/>
  <c r="R49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O12" i="1"/>
  <c r="E8" i="2"/>
  <c r="O17" i="1"/>
  <c r="J118" i="1"/>
  <c r="L121" i="1"/>
  <c r="J80" i="1"/>
  <c r="L80" i="1" s="1"/>
  <c r="L79" i="1" s="1"/>
  <c r="I50" i="28"/>
  <c r="AH72" i="35" s="1"/>
  <c r="AJ22" i="29"/>
  <c r="AK22" i="29" s="1"/>
  <c r="AM22" i="29" s="1"/>
  <c r="J17" i="27"/>
  <c r="X56" i="35" s="1"/>
  <c r="L50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9" i="35"/>
  <c r="H62" i="26"/>
  <c r="H49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6" i="30"/>
  <c r="E24" i="22"/>
  <c r="L91" i="1"/>
  <c r="G51" i="32"/>
  <c r="U24" i="35" s="1"/>
  <c r="F24" i="2"/>
  <c r="F28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6" i="35"/>
  <c r="Y9" i="29"/>
  <c r="O12" i="20"/>
  <c r="N56" i="35" s="1"/>
  <c r="L56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6" i="30" s="1"/>
  <c r="F34" i="33"/>
  <c r="L18" i="28"/>
  <c r="N11" i="28"/>
  <c r="AM29" i="35" s="1"/>
  <c r="J34" i="32"/>
  <c r="X14" i="35" s="1"/>
  <c r="W14" i="35"/>
  <c r="N40" i="29"/>
  <c r="N43" i="29" s="1"/>
  <c r="AA43" i="29"/>
  <c r="L19" i="28"/>
  <c r="K19" i="28"/>
  <c r="AJ38" i="35" s="1"/>
  <c r="H40" i="2"/>
  <c r="H38" i="2" s="1"/>
  <c r="H42" i="2" s="1"/>
  <c r="G38" i="2"/>
  <c r="G42" i="2" s="1"/>
  <c r="F38" i="2"/>
  <c r="F42" i="2" s="1"/>
  <c r="AA56" i="29"/>
  <c r="R56" i="29"/>
  <c r="S60" i="29"/>
  <c r="U42" i="35"/>
  <c r="W29" i="35"/>
  <c r="G60" i="35"/>
  <c r="F34" i="35"/>
  <c r="E3" i="22"/>
  <c r="E17" i="2"/>
  <c r="B58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7" i="2"/>
  <c r="G17" i="2"/>
  <c r="G21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AD56" i="29"/>
  <c r="AD43" i="29"/>
  <c r="Y60" i="29"/>
  <c r="O19" i="28"/>
  <c r="AN38" i="35" s="1"/>
  <c r="J83" i="32"/>
  <c r="P45" i="28"/>
  <c r="H39" i="1"/>
  <c r="Z25" i="29"/>
  <c r="AF25" i="29" s="1"/>
  <c r="AK25" i="29" s="1"/>
  <c r="U17" i="29"/>
  <c r="K25" i="28" s="1"/>
  <c r="AJ45" i="35" s="1"/>
  <c r="T17" i="29"/>
  <c r="Y17" i="29" s="1"/>
  <c r="H69" i="2"/>
  <c r="H70" i="2" s="1"/>
  <c r="AB37" i="29"/>
  <c r="E57" i="29"/>
  <c r="E39" i="29"/>
  <c r="G31" i="2"/>
  <c r="H69" i="1"/>
  <c r="I21" i="30"/>
  <c r="I46" i="30" s="1"/>
  <c r="I95" i="30"/>
  <c r="R55" i="1"/>
  <c r="H94" i="1"/>
  <c r="L99" i="1"/>
  <c r="L78" i="1"/>
  <c r="L17" i="1"/>
  <c r="H107" i="1"/>
  <c r="H20" i="20"/>
  <c r="Q18" i="27"/>
  <c r="X28" i="29"/>
  <c r="S15" i="30"/>
  <c r="T15" i="30" s="1"/>
  <c r="G61" i="2"/>
  <c r="H61" i="2" s="1"/>
  <c r="N2" i="22"/>
  <c r="J21" i="30"/>
  <c r="J46" i="30" s="1"/>
  <c r="J95" i="30"/>
  <c r="J94" i="1"/>
  <c r="M61" i="29"/>
  <c r="N56" i="29"/>
  <c r="T44" i="29"/>
  <c r="G76" i="2"/>
  <c r="F77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D100" i="29"/>
  <c r="F30" i="2"/>
  <c r="G30" i="2" s="1"/>
  <c r="H30" i="2" s="1"/>
  <c r="G74" i="2"/>
  <c r="G60" i="2"/>
  <c r="F59" i="2"/>
  <c r="I40" i="33"/>
  <c r="G24" i="2"/>
  <c r="G28" i="2" s="1"/>
  <c r="H37" i="1"/>
  <c r="L14" i="1"/>
  <c r="F20" i="33"/>
  <c r="E32" i="33"/>
  <c r="E29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54" i="2"/>
  <c r="F52" i="2"/>
  <c r="N76" i="35"/>
  <c r="T15" i="27"/>
  <c r="K18" i="28"/>
  <c r="U12" i="29"/>
  <c r="U14" i="29" s="1"/>
  <c r="Z13" i="29"/>
  <c r="AE13" i="29" s="1"/>
  <c r="P62" i="29"/>
  <c r="T47" i="29"/>
  <c r="P56" i="29"/>
  <c r="Z19" i="29"/>
  <c r="K11" i="32"/>
  <c r="Y6" i="35" s="1"/>
  <c r="G45" i="26"/>
  <c r="F3" i="22"/>
  <c r="L108" i="1"/>
  <c r="J107" i="1"/>
  <c r="J28" i="30"/>
  <c r="L28" i="30"/>
  <c r="N28" i="30"/>
  <c r="Q28" i="30"/>
  <c r="P28" i="30"/>
  <c r="R28" i="30"/>
  <c r="M28" i="30"/>
  <c r="I28" i="30"/>
  <c r="H28" i="30"/>
  <c r="K28" i="30"/>
  <c r="O28" i="30"/>
  <c r="J74" i="1"/>
  <c r="F35" i="2"/>
  <c r="G68" i="2"/>
  <c r="F66" i="2"/>
  <c r="J48" i="1"/>
  <c r="T12" i="29"/>
  <c r="Y12" i="29" s="1"/>
  <c r="P13" i="30"/>
  <c r="G82" i="2"/>
  <c r="F80" i="2"/>
  <c r="F84" i="2" s="1"/>
  <c r="J113" i="1"/>
  <c r="G62" i="2"/>
  <c r="F63" i="2"/>
  <c r="AA13" i="29"/>
  <c r="J59" i="27"/>
  <c r="AM17" i="35" s="1"/>
  <c r="J40" i="32"/>
  <c r="O36" i="30" l="1"/>
  <c r="M36" i="30"/>
  <c r="P36" i="30"/>
  <c r="J36" i="30"/>
  <c r="Q36" i="30"/>
  <c r="AL26" i="30"/>
  <c r="I36" i="30"/>
  <c r="G36" i="30"/>
  <c r="K36" i="30"/>
  <c r="R36" i="30"/>
  <c r="L36" i="30"/>
  <c r="N36" i="30"/>
  <c r="AP25" i="30"/>
  <c r="AS25" i="30" s="1"/>
  <c r="AV25" i="30" s="1"/>
  <c r="AM26" i="30"/>
  <c r="AR26" i="30"/>
  <c r="D97" i="29"/>
  <c r="D95" i="29"/>
  <c r="U29" i="30" s="1"/>
  <c r="Q29" i="30" s="1"/>
  <c r="U23" i="22" s="1"/>
  <c r="U24" i="22" s="1"/>
  <c r="M27" i="30"/>
  <c r="Q18" i="22" s="1"/>
  <c r="Q19" i="22" s="1"/>
  <c r="P27" i="30"/>
  <c r="T18" i="22" s="1"/>
  <c r="T19" i="22" s="1"/>
  <c r="H27" i="30"/>
  <c r="L18" i="22" s="1"/>
  <c r="L19" i="22" s="1"/>
  <c r="I27" i="30"/>
  <c r="M18" i="22" s="1"/>
  <c r="M19" i="22" s="1"/>
  <c r="J27" i="30"/>
  <c r="N18" i="22" s="1"/>
  <c r="N19" i="22" s="1"/>
  <c r="L27" i="30"/>
  <c r="P18" i="22" s="1"/>
  <c r="P19" i="22" s="1"/>
  <c r="G27" i="30"/>
  <c r="N27" i="30"/>
  <c r="R18" i="22" s="1"/>
  <c r="R19" i="22" s="1"/>
  <c r="O27" i="30"/>
  <c r="S18" i="22" s="1"/>
  <c r="S19" i="22" s="1"/>
  <c r="R27" i="30"/>
  <c r="V18" i="22" s="1"/>
  <c r="V19" i="22" s="1"/>
  <c r="Q27" i="30"/>
  <c r="U18" i="22" s="1"/>
  <c r="U19" i="22" s="1"/>
  <c r="K27" i="30"/>
  <c r="O18" i="22" s="1"/>
  <c r="O19" i="22" s="1"/>
  <c r="G122" i="1"/>
  <c r="G123" i="1"/>
  <c r="J87" i="32"/>
  <c r="K87" i="32"/>
  <c r="B96" i="29"/>
  <c r="U37" i="30"/>
  <c r="I37" i="30" s="1"/>
  <c r="H42" i="1"/>
  <c r="J42" i="1" s="1"/>
  <c r="L42" i="1" s="1"/>
  <c r="U35" i="30"/>
  <c r="AS26" i="30"/>
  <c r="AT26" i="30" s="1"/>
  <c r="AB26" i="30"/>
  <c r="AF26" i="30" s="1"/>
  <c r="AF72" i="35"/>
  <c r="U47" i="30"/>
  <c r="I47" i="30" s="1"/>
  <c r="I53" i="30" s="1"/>
  <c r="H62" i="32"/>
  <c r="V34" i="35" s="1"/>
  <c r="I30" i="20"/>
  <c r="G120" i="1"/>
  <c r="I18" i="20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6" i="35"/>
  <c r="Q20" i="27"/>
  <c r="Q74" i="27" s="1"/>
  <c r="I43" i="32"/>
  <c r="AK10" i="35"/>
  <c r="F32" i="1"/>
  <c r="R40" i="27" s="1"/>
  <c r="R41" i="27" s="1"/>
  <c r="I45" i="32"/>
  <c r="AK13" i="35"/>
  <c r="L74" i="1"/>
  <c r="AK38" i="35"/>
  <c r="H36" i="27"/>
  <c r="V69" i="35" s="1"/>
  <c r="AA7" i="29"/>
  <c r="AA14" i="29" s="1"/>
  <c r="I21" i="28"/>
  <c r="K45" i="28"/>
  <c r="J45" i="28"/>
  <c r="J50" i="28" s="1"/>
  <c r="AI72" i="35" s="1"/>
  <c r="J79" i="1"/>
  <c r="C49" i="22"/>
  <c r="AF8" i="29"/>
  <c r="AK8" i="29" s="1"/>
  <c r="F19" i="33"/>
  <c r="G32" i="30"/>
  <c r="F11" i="2"/>
  <c r="K15" i="20" s="1"/>
  <c r="E13" i="2"/>
  <c r="E10" i="2"/>
  <c r="I11" i="20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H45" i="1"/>
  <c r="O2" i="22"/>
  <c r="G2" i="33"/>
  <c r="G34" i="33" s="1"/>
  <c r="L9" i="30"/>
  <c r="K95" i="30"/>
  <c r="C48" i="22"/>
  <c r="D60" i="26" s="1"/>
  <c r="D47" i="35" s="1"/>
  <c r="G119" i="1"/>
  <c r="C14" i="22"/>
  <c r="H23" i="32" s="1"/>
  <c r="C111" i="29" s="1"/>
  <c r="J17" i="2"/>
  <c r="H11" i="27"/>
  <c r="R11" i="27" s="1"/>
  <c r="E2" i="34" s="1"/>
  <c r="E26" i="34" s="1"/>
  <c r="AL22" i="29"/>
  <c r="V10" i="35"/>
  <c r="L118" i="1"/>
  <c r="E119" i="1"/>
  <c r="E120" i="1"/>
  <c r="L12" i="1"/>
  <c r="L41" i="1" s="1"/>
  <c r="M50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7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21" i="2"/>
  <c r="E122" i="29"/>
  <c r="E21" i="2"/>
  <c r="N104" i="29"/>
  <c r="H22" i="20"/>
  <c r="D26" i="22"/>
  <c r="D49" i="22" s="1"/>
  <c r="D24" i="22"/>
  <c r="D48" i="22" s="1"/>
  <c r="E60" i="26" s="1"/>
  <c r="E47" i="35" s="1"/>
  <c r="W62" i="35"/>
  <c r="Y62" i="35"/>
  <c r="X14" i="29"/>
  <c r="Y31" i="29" s="1"/>
  <c r="AE11" i="29"/>
  <c r="AF11" i="29"/>
  <c r="Y7" i="29"/>
  <c r="H24" i="2"/>
  <c r="H28" i="2" s="1"/>
  <c r="K36" i="27"/>
  <c r="Y69" i="35" s="1"/>
  <c r="N18" i="28"/>
  <c r="J69" i="1"/>
  <c r="Y29" i="35"/>
  <c r="X29" i="35"/>
  <c r="Q19" i="27"/>
  <c r="D27" i="34" s="1"/>
  <c r="G64" i="35"/>
  <c r="I60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60" i="26" s="1"/>
  <c r="G47" i="35" s="1"/>
  <c r="E48" i="22"/>
  <c r="F60" i="26" s="1"/>
  <c r="F47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S49" i="30"/>
  <c r="T49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6" i="2"/>
  <c r="H77" i="2" s="1"/>
  <c r="G77" i="2"/>
  <c r="AL9" i="29"/>
  <c r="AM25" i="29"/>
  <c r="AL25" i="29"/>
  <c r="C27" i="22"/>
  <c r="H27" i="32" s="1"/>
  <c r="H32" i="1"/>
  <c r="H31" i="1" s="1"/>
  <c r="H44" i="1" s="1"/>
  <c r="K17" i="20" s="1"/>
  <c r="K30" i="20"/>
  <c r="J74" i="35" s="1"/>
  <c r="J11" i="1"/>
  <c r="J85" i="32"/>
  <c r="J64" i="32"/>
  <c r="M30" i="20" s="1"/>
  <c r="L74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12" i="1"/>
  <c r="P17" i="1"/>
  <c r="F8" i="2"/>
  <c r="F37" i="2"/>
  <c r="G37" i="2" s="1"/>
  <c r="H37" i="2" s="1"/>
  <c r="H74" i="2"/>
  <c r="H73" i="2" s="1"/>
  <c r="G73" i="2"/>
  <c r="F10" i="2"/>
  <c r="K11" i="20" s="1"/>
  <c r="I51" i="27" s="1"/>
  <c r="H60" i="2"/>
  <c r="H59" i="2" s="1"/>
  <c r="G59" i="2"/>
  <c r="H46" i="2"/>
  <c r="H45" i="2" s="1"/>
  <c r="H49" i="2" s="1"/>
  <c r="G45" i="2"/>
  <c r="G49" i="2" s="1"/>
  <c r="J40" i="33"/>
  <c r="J37" i="1"/>
  <c r="L37" i="1"/>
  <c r="L48" i="1"/>
  <c r="J46" i="1"/>
  <c r="F28" i="33"/>
  <c r="F31" i="33"/>
  <c r="F32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T21" i="22"/>
  <c r="T22" i="22" s="1"/>
  <c r="M17" i="2"/>
  <c r="H35" i="2"/>
  <c r="G35" i="2"/>
  <c r="S21" i="22"/>
  <c r="S22" i="22" s="1"/>
  <c r="R21" i="22"/>
  <c r="R22" i="22" s="1"/>
  <c r="V21" i="22"/>
  <c r="V22" i="22" s="1"/>
  <c r="H68" i="2"/>
  <c r="H66" i="2" s="1"/>
  <c r="G66" i="2"/>
  <c r="Z47" i="29"/>
  <c r="Y62" i="29"/>
  <c r="T56" i="29"/>
  <c r="L21" i="22"/>
  <c r="L22" i="22" s="1"/>
  <c r="N21" i="22"/>
  <c r="N22" i="22" s="1"/>
  <c r="R17" i="1"/>
  <c r="R12" i="1"/>
  <c r="R62" i="29"/>
  <c r="R65" i="29" s="1"/>
  <c r="P65" i="29"/>
  <c r="H54" i="2"/>
  <c r="H52" i="2" s="1"/>
  <c r="G52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82" i="2"/>
  <c r="H80" i="2" s="1"/>
  <c r="H84" i="2" s="1"/>
  <c r="G80" i="2"/>
  <c r="G84" i="2" s="1"/>
  <c r="Z12" i="29"/>
  <c r="AE12" i="29" s="1"/>
  <c r="T14" i="29"/>
  <c r="H62" i="2"/>
  <c r="H63" i="2" s="1"/>
  <c r="G63" i="2"/>
  <c r="K28" i="28"/>
  <c r="AJ48" i="35" s="1"/>
  <c r="M21" i="22"/>
  <c r="M22" i="22" s="1"/>
  <c r="K21" i="22"/>
  <c r="K22" i="22" s="1"/>
  <c r="S28" i="30"/>
  <c r="T28" i="30" s="1"/>
  <c r="AA19" i="29"/>
  <c r="AF13" i="29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K50" i="27"/>
  <c r="K40" i="32" s="1"/>
  <c r="G19" i="33" l="1"/>
  <c r="S36" i="30"/>
  <c r="T36" i="30" s="1"/>
  <c r="H47" i="32"/>
  <c r="H51" i="27"/>
  <c r="C121" i="29"/>
  <c r="AJ13" i="29"/>
  <c r="AK13" i="29" s="1"/>
  <c r="G34" i="30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AT25" i="30"/>
  <c r="AW25" i="30" s="1"/>
  <c r="AR25" i="30"/>
  <c r="AU25" i="30" s="1"/>
  <c r="AV26" i="30"/>
  <c r="AD26" i="30"/>
  <c r="AU26" i="30" s="1"/>
  <c r="F97" i="29"/>
  <c r="F95" i="29"/>
  <c r="F96" i="29" s="1"/>
  <c r="H95" i="29"/>
  <c r="H96" i="29" s="1"/>
  <c r="D96" i="29"/>
  <c r="K18" i="22"/>
  <c r="K19" i="22" s="1"/>
  <c r="S27" i="30"/>
  <c r="T27" i="30" s="1"/>
  <c r="I123" i="1"/>
  <c r="I122" i="1"/>
  <c r="H62" i="35"/>
  <c r="O37" i="30"/>
  <c r="Q37" i="30"/>
  <c r="H37" i="30"/>
  <c r="N37" i="30"/>
  <c r="K37" i="30"/>
  <c r="G37" i="30"/>
  <c r="P37" i="30"/>
  <c r="R37" i="30"/>
  <c r="J37" i="30"/>
  <c r="M37" i="30"/>
  <c r="L37" i="30"/>
  <c r="I47" i="32"/>
  <c r="I53" i="27" s="1"/>
  <c r="X27" i="35"/>
  <c r="X52" i="35"/>
  <c r="AM6" i="35"/>
  <c r="AX7" i="35" s="1"/>
  <c r="F70" i="35"/>
  <c r="G15" i="27"/>
  <c r="H74" i="35"/>
  <c r="AO8" i="35"/>
  <c r="G11" i="2"/>
  <c r="M15" i="20" s="1"/>
  <c r="F31" i="1"/>
  <c r="F44" i="1" s="1"/>
  <c r="I17" i="20" s="1"/>
  <c r="H91" i="32" s="1"/>
  <c r="V47" i="35" s="1"/>
  <c r="G66" i="35"/>
  <c r="Q21" i="27"/>
  <c r="P2" i="22"/>
  <c r="L21" i="30"/>
  <c r="L46" i="30" s="1"/>
  <c r="L95" i="30"/>
  <c r="J43" i="32"/>
  <c r="J45" i="32"/>
  <c r="L21" i="28"/>
  <c r="V4" i="29" s="1"/>
  <c r="P102" i="29" s="1"/>
  <c r="AK27" i="35"/>
  <c r="AK41" i="35" s="1"/>
  <c r="AK61" i="35" s="1"/>
  <c r="I36" i="27"/>
  <c r="W69" i="35" s="1"/>
  <c r="H47" i="30"/>
  <c r="H53" i="30" s="1"/>
  <c r="L47" i="30"/>
  <c r="L53" i="30" s="1"/>
  <c r="R47" i="30"/>
  <c r="R53" i="30" s="1"/>
  <c r="Q47" i="30"/>
  <c r="Q53" i="30" s="1"/>
  <c r="N47" i="30"/>
  <c r="N53" i="30" s="1"/>
  <c r="G47" i="30"/>
  <c r="G53" i="30" s="1"/>
  <c r="Y34" i="29"/>
  <c r="AF24" i="29"/>
  <c r="AJ24" i="29" s="1"/>
  <c r="O21" i="28"/>
  <c r="AH4" i="29" s="1"/>
  <c r="P50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2" i="35" s="1"/>
  <c r="O29" i="30"/>
  <c r="S23" i="22" s="1"/>
  <c r="S24" i="22" s="1"/>
  <c r="P29" i="30"/>
  <c r="T23" i="22" s="1"/>
  <c r="T24" i="22" s="1"/>
  <c r="I29" i="30"/>
  <c r="M23" i="22" s="1"/>
  <c r="M24" i="22" s="1"/>
  <c r="J29" i="30"/>
  <c r="N23" i="22" s="1"/>
  <c r="N24" i="22" s="1"/>
  <c r="R29" i="30"/>
  <c r="V23" i="22" s="1"/>
  <c r="V24" i="22" s="1"/>
  <c r="N29" i="30"/>
  <c r="R23" i="22" s="1"/>
  <c r="R24" i="22" s="1"/>
  <c r="K29" i="30"/>
  <c r="O23" i="22" s="1"/>
  <c r="O24" i="22" s="1"/>
  <c r="L29" i="30"/>
  <c r="P23" i="22" s="1"/>
  <c r="P24" i="22" s="1"/>
  <c r="H29" i="30"/>
  <c r="L23" i="22" s="1"/>
  <c r="L24" i="22" s="1"/>
  <c r="G29" i="30"/>
  <c r="K23" i="22" s="1"/>
  <c r="K24" i="22" s="1"/>
  <c r="M29" i="30"/>
  <c r="Q23" i="22" s="1"/>
  <c r="Q24" i="22" s="1"/>
  <c r="H11" i="2"/>
  <c r="O15" i="20" s="1"/>
  <c r="H10" i="2"/>
  <c r="O11" i="20" s="1"/>
  <c r="K47" i="32" s="1"/>
  <c r="E11" i="2"/>
  <c r="I15" i="20" s="1"/>
  <c r="U22" i="30" s="1"/>
  <c r="H25" i="32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AK23" i="29"/>
  <c r="AM23" i="29" s="1"/>
  <c r="I35" i="30"/>
  <c r="P35" i="30"/>
  <c r="R35" i="30"/>
  <c r="O35" i="30"/>
  <c r="Q35" i="30"/>
  <c r="L35" i="30"/>
  <c r="K35" i="30"/>
  <c r="G35" i="30"/>
  <c r="J35" i="30"/>
  <c r="N35" i="30"/>
  <c r="M35" i="30"/>
  <c r="H35" i="30"/>
  <c r="N60" i="29"/>
  <c r="N65" i="29" s="1"/>
  <c r="AK26" i="29"/>
  <c r="AM26" i="29" s="1"/>
  <c r="P47" i="30"/>
  <c r="P53" i="30" s="1"/>
  <c r="J47" i="30"/>
  <c r="J53" i="30" s="1"/>
  <c r="O47" i="30"/>
  <c r="O53" i="30" s="1"/>
  <c r="K47" i="30"/>
  <c r="K53" i="30" s="1"/>
  <c r="M47" i="30"/>
  <c r="M53" i="30" s="1"/>
  <c r="AE35" i="29"/>
  <c r="K30" i="27"/>
  <c r="Y65" i="35" s="1"/>
  <c r="W10" i="35"/>
  <c r="E130" i="29"/>
  <c r="E123" i="29"/>
  <c r="C105" i="29"/>
  <c r="J19" i="32"/>
  <c r="X10" i="35" s="1"/>
  <c r="B28" i="30"/>
  <c r="H18" i="22"/>
  <c r="Y65" i="29"/>
  <c r="M37" i="29"/>
  <c r="AL20" i="29"/>
  <c r="AK20" i="29"/>
  <c r="AM20" i="29" s="1"/>
  <c r="AK24" i="29"/>
  <c r="AM24" i="29" s="1"/>
  <c r="AE34" i="29"/>
  <c r="O24" i="32"/>
  <c r="D27" i="22"/>
  <c r="I27" i="32" s="1"/>
  <c r="J77" i="32"/>
  <c r="J76" i="32" s="1"/>
  <c r="X43" i="35" s="1"/>
  <c r="I20" i="27"/>
  <c r="W59" i="35" s="1"/>
  <c r="E61" i="26"/>
  <c r="E50" i="26" s="1"/>
  <c r="I88" i="32"/>
  <c r="H88" i="32"/>
  <c r="G30" i="30" s="1"/>
  <c r="H30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61" i="26"/>
  <c r="F50" i="26" s="1"/>
  <c r="F39" i="35" s="1"/>
  <c r="H20" i="27"/>
  <c r="V59" i="35" s="1"/>
  <c r="I11" i="1"/>
  <c r="M104" i="29"/>
  <c r="I14" i="20"/>
  <c r="H55" i="35"/>
  <c r="K14" i="20"/>
  <c r="J55" i="35"/>
  <c r="N16" i="20"/>
  <c r="K60" i="35"/>
  <c r="G8" i="2"/>
  <c r="Q17" i="1"/>
  <c r="Q12" i="1"/>
  <c r="H60" i="26"/>
  <c r="H47" i="35" s="1"/>
  <c r="H26" i="20"/>
  <c r="G70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61" i="26"/>
  <c r="G50" i="26" s="1"/>
  <c r="G39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61" i="26"/>
  <c r="D50" i="26" s="1"/>
  <c r="O30" i="20"/>
  <c r="N74" i="35" s="1"/>
  <c r="J62" i="32"/>
  <c r="X34" i="35" s="1"/>
  <c r="I31" i="1"/>
  <c r="J32" i="1"/>
  <c r="H124" i="1"/>
  <c r="I11" i="27"/>
  <c r="K17" i="2"/>
  <c r="F44" i="2"/>
  <c r="G44" i="2" s="1"/>
  <c r="H44" i="2" s="1"/>
  <c r="K40" i="33"/>
  <c r="S13" i="30"/>
  <c r="T13" i="30" s="1"/>
  <c r="AL13" i="29"/>
  <c r="AL50" i="29"/>
  <c r="AF63" i="29" s="1"/>
  <c r="Z63" i="29"/>
  <c r="AK63" i="29"/>
  <c r="N31" i="29"/>
  <c r="N37" i="29" s="1"/>
  <c r="G10" i="2"/>
  <c r="M11" i="20" s="1"/>
  <c r="J51" i="27" s="1"/>
  <c r="L112" i="1"/>
  <c r="H97" i="29" s="1"/>
  <c r="R103" i="29"/>
  <c r="N28" i="28"/>
  <c r="AM48" i="35" s="1"/>
  <c r="AF12" i="29"/>
  <c r="AK12" i="29" s="1"/>
  <c r="Z14" i="29"/>
  <c r="AE14" i="29" s="1"/>
  <c r="AG19" i="29"/>
  <c r="R13" i="27"/>
  <c r="E3" i="34" s="1"/>
  <c r="H54" i="27"/>
  <c r="H58" i="27"/>
  <c r="H20" i="33"/>
  <c r="G28" i="33"/>
  <c r="G32" i="33"/>
  <c r="G29" i="33"/>
  <c r="G31" i="33"/>
  <c r="G33" i="33"/>
  <c r="M41" i="33" s="1"/>
  <c r="G30" i="33"/>
  <c r="L46" i="1"/>
  <c r="J39" i="33"/>
  <c r="AF47" i="29"/>
  <c r="AE62" i="29"/>
  <c r="T62" i="29"/>
  <c r="Z56" i="29"/>
  <c r="F12" i="2"/>
  <c r="I49" i="27"/>
  <c r="G3" i="33"/>
  <c r="F18" i="33"/>
  <c r="E12" i="2" l="1"/>
  <c r="E14" i="2" s="1"/>
  <c r="J49" i="27"/>
  <c r="J11" i="30"/>
  <c r="I21" i="20"/>
  <c r="C66" i="26"/>
  <c r="AL21" i="29"/>
  <c r="AL24" i="29"/>
  <c r="AK34" i="29" s="1"/>
  <c r="AB4" i="29"/>
  <c r="C113" i="29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K120" i="1"/>
  <c r="K122" i="1"/>
  <c r="K123" i="1"/>
  <c r="H34" i="33"/>
  <c r="W21" i="35"/>
  <c r="S37" i="30"/>
  <c r="T37" i="30" s="1"/>
  <c r="J47" i="32"/>
  <c r="J53" i="27" s="1"/>
  <c r="I73" i="32"/>
  <c r="I71" i="32" s="1"/>
  <c r="W40" i="35" s="1"/>
  <c r="AW26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D28" i="34"/>
  <c r="Q22" i="27"/>
  <c r="Q32" i="27"/>
  <c r="AU14" i="35" s="1"/>
  <c r="Q31" i="27"/>
  <c r="AU13" i="35" s="1"/>
  <c r="V21" i="35"/>
  <c r="H53" i="27"/>
  <c r="J21" i="20"/>
  <c r="V57" i="29"/>
  <c r="V39" i="29"/>
  <c r="Q2" i="22"/>
  <c r="K82" i="32"/>
  <c r="K43" i="32"/>
  <c r="H42" i="32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6" i="30" s="1"/>
  <c r="M95" i="30"/>
  <c r="I2" i="33"/>
  <c r="I19" i="33" s="1"/>
  <c r="L45" i="1"/>
  <c r="S29" i="30"/>
  <c r="T29" i="30" s="1"/>
  <c r="L44" i="1"/>
  <c r="H61" i="35"/>
  <c r="C118" i="29"/>
  <c r="I33" i="32"/>
  <c r="K119" i="1"/>
  <c r="S35" i="30"/>
  <c r="T35" i="30" s="1"/>
  <c r="AL26" i="29"/>
  <c r="AK35" i="29" s="1"/>
  <c r="S47" i="30"/>
  <c r="T47" i="30" s="1"/>
  <c r="G31" i="1"/>
  <c r="D39" i="35"/>
  <c r="E48" i="35"/>
  <c r="E39" i="35"/>
  <c r="D115" i="29"/>
  <c r="K19" i="32"/>
  <c r="E107" i="29"/>
  <c r="H21" i="22"/>
  <c r="B29" i="30"/>
  <c r="AE65" i="29"/>
  <c r="AE16" i="29"/>
  <c r="AF16" i="29"/>
  <c r="AJ16" i="29" s="1"/>
  <c r="J88" i="32"/>
  <c r="G11" i="1"/>
  <c r="F124" i="1"/>
  <c r="L24" i="20"/>
  <c r="K68" i="35" s="1"/>
  <c r="L23" i="20"/>
  <c r="K67" i="35" s="1"/>
  <c r="L30" i="20"/>
  <c r="K75" i="35" s="1"/>
  <c r="L29" i="20"/>
  <c r="K74" i="35" s="1"/>
  <c r="J29" i="20"/>
  <c r="I74" i="35" s="1"/>
  <c r="J24" i="20"/>
  <c r="I68" i="35" s="1"/>
  <c r="J23" i="20"/>
  <c r="I67" i="35" s="1"/>
  <c r="J30" i="20"/>
  <c r="I75" i="35" s="1"/>
  <c r="F48" i="35"/>
  <c r="J58" i="35"/>
  <c r="L18" i="20"/>
  <c r="K62" i="35" s="1"/>
  <c r="H58" i="35"/>
  <c r="K16" i="20"/>
  <c r="J60" i="35" s="1"/>
  <c r="AK7" i="29"/>
  <c r="V37" i="35"/>
  <c r="H67" i="32"/>
  <c r="D48" i="35"/>
  <c r="M18" i="30"/>
  <c r="O104" i="29"/>
  <c r="N55" i="35"/>
  <c r="K88" i="32"/>
  <c r="J59" i="35"/>
  <c r="M14" i="20"/>
  <c r="L55" i="35"/>
  <c r="S14" i="27"/>
  <c r="R14" i="27"/>
  <c r="L59" i="35"/>
  <c r="L17" i="20"/>
  <c r="K61" i="35" s="1"/>
  <c r="J61" i="35"/>
  <c r="H31" i="20"/>
  <c r="Q24" i="27" s="1"/>
  <c r="D29" i="34" s="1"/>
  <c r="F75" i="35"/>
  <c r="P16" i="20"/>
  <c r="O60" i="35" s="1"/>
  <c r="M60" i="35"/>
  <c r="G48" i="35"/>
  <c r="L17" i="2"/>
  <c r="J11" i="27"/>
  <c r="G60" i="32"/>
  <c r="Q23" i="27"/>
  <c r="K51" i="27"/>
  <c r="AO9" i="35" s="1"/>
  <c r="O14" i="20"/>
  <c r="U40" i="27"/>
  <c r="U41" i="27" s="1"/>
  <c r="H12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12" i="2"/>
  <c r="K49" i="27"/>
  <c r="H26" i="32"/>
  <c r="I14" i="32"/>
  <c r="H61" i="26"/>
  <c r="H48" i="35" s="1"/>
  <c r="D105" i="29"/>
  <c r="C123" i="29"/>
  <c r="C130" i="29"/>
  <c r="C117" i="29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51" i="2"/>
  <c r="L40" i="33"/>
  <c r="I68" i="32"/>
  <c r="T31" i="29"/>
  <c r="U13" i="27"/>
  <c r="H3" i="34" s="1"/>
  <c r="N21" i="30"/>
  <c r="N46" i="30" s="1"/>
  <c r="O9" i="30"/>
  <c r="N95" i="30"/>
  <c r="J2" i="33"/>
  <c r="R2" i="22"/>
  <c r="M18" i="20"/>
  <c r="L62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8" i="33"/>
  <c r="I20" i="33"/>
  <c r="H29" i="33"/>
  <c r="H31" i="33"/>
  <c r="H30" i="33"/>
  <c r="H33" i="33"/>
  <c r="N41" i="33" s="1"/>
  <c r="J18" i="20"/>
  <c r="I62" i="35" s="1"/>
  <c r="I16" i="20"/>
  <c r="J17" i="20"/>
  <c r="I61" i="35" s="1"/>
  <c r="K58" i="27"/>
  <c r="AO16" i="35" s="1"/>
  <c r="Q28" i="28"/>
  <c r="AP48" i="35" s="1"/>
  <c r="K54" i="27"/>
  <c r="AO12" i="35" s="1"/>
  <c r="AH39" i="29"/>
  <c r="AH57" i="29"/>
  <c r="T13" i="27"/>
  <c r="G3" i="34" s="1"/>
  <c r="AM9" i="35"/>
  <c r="J58" i="27"/>
  <c r="AM16" i="35" s="1"/>
  <c r="J54" i="27"/>
  <c r="AM12" i="35" s="1"/>
  <c r="K39" i="33"/>
  <c r="AK62" i="29"/>
  <c r="Z62" i="29"/>
  <c r="AL47" i="29"/>
  <c r="AF56" i="29"/>
  <c r="AB39" i="29"/>
  <c r="AB57" i="29"/>
  <c r="R102" i="29"/>
  <c r="G9" i="33"/>
  <c r="G18" i="33" s="1"/>
  <c r="H3" i="33"/>
  <c r="U38" i="30" l="1"/>
  <c r="H50" i="28"/>
  <c r="V18" i="35"/>
  <c r="C4" i="33"/>
  <c r="K11" i="30"/>
  <c r="C125" i="29"/>
  <c r="M79" i="1"/>
  <c r="M122" i="1"/>
  <c r="M123" i="1"/>
  <c r="X21" i="35"/>
  <c r="R80" i="27"/>
  <c r="R86" i="27" s="1"/>
  <c r="N59" i="35"/>
  <c r="H49" i="27"/>
  <c r="J39" i="32" s="1"/>
  <c r="X16" i="35" s="1"/>
  <c r="Q33" i="27"/>
  <c r="AU15" i="35" s="1"/>
  <c r="H60" i="35"/>
  <c r="U25" i="30"/>
  <c r="I25" i="30" s="1"/>
  <c r="M14" i="22" s="1"/>
  <c r="M15" i="22" s="1"/>
  <c r="V36" i="35"/>
  <c r="Y21" i="35"/>
  <c r="K53" i="27"/>
  <c r="I25" i="32"/>
  <c r="J15" i="20"/>
  <c r="K59" i="35"/>
  <c r="AF60" i="29"/>
  <c r="J73" i="32"/>
  <c r="J71" i="32" s="1"/>
  <c r="X40" i="35" s="1"/>
  <c r="H41" i="32"/>
  <c r="V17" i="35" s="1"/>
  <c r="AI11" i="35"/>
  <c r="O17" i="20"/>
  <c r="N61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AF43" i="29"/>
  <c r="AK14" i="29"/>
  <c r="K39" i="28"/>
  <c r="K50" i="28" s="1"/>
  <c r="AL17" i="29"/>
  <c r="I34" i="33"/>
  <c r="M31" i="1"/>
  <c r="M11" i="1"/>
  <c r="M120" i="1"/>
  <c r="M119" i="1"/>
  <c r="H59" i="35"/>
  <c r="D121" i="29"/>
  <c r="I30" i="32"/>
  <c r="U32" i="35"/>
  <c r="H58" i="32"/>
  <c r="V30" i="35" s="1"/>
  <c r="D123" i="29"/>
  <c r="D130" i="29"/>
  <c r="Y10" i="35"/>
  <c r="F107" i="29"/>
  <c r="B30" i="30"/>
  <c r="B31" i="30" s="1"/>
  <c r="B32" i="30" s="1"/>
  <c r="B33" i="30" s="1"/>
  <c r="B34" i="30" s="1"/>
  <c r="B35" i="30" s="1"/>
  <c r="B36" i="30" s="1"/>
  <c r="B37" i="30" s="1"/>
  <c r="B38" i="30" s="1"/>
  <c r="H23" i="22"/>
  <c r="AK16" i="29"/>
  <c r="AM16" i="29" s="1"/>
  <c r="I56" i="27"/>
  <c r="M117" i="1"/>
  <c r="M87" i="1"/>
  <c r="O18" i="20"/>
  <c r="N62" i="35" s="1"/>
  <c r="AL16" i="29"/>
  <c r="AJ28" i="29"/>
  <c r="P30" i="20"/>
  <c r="O75" i="35" s="1"/>
  <c r="P29" i="20"/>
  <c r="O74" i="35" s="1"/>
  <c r="P24" i="20"/>
  <c r="O68" i="35" s="1"/>
  <c r="P23" i="20"/>
  <c r="O67" i="35" s="1"/>
  <c r="N24" i="20"/>
  <c r="M68" i="35" s="1"/>
  <c r="N30" i="20"/>
  <c r="M75" i="35" s="1"/>
  <c r="N29" i="20"/>
  <c r="M74" i="35" s="1"/>
  <c r="N23" i="20"/>
  <c r="M67" i="35" s="1"/>
  <c r="N58" i="35"/>
  <c r="H77" i="35"/>
  <c r="J77" i="35"/>
  <c r="L58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5" i="35"/>
  <c r="H65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50" i="26"/>
  <c r="H39" i="35" s="1"/>
  <c r="J50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I38" i="30"/>
  <c r="M30" i="22" s="1"/>
  <c r="R38" i="30"/>
  <c r="V30" i="22" s="1"/>
  <c r="M38" i="30"/>
  <c r="Q30" i="22" s="1"/>
  <c r="L38" i="30"/>
  <c r="P30" i="22" s="1"/>
  <c r="G38" i="30"/>
  <c r="K30" i="22" s="1"/>
  <c r="N38" i="30"/>
  <c r="R30" i="22" s="1"/>
  <c r="K38" i="30"/>
  <c r="O30" i="22" s="1"/>
  <c r="Q38" i="30"/>
  <c r="U30" i="22" s="1"/>
  <c r="P38" i="30"/>
  <c r="T30" i="22" s="1"/>
  <c r="J38" i="30"/>
  <c r="N30" i="22" s="1"/>
  <c r="H38" i="30"/>
  <c r="L30" i="22" s="1"/>
  <c r="O38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51" i="2"/>
  <c r="F58" i="2"/>
  <c r="G58" i="2" s="1"/>
  <c r="H58" i="2" s="1"/>
  <c r="L39" i="33"/>
  <c r="M40" i="33"/>
  <c r="P9" i="30"/>
  <c r="S2" i="22"/>
  <c r="K2" i="33"/>
  <c r="O21" i="30"/>
  <c r="O46" i="30" s="1"/>
  <c r="O95" i="30"/>
  <c r="J42" i="32"/>
  <c r="X18" i="35" s="1"/>
  <c r="P15" i="20"/>
  <c r="O59" i="35" s="1"/>
  <c r="O16" i="20"/>
  <c r="N60" i="35" s="1"/>
  <c r="AF62" i="29"/>
  <c r="AL56" i="29"/>
  <c r="K73" i="32" s="1"/>
  <c r="K71" i="32" s="1"/>
  <c r="Y40" i="35" s="1"/>
  <c r="J68" i="32"/>
  <c r="Z31" i="29"/>
  <c r="Z37" i="29" s="1"/>
  <c r="I28" i="33"/>
  <c r="I31" i="33"/>
  <c r="I32" i="33"/>
  <c r="I30" i="33"/>
  <c r="I33" i="33"/>
  <c r="I29" i="33"/>
  <c r="J20" i="33"/>
  <c r="N15" i="20"/>
  <c r="M59" i="35" s="1"/>
  <c r="M16" i="20"/>
  <c r="N18" i="20"/>
  <c r="M62" i="35" s="1"/>
  <c r="J34" i="33"/>
  <c r="J19" i="33"/>
  <c r="H10" i="33"/>
  <c r="H18" i="33" s="1"/>
  <c r="I3" i="33"/>
  <c r="C6" i="33" l="1"/>
  <c r="D6" i="33"/>
  <c r="C5" i="33"/>
  <c r="C7" i="33"/>
  <c r="D7" i="33" s="1"/>
  <c r="D18" i="33" s="1"/>
  <c r="H11" i="30" s="1"/>
  <c r="E7" i="33"/>
  <c r="E18" i="33" s="1"/>
  <c r="I11" i="30" s="1"/>
  <c r="L11" i="30"/>
  <c r="AO7" i="35"/>
  <c r="AM7" i="35"/>
  <c r="D113" i="29"/>
  <c r="K21" i="20"/>
  <c r="E105" i="29"/>
  <c r="S80" i="27"/>
  <c r="S86" i="27" s="1"/>
  <c r="R75" i="27"/>
  <c r="Q77" i="27"/>
  <c r="Q82" i="27" s="1"/>
  <c r="Q16" i="27" s="1"/>
  <c r="B39" i="30"/>
  <c r="B40" i="30" s="1"/>
  <c r="B41" i="30" s="1"/>
  <c r="B42" i="30" s="1"/>
  <c r="B43" i="30" s="1"/>
  <c r="H30" i="22"/>
  <c r="W36" i="35"/>
  <c r="S79" i="27"/>
  <c r="R81" i="27"/>
  <c r="AF65" i="29"/>
  <c r="AU19" i="35"/>
  <c r="I22" i="32"/>
  <c r="W11" i="35" s="1"/>
  <c r="I59" i="35"/>
  <c r="I60" i="27"/>
  <c r="AK18" i="35" s="1"/>
  <c r="P17" i="20"/>
  <c r="O61" i="35" s="1"/>
  <c r="D117" i="29"/>
  <c r="D125" i="29" s="1"/>
  <c r="L21" i="20"/>
  <c r="K65" i="35" s="1"/>
  <c r="P18" i="20"/>
  <c r="O62" i="35" s="1"/>
  <c r="I81" i="32"/>
  <c r="I80" i="32" s="1"/>
  <c r="W45" i="35" s="1"/>
  <c r="AK14" i="35"/>
  <c r="H81" i="32"/>
  <c r="H80" i="32" s="1"/>
  <c r="AI14" i="35"/>
  <c r="H39" i="32"/>
  <c r="AI7" i="35"/>
  <c r="I25" i="20"/>
  <c r="J25" i="20" s="1"/>
  <c r="I69" i="35" s="1"/>
  <c r="AG72" i="35"/>
  <c r="N39" i="28"/>
  <c r="N50" i="28" s="1"/>
  <c r="AJ72" i="35"/>
  <c r="W13" i="35"/>
  <c r="J33" i="32"/>
  <c r="D118" i="29"/>
  <c r="K77" i="32"/>
  <c r="K76" i="32" s="1"/>
  <c r="Y43" i="35" s="1"/>
  <c r="I26" i="32"/>
  <c r="W12" i="35" s="1"/>
  <c r="U28" i="35"/>
  <c r="N77" i="35"/>
  <c r="L77" i="35"/>
  <c r="G98" i="32"/>
  <c r="Q35" i="27" s="1"/>
  <c r="J67" i="32"/>
  <c r="X37" i="35"/>
  <c r="N17" i="20"/>
  <c r="M61" i="35" s="1"/>
  <c r="L61" i="35"/>
  <c r="B127" i="29"/>
  <c r="J56" i="27"/>
  <c r="AM14" i="35" s="1"/>
  <c r="L60" i="35"/>
  <c r="H13" i="32"/>
  <c r="V7" i="35" s="1"/>
  <c r="V9" i="35"/>
  <c r="O25" i="30"/>
  <c r="S14" i="22" s="1"/>
  <c r="S15" i="22" s="1"/>
  <c r="J14" i="32"/>
  <c r="K17" i="32" s="1"/>
  <c r="R25" i="30"/>
  <c r="V14" i="22" s="1"/>
  <c r="V15" i="22" s="1"/>
  <c r="Q25" i="30"/>
  <c r="U14" i="22" s="1"/>
  <c r="U15" i="22" s="1"/>
  <c r="M25" i="30"/>
  <c r="Q14" i="22" s="1"/>
  <c r="Q15" i="22" s="1"/>
  <c r="N25" i="30"/>
  <c r="R14" i="22" s="1"/>
  <c r="R15" i="22" s="1"/>
  <c r="L25" i="30"/>
  <c r="P14" i="22" s="1"/>
  <c r="P15" i="22" s="1"/>
  <c r="H25" i="30"/>
  <c r="L14" i="22" s="1"/>
  <c r="L15" i="22" s="1"/>
  <c r="G25" i="30"/>
  <c r="J25" i="30"/>
  <c r="N14" i="22" s="1"/>
  <c r="N15" i="22" s="1"/>
  <c r="K25" i="30"/>
  <c r="O14" i="22" s="1"/>
  <c r="O15" i="22" s="1"/>
  <c r="P25" i="30"/>
  <c r="T14" i="22" s="1"/>
  <c r="T15" i="22" s="1"/>
  <c r="K56" i="27"/>
  <c r="AO14" i="35" s="1"/>
  <c r="H60" i="27"/>
  <c r="AI18" i="35" s="1"/>
  <c r="C106" i="29"/>
  <c r="S38" i="30"/>
  <c r="T38" i="30" s="1"/>
  <c r="AK33" i="29"/>
  <c r="AL28" i="29"/>
  <c r="K68" i="32" s="1"/>
  <c r="Q24" i="28"/>
  <c r="AP44" i="35" s="1"/>
  <c r="AP59" i="35" s="1"/>
  <c r="AG28" i="29"/>
  <c r="F65" i="2"/>
  <c r="G65" i="2" s="1"/>
  <c r="H65" i="2" s="1"/>
  <c r="H51" i="2"/>
  <c r="K34" i="33"/>
  <c r="K19" i="33"/>
  <c r="M39" i="33"/>
  <c r="K20" i="33"/>
  <c r="J28" i="33"/>
  <c r="J32" i="33"/>
  <c r="J30" i="33"/>
  <c r="J29" i="33"/>
  <c r="J33" i="33"/>
  <c r="J31" i="33"/>
  <c r="L2" i="33"/>
  <c r="P95" i="30"/>
  <c r="Q9" i="30"/>
  <c r="T2" i="22"/>
  <c r="P21" i="30"/>
  <c r="P46" i="30" s="1"/>
  <c r="N40" i="33"/>
  <c r="J3" i="33"/>
  <c r="I11" i="33"/>
  <c r="I18" i="33" s="1"/>
  <c r="C18" i="33" l="1"/>
  <c r="G11" i="30" s="1"/>
  <c r="S11" i="30" s="1"/>
  <c r="V45" i="35"/>
  <c r="Q4" i="33"/>
  <c r="Q5" i="33" s="1"/>
  <c r="K39" i="32"/>
  <c r="Y16" i="35" s="1"/>
  <c r="J25" i="32"/>
  <c r="D110" i="29"/>
  <c r="S81" i="27"/>
  <c r="T79" i="27"/>
  <c r="T80" i="27"/>
  <c r="T86" i="27" s="1"/>
  <c r="X36" i="35"/>
  <c r="Q38" i="27"/>
  <c r="AU20" i="35" s="1"/>
  <c r="AT20" i="35"/>
  <c r="I39" i="32"/>
  <c r="K19" i="20" s="1"/>
  <c r="J63" i="35" s="1"/>
  <c r="AK7" i="35"/>
  <c r="V16" i="35"/>
  <c r="K81" i="32"/>
  <c r="K80" i="32" s="1"/>
  <c r="Y45" i="35" s="1"/>
  <c r="J81" i="32"/>
  <c r="J80" i="32" s="1"/>
  <c r="X45" i="35" s="1"/>
  <c r="I19" i="20"/>
  <c r="J19" i="20" s="1"/>
  <c r="I63" i="35" s="1"/>
  <c r="H69" i="35"/>
  <c r="Q39" i="28"/>
  <c r="Q50" i="28" s="1"/>
  <c r="K25" i="20"/>
  <c r="E121" i="29"/>
  <c r="J30" i="32"/>
  <c r="J29" i="32"/>
  <c r="D114" i="29"/>
  <c r="J65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5" i="30"/>
  <c r="T25" i="30" s="1"/>
  <c r="K14" i="22"/>
  <c r="K15" i="22" s="1"/>
  <c r="H61" i="27"/>
  <c r="I61" i="27"/>
  <c r="K14" i="32"/>
  <c r="Y8" i="35" s="1"/>
  <c r="F105" i="29"/>
  <c r="F79" i="2"/>
  <c r="G79" i="2" s="1"/>
  <c r="H79" i="2" s="1"/>
  <c r="F72" i="2"/>
  <c r="G72" i="2" s="1"/>
  <c r="H72" i="2" s="1"/>
  <c r="N39" i="33"/>
  <c r="Q95" i="30"/>
  <c r="Q21" i="30"/>
  <c r="Q46" i="30" s="1"/>
  <c r="U2" i="22"/>
  <c r="R9" i="30"/>
  <c r="M2" i="33"/>
  <c r="L19" i="33"/>
  <c r="L34" i="33"/>
  <c r="L20" i="33"/>
  <c r="K31" i="33"/>
  <c r="K30" i="33"/>
  <c r="K32" i="33"/>
  <c r="K33" i="33"/>
  <c r="K29" i="33"/>
  <c r="K28" i="33"/>
  <c r="K3" i="33"/>
  <c r="J12" i="33"/>
  <c r="J18" i="33" s="1"/>
  <c r="S7" i="33" l="1"/>
  <c r="S8" i="33" s="1"/>
  <c r="I23" i="30" s="1"/>
  <c r="R6" i="33"/>
  <c r="Q6" i="33"/>
  <c r="Q7" i="33"/>
  <c r="R7" i="33" s="1"/>
  <c r="O19" i="20"/>
  <c r="P19" i="20" s="1"/>
  <c r="O63" i="35" s="1"/>
  <c r="J22" i="32"/>
  <c r="M21" i="20"/>
  <c r="T81" i="27"/>
  <c r="U79" i="27"/>
  <c r="U80" i="27"/>
  <c r="Y36" i="35"/>
  <c r="AU17" i="35"/>
  <c r="Q42" i="27"/>
  <c r="L19" i="20"/>
  <c r="K63" i="35" s="1"/>
  <c r="K20" i="20"/>
  <c r="S18" i="27" s="1"/>
  <c r="W16" i="35"/>
  <c r="M19" i="20"/>
  <c r="Q36" i="27"/>
  <c r="AU18" i="35" s="1"/>
  <c r="H63" i="35"/>
  <c r="I20" i="20"/>
  <c r="J20" i="20" s="1"/>
  <c r="I64" i="35" s="1"/>
  <c r="E117" i="29"/>
  <c r="E125" i="29" s="1"/>
  <c r="I28" i="27"/>
  <c r="W63" i="35" s="1"/>
  <c r="AK19" i="35"/>
  <c r="H28" i="27"/>
  <c r="V63" i="35" s="1"/>
  <c r="AI19" i="35"/>
  <c r="J69" i="35"/>
  <c r="L25" i="20"/>
  <c r="K69" i="35" s="1"/>
  <c r="M25" i="20"/>
  <c r="AM72" i="35"/>
  <c r="AP72" i="35"/>
  <c r="K33" i="32"/>
  <c r="E118" i="29"/>
  <c r="X13" i="35"/>
  <c r="J26" i="32"/>
  <c r="E114" i="29" s="1"/>
  <c r="D106" i="29"/>
  <c r="I13" i="32"/>
  <c r="W7" i="35" s="1"/>
  <c r="D52" i="34"/>
  <c r="D54" i="34"/>
  <c r="H13" i="2"/>
  <c r="H14" i="2" s="1"/>
  <c r="G13" i="2"/>
  <c r="G14" i="2" s="1"/>
  <c r="F13" i="2"/>
  <c r="F14" i="2" s="1"/>
  <c r="R21" i="30"/>
  <c r="R46" i="30" s="1"/>
  <c r="V2" i="22"/>
  <c r="N2" i="33"/>
  <c r="R95" i="30"/>
  <c r="L29" i="33"/>
  <c r="M20" i="33"/>
  <c r="L31" i="33"/>
  <c r="L32" i="33"/>
  <c r="L30" i="33"/>
  <c r="L33" i="33"/>
  <c r="L28" i="33"/>
  <c r="M19" i="33"/>
  <c r="M34" i="33"/>
  <c r="L3" i="33"/>
  <c r="K13" i="33"/>
  <c r="K18" i="33" s="1"/>
  <c r="Q8" i="33" l="1"/>
  <c r="G23" i="30" s="1"/>
  <c r="R8" i="33"/>
  <c r="H23" i="30" s="1"/>
  <c r="O20" i="20"/>
  <c r="N64" i="35" s="1"/>
  <c r="N63" i="35"/>
  <c r="X11" i="35"/>
  <c r="K25" i="32"/>
  <c r="E110" i="29"/>
  <c r="S12" i="30"/>
  <c r="S14" i="30" s="1"/>
  <c r="U81" i="27"/>
  <c r="U86" i="27"/>
  <c r="L20" i="20"/>
  <c r="S19" i="27" s="1"/>
  <c r="F27" i="34" s="1"/>
  <c r="J64" i="35"/>
  <c r="K22" i="20"/>
  <c r="S20" i="27" s="1"/>
  <c r="N19" i="20"/>
  <c r="M63" i="35" s="1"/>
  <c r="M20" i="20"/>
  <c r="N20" i="20" s="1"/>
  <c r="L63" i="35"/>
  <c r="I22" i="20"/>
  <c r="J22" i="20" s="1"/>
  <c r="R18" i="27"/>
  <c r="H64" i="35"/>
  <c r="R19" i="27"/>
  <c r="E27" i="34" s="1"/>
  <c r="Q43" i="27"/>
  <c r="N21" i="20"/>
  <c r="M65" i="35" s="1"/>
  <c r="L69" i="35"/>
  <c r="N25" i="20"/>
  <c r="M69" i="35" s="1"/>
  <c r="O25" i="20"/>
  <c r="F121" i="29"/>
  <c r="K30" i="32"/>
  <c r="K29" i="32"/>
  <c r="J18" i="32"/>
  <c r="E106" i="29" s="1"/>
  <c r="X12" i="35"/>
  <c r="L65" i="35"/>
  <c r="H39" i="27"/>
  <c r="R51" i="27"/>
  <c r="J84" i="32"/>
  <c r="H84" i="32"/>
  <c r="H37" i="27" s="1"/>
  <c r="I84" i="32"/>
  <c r="S34" i="30"/>
  <c r="N20" i="33"/>
  <c r="M32" i="33"/>
  <c r="M31" i="33"/>
  <c r="M33" i="33"/>
  <c r="M28" i="33"/>
  <c r="M30" i="33"/>
  <c r="M29" i="33"/>
  <c r="N19" i="33"/>
  <c r="N34" i="33"/>
  <c r="M3" i="33"/>
  <c r="L14" i="33"/>
  <c r="L18" i="33" s="1"/>
  <c r="S23" i="30" l="1"/>
  <c r="U18" i="27"/>
  <c r="P20" i="20"/>
  <c r="U19" i="27" s="1"/>
  <c r="H27" i="34" s="1"/>
  <c r="K12" i="30"/>
  <c r="O3" i="22" s="1"/>
  <c r="O4" i="22" s="1"/>
  <c r="G12" i="30"/>
  <c r="K3" i="22" s="1"/>
  <c r="K4" i="22" s="1"/>
  <c r="M12" i="30"/>
  <c r="Q3" i="22" s="1"/>
  <c r="Q4" i="22" s="1"/>
  <c r="R12" i="30"/>
  <c r="V3" i="22" s="1"/>
  <c r="V4" i="22" s="1"/>
  <c r="O12" i="30"/>
  <c r="S3" i="22" s="1"/>
  <c r="S4" i="22" s="1"/>
  <c r="L12" i="30"/>
  <c r="P3" i="22" s="1"/>
  <c r="P4" i="22" s="1"/>
  <c r="H12" i="30"/>
  <c r="L3" i="22" s="1"/>
  <c r="L4" i="22" s="1"/>
  <c r="F113" i="29"/>
  <c r="O21" i="20"/>
  <c r="N65" i="35" s="1"/>
  <c r="K22" i="32"/>
  <c r="I12" i="30"/>
  <c r="M3" i="22" s="1"/>
  <c r="M4" i="22" s="1"/>
  <c r="N12" i="30"/>
  <c r="R3" i="22" s="1"/>
  <c r="R4" i="22" s="1"/>
  <c r="P12" i="30"/>
  <c r="T3" i="22" s="1"/>
  <c r="T4" i="22" s="1"/>
  <c r="J12" i="30"/>
  <c r="N3" i="22" s="1"/>
  <c r="N4" i="22" s="1"/>
  <c r="Q12" i="30"/>
  <c r="U3" i="22" s="1"/>
  <c r="U4" i="22" s="1"/>
  <c r="K64" i="35"/>
  <c r="L22" i="20"/>
  <c r="S21" i="27" s="1"/>
  <c r="K26" i="20"/>
  <c r="J70" i="35" s="1"/>
  <c r="J66" i="35"/>
  <c r="T19" i="27"/>
  <c r="G27" i="34" s="1"/>
  <c r="M64" i="35"/>
  <c r="L64" i="35"/>
  <c r="T18" i="27"/>
  <c r="M22" i="20"/>
  <c r="N22" i="20" s="1"/>
  <c r="T21" i="27" s="1"/>
  <c r="I26" i="20"/>
  <c r="I27" i="20" s="1"/>
  <c r="R20" i="27"/>
  <c r="I66" i="35"/>
  <c r="R21" i="27"/>
  <c r="H66" i="35"/>
  <c r="F117" i="29"/>
  <c r="N69" i="35"/>
  <c r="P25" i="20"/>
  <c r="O69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14" i="30"/>
  <c r="K22" i="30" s="1"/>
  <c r="O10" i="22" s="1"/>
  <c r="O11" i="22" s="1"/>
  <c r="O25" i="22" s="1"/>
  <c r="R14" i="30"/>
  <c r="N14" i="30"/>
  <c r="M14" i="30"/>
  <c r="H14" i="30"/>
  <c r="Q14" i="30"/>
  <c r="L14" i="30"/>
  <c r="I14" i="30"/>
  <c r="O14" i="30"/>
  <c r="J14" i="30"/>
  <c r="G14" i="30"/>
  <c r="G22" i="30" s="1"/>
  <c r="P14" i="30"/>
  <c r="S32" i="30"/>
  <c r="N28" i="33"/>
  <c r="N32" i="33"/>
  <c r="N33" i="33"/>
  <c r="N29" i="33"/>
  <c r="N31" i="33"/>
  <c r="N30" i="33"/>
  <c r="M16" i="33"/>
  <c r="M15" i="33"/>
  <c r="N3" i="33"/>
  <c r="N16" i="33" s="1"/>
  <c r="N18" i="33" s="1"/>
  <c r="K10" i="22" l="1"/>
  <c r="K11" i="22" s="1"/>
  <c r="K25" i="22" s="1"/>
  <c r="O22" i="30"/>
  <c r="S10" i="22" s="1"/>
  <c r="S11" i="22" s="1"/>
  <c r="S25" i="22" s="1"/>
  <c r="H22" i="30"/>
  <c r="L10" i="22" s="1"/>
  <c r="L11" i="22" s="1"/>
  <c r="L25" i="22" s="1"/>
  <c r="M22" i="30"/>
  <c r="Q10" i="22" s="1"/>
  <c r="Q11" i="22" s="1"/>
  <c r="Q25" i="22" s="1"/>
  <c r="N22" i="30"/>
  <c r="R10" i="22" s="1"/>
  <c r="R11" i="22" s="1"/>
  <c r="R25" i="22" s="1"/>
  <c r="R22" i="30"/>
  <c r="V10" i="22" s="1"/>
  <c r="V11" i="22" s="1"/>
  <c r="V25" i="22" s="1"/>
  <c r="I22" i="30"/>
  <c r="M10" i="22" s="1"/>
  <c r="M11" i="22" s="1"/>
  <c r="M25" i="22" s="1"/>
  <c r="O64" i="35"/>
  <c r="P22" i="30"/>
  <c r="T10" i="22" s="1"/>
  <c r="T11" i="22" s="1"/>
  <c r="T25" i="22" s="1"/>
  <c r="L22" i="30"/>
  <c r="P10" i="22" s="1"/>
  <c r="P11" i="22" s="1"/>
  <c r="P25" i="22" s="1"/>
  <c r="Q22" i="30"/>
  <c r="U10" i="22" s="1"/>
  <c r="U11" i="22" s="1"/>
  <c r="U25" i="22" s="1"/>
  <c r="J22" i="30"/>
  <c r="N10" i="22" s="1"/>
  <c r="N11" i="22" s="1"/>
  <c r="N25" i="22" s="1"/>
  <c r="F125" i="29"/>
  <c r="Y11" i="35"/>
  <c r="F110" i="29"/>
  <c r="E28" i="34"/>
  <c r="R22" i="27"/>
  <c r="G28" i="34"/>
  <c r="T22" i="27"/>
  <c r="F28" i="34"/>
  <c r="S22" i="27"/>
  <c r="V31" i="35"/>
  <c r="K66" i="35"/>
  <c r="L26" i="20"/>
  <c r="K70" i="35" s="1"/>
  <c r="K27" i="20"/>
  <c r="R74" i="27"/>
  <c r="M66" i="35"/>
  <c r="M26" i="20"/>
  <c r="N26" i="20" s="1"/>
  <c r="M70" i="35" s="1"/>
  <c r="T20" i="27"/>
  <c r="L66" i="35"/>
  <c r="J26" i="20"/>
  <c r="I70" i="35" s="1"/>
  <c r="H70" i="35"/>
  <c r="P21" i="20"/>
  <c r="O65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C21" i="33"/>
  <c r="K5" i="22"/>
  <c r="K6" i="22" s="1"/>
  <c r="K9" i="22" s="1"/>
  <c r="K26" i="22" s="1"/>
  <c r="J21" i="33"/>
  <c r="J26" i="33" s="1"/>
  <c r="J27" i="33" s="1"/>
  <c r="M38" i="33" s="1"/>
  <c r="R5" i="22"/>
  <c r="R6" i="22" s="1"/>
  <c r="R9" i="22" s="1"/>
  <c r="N5" i="22"/>
  <c r="N6" i="22" s="1"/>
  <c r="N9" i="22" s="1"/>
  <c r="F21" i="33"/>
  <c r="N21" i="33"/>
  <c r="N26" i="33" s="1"/>
  <c r="N27" i="33" s="1"/>
  <c r="V5" i="22"/>
  <c r="V6" i="22" s="1"/>
  <c r="V9" i="22" s="1"/>
  <c r="K21" i="33"/>
  <c r="S5" i="22"/>
  <c r="S6" i="22" s="1"/>
  <c r="S9" i="22" s="1"/>
  <c r="G21" i="33"/>
  <c r="O5" i="22"/>
  <c r="O6" i="22" s="1"/>
  <c r="O9" i="22" s="1"/>
  <c r="O26" i="22" s="1"/>
  <c r="M5" i="22"/>
  <c r="M6" i="22" s="1"/>
  <c r="M9" i="22" s="1"/>
  <c r="E21" i="33"/>
  <c r="P5" i="22"/>
  <c r="P6" i="22" s="1"/>
  <c r="P9" i="22" s="1"/>
  <c r="H21" i="33"/>
  <c r="H26" i="33" s="1"/>
  <c r="H27" i="33" s="1"/>
  <c r="K38" i="33" s="1"/>
  <c r="D21" i="33"/>
  <c r="D26" i="33" s="1"/>
  <c r="D27" i="33" s="1"/>
  <c r="G38" i="33" s="1"/>
  <c r="L5" i="22"/>
  <c r="L6" i="22" s="1"/>
  <c r="L9" i="22" s="1"/>
  <c r="M21" i="33"/>
  <c r="M26" i="33" s="1"/>
  <c r="M27" i="33" s="1"/>
  <c r="U5" i="22"/>
  <c r="U6" i="22" s="1"/>
  <c r="U9" i="22" s="1"/>
  <c r="L21" i="33"/>
  <c r="T5" i="22"/>
  <c r="T6" i="22" s="1"/>
  <c r="T9" i="22" s="1"/>
  <c r="I21" i="33"/>
  <c r="I26" i="33" s="1"/>
  <c r="I27" i="33" s="1"/>
  <c r="L38" i="33" s="1"/>
  <c r="Q5" i="22"/>
  <c r="Q6" i="22" s="1"/>
  <c r="Q9" i="22" s="1"/>
  <c r="M18" i="33"/>
  <c r="S33" i="30"/>
  <c r="G26" i="33" l="1"/>
  <c r="G27" i="33" s="1"/>
  <c r="J38" i="33" s="1"/>
  <c r="K24" i="33"/>
  <c r="K25" i="33" s="1"/>
  <c r="K26" i="33"/>
  <c r="K27" i="33" s="1"/>
  <c r="N38" i="33" s="1"/>
  <c r="C24" i="33"/>
  <c r="C25" i="33" s="1"/>
  <c r="C26" i="33"/>
  <c r="C27" i="33" s="1"/>
  <c r="F38" i="33" s="1"/>
  <c r="L24" i="33"/>
  <c r="L25" i="33" s="1"/>
  <c r="L26" i="33"/>
  <c r="L27" i="33" s="1"/>
  <c r="E24" i="33"/>
  <c r="E25" i="33" s="1"/>
  <c r="G37" i="33" s="1"/>
  <c r="E26" i="33"/>
  <c r="E27" i="33" s="1"/>
  <c r="H38" i="33" s="1"/>
  <c r="F24" i="33"/>
  <c r="F25" i="33" s="1"/>
  <c r="F26" i="33"/>
  <c r="F27" i="33" s="1"/>
  <c r="I38" i="33" s="1"/>
  <c r="Q26" i="22"/>
  <c r="R26" i="22"/>
  <c r="P30" i="30" s="1"/>
  <c r="V26" i="22"/>
  <c r="M26" i="22"/>
  <c r="K30" i="30" s="1"/>
  <c r="T26" i="22"/>
  <c r="R30" i="30" s="1"/>
  <c r="U26" i="22"/>
  <c r="S22" i="30"/>
  <c r="T22" i="30" s="1"/>
  <c r="M30" i="30"/>
  <c r="O30" i="30"/>
  <c r="I30" i="30"/>
  <c r="J72" i="35"/>
  <c r="S74" i="27"/>
  <c r="H72" i="35"/>
  <c r="U39" i="30"/>
  <c r="P39" i="30" s="1"/>
  <c r="I15" i="27"/>
  <c r="S31" i="27" s="1"/>
  <c r="AW13" i="35" s="1"/>
  <c r="L27" i="20"/>
  <c r="K72" i="35" s="1"/>
  <c r="H15" i="27"/>
  <c r="V54" i="35" s="1"/>
  <c r="K31" i="20"/>
  <c r="D128" i="29" s="1"/>
  <c r="I31" i="20"/>
  <c r="R52" i="27" s="1"/>
  <c r="J27" i="20"/>
  <c r="I72" i="35" s="1"/>
  <c r="L70" i="35"/>
  <c r="M27" i="20"/>
  <c r="N27" i="20" s="1"/>
  <c r="M72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6" i="35"/>
  <c r="O26" i="20"/>
  <c r="N70" i="35" s="1"/>
  <c r="P26" i="22"/>
  <c r="L26" i="22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C22" i="33"/>
  <c r="C35" i="33" s="1"/>
  <c r="C42" i="33" s="1"/>
  <c r="S31" i="30"/>
  <c r="H37" i="33" l="1"/>
  <c r="M37" i="33"/>
  <c r="N37" i="33"/>
  <c r="E37" i="33"/>
  <c r="P44" i="30"/>
  <c r="Q30" i="30"/>
  <c r="L30" i="30"/>
  <c r="N30" i="30"/>
  <c r="G16" i="30"/>
  <c r="G19" i="30" s="1"/>
  <c r="J30" i="30"/>
  <c r="S32" i="27"/>
  <c r="AW14" i="35" s="1"/>
  <c r="R32" i="27"/>
  <c r="AV14" i="35" s="1"/>
  <c r="T74" i="27"/>
  <c r="N23" i="33"/>
  <c r="N39" i="30"/>
  <c r="H39" i="30"/>
  <c r="H44" i="30" s="1"/>
  <c r="Q39" i="30"/>
  <c r="J39" i="30"/>
  <c r="H21" i="27"/>
  <c r="V60" i="35" s="1"/>
  <c r="W54" i="35"/>
  <c r="R31" i="27"/>
  <c r="AV13" i="35" s="1"/>
  <c r="I21" i="27"/>
  <c r="W60" i="35" s="1"/>
  <c r="K39" i="30"/>
  <c r="K44" i="30" s="1"/>
  <c r="R23" i="27"/>
  <c r="H60" i="32"/>
  <c r="J31" i="20"/>
  <c r="R24" i="27" s="1"/>
  <c r="E29" i="34" s="1"/>
  <c r="C128" i="29"/>
  <c r="C127" i="29" s="1"/>
  <c r="O39" i="30"/>
  <c r="O44" i="30" s="1"/>
  <c r="G39" i="30"/>
  <c r="G44" i="30" s="1"/>
  <c r="L39" i="30"/>
  <c r="R39" i="30"/>
  <c r="R44" i="30" s="1"/>
  <c r="I39" i="30"/>
  <c r="I44" i="30" s="1"/>
  <c r="M39" i="30"/>
  <c r="M44" i="30" s="1"/>
  <c r="H75" i="35"/>
  <c r="I60" i="32"/>
  <c r="W32" i="35" s="1"/>
  <c r="J75" i="35"/>
  <c r="S23" i="27"/>
  <c r="L31" i="20"/>
  <c r="S24" i="27" s="1"/>
  <c r="F29" i="34" s="1"/>
  <c r="L72" i="35"/>
  <c r="J15" i="27"/>
  <c r="T32" i="27" s="1"/>
  <c r="AX14" i="35" s="1"/>
  <c r="M31" i="20"/>
  <c r="O66" i="35"/>
  <c r="U21" i="27"/>
  <c r="J61" i="27"/>
  <c r="AM19" i="35" s="1"/>
  <c r="P26" i="20"/>
  <c r="O70" i="35" s="1"/>
  <c r="O27" i="20"/>
  <c r="O31" i="20" s="1"/>
  <c r="K84" i="32"/>
  <c r="E23" i="33"/>
  <c r="F36" i="33" s="1"/>
  <c r="F42" i="33" s="1"/>
  <c r="M23" i="33"/>
  <c r="N36" i="33" s="1"/>
  <c r="N42" i="33" s="1"/>
  <c r="I23" i="33"/>
  <c r="J36" i="33" s="1"/>
  <c r="J42" i="33" s="1"/>
  <c r="G23" i="33"/>
  <c r="H36" i="33" s="1"/>
  <c r="H42" i="33" s="1"/>
  <c r="H23" i="33"/>
  <c r="I36" i="33" s="1"/>
  <c r="I42" i="33" s="1"/>
  <c r="K23" i="33"/>
  <c r="L36" i="33" s="1"/>
  <c r="L42" i="33" s="1"/>
  <c r="J23" i="33"/>
  <c r="K36" i="33" s="1"/>
  <c r="K42" i="33" s="1"/>
  <c r="L23" i="33"/>
  <c r="M36" i="33" s="1"/>
  <c r="M42" i="33" s="1"/>
  <c r="C23" i="33"/>
  <c r="D36" i="33" s="1"/>
  <c r="D42" i="33" s="1"/>
  <c r="D23" i="33"/>
  <c r="E36" i="33" s="1"/>
  <c r="E42" i="33" s="1"/>
  <c r="F23" i="33"/>
  <c r="G36" i="33" s="1"/>
  <c r="G42" i="33" s="1"/>
  <c r="G55" i="30" l="1"/>
  <c r="L44" i="30"/>
  <c r="S30" i="30"/>
  <c r="J44" i="30"/>
  <c r="Q44" i="30"/>
  <c r="N44" i="30"/>
  <c r="N16" i="30"/>
  <c r="N19" i="30" s="1"/>
  <c r="K16" i="30"/>
  <c r="K19" i="30" s="1"/>
  <c r="R16" i="30"/>
  <c r="R19" i="30" s="1"/>
  <c r="I16" i="30"/>
  <c r="I19" i="30" s="1"/>
  <c r="H16" i="30"/>
  <c r="H19" i="30" s="1"/>
  <c r="J16" i="30"/>
  <c r="J19" i="30" s="1"/>
  <c r="O16" i="30"/>
  <c r="O19" i="30" s="1"/>
  <c r="Q16" i="30"/>
  <c r="Q19" i="30" s="1"/>
  <c r="L16" i="30"/>
  <c r="L19" i="30" s="1"/>
  <c r="P16" i="30"/>
  <c r="P19" i="30" s="1"/>
  <c r="M16" i="30"/>
  <c r="M19" i="30" s="1"/>
  <c r="S33" i="27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9" i="30"/>
  <c r="T39" i="30" s="1"/>
  <c r="N31" i="20"/>
  <c r="T24" i="27" s="1"/>
  <c r="G29" i="34" s="1"/>
  <c r="J60" i="32"/>
  <c r="X32" i="35" s="1"/>
  <c r="L75" i="35"/>
  <c r="E128" i="29"/>
  <c r="T23" i="27"/>
  <c r="T31" i="27"/>
  <c r="AX13" i="35" s="1"/>
  <c r="X54" i="35"/>
  <c r="J21" i="27"/>
  <c r="X60" i="35" s="1"/>
  <c r="J28" i="27"/>
  <c r="X63" i="35" s="1"/>
  <c r="P27" i="20"/>
  <c r="O72" i="35" s="1"/>
  <c r="K15" i="27"/>
  <c r="U31" i="27" s="1"/>
  <c r="AY13" i="35" s="1"/>
  <c r="N72" i="35"/>
  <c r="N75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44" i="30" l="1"/>
  <c r="S16" i="30"/>
  <c r="S75" i="27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G10" i="30" s="1"/>
  <c r="R45" i="27"/>
  <c r="E52" i="34" s="1"/>
  <c r="AV17" i="35"/>
  <c r="E4" i="34"/>
  <c r="K61" i="27"/>
  <c r="AO19" i="35" s="1"/>
  <c r="U33" i="27"/>
  <c r="AY15" i="35" s="1"/>
  <c r="G56" i="30" l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5" i="30"/>
  <c r="R96" i="30" s="1"/>
  <c r="L55" i="30"/>
  <c r="L96" i="30" s="1"/>
  <c r="N55" i="30"/>
  <c r="N96" i="30" s="1"/>
  <c r="Q55" i="30"/>
  <c r="Q96" i="30" s="1"/>
  <c r="J55" i="30"/>
  <c r="J96" i="30" s="1"/>
  <c r="K55" i="30"/>
  <c r="K96" i="30" s="1"/>
  <c r="H55" i="30"/>
  <c r="H96" i="30" s="1"/>
  <c r="I55" i="30"/>
  <c r="I96" i="30" s="1"/>
  <c r="P55" i="30"/>
  <c r="P96" i="30" s="1"/>
  <c r="M55" i="30"/>
  <c r="M96" i="30" s="1"/>
  <c r="O55" i="30"/>
  <c r="O96" i="30" s="1"/>
  <c r="R28" i="27" l="1"/>
  <c r="AV10" i="35" s="1"/>
  <c r="AV9" i="35"/>
  <c r="AV11" i="35"/>
  <c r="S51" i="27"/>
  <c r="I39" i="27"/>
  <c r="D129" i="29" s="1"/>
  <c r="D127" i="29" s="1"/>
  <c r="R43" i="27"/>
  <c r="S50" i="30"/>
  <c r="S53" i="30" s="1"/>
  <c r="I59" i="32" l="1"/>
  <c r="I56" i="32" s="1"/>
  <c r="S76" i="27" s="1"/>
  <c r="W72" i="35"/>
  <c r="I41" i="27"/>
  <c r="W74" i="35" s="1"/>
  <c r="G96" i="30"/>
  <c r="S96" i="30" s="1"/>
  <c r="S55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6" i="30" s="1"/>
  <c r="G97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6" i="30" s="1"/>
  <c r="H97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6" i="30" s="1"/>
  <c r="I97" i="30"/>
  <c r="I51" i="32" l="1"/>
  <c r="W24" i="35" s="1"/>
  <c r="S29" i="27"/>
  <c r="S27" i="27"/>
  <c r="S42" i="27" s="1"/>
  <c r="S43" i="27" s="1"/>
  <c r="AW19" i="35"/>
  <c r="T50" i="27"/>
  <c r="T52" i="27" s="1"/>
  <c r="J97" i="30"/>
  <c r="K10" i="30"/>
  <c r="K56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7" i="30"/>
  <c r="L10" i="30"/>
  <c r="L56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6" i="30" s="1"/>
  <c r="L97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7" i="30"/>
  <c r="N10" i="30"/>
  <c r="N56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6" i="30" s="1"/>
  <c r="N97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6" i="30" s="1"/>
  <c r="O97" i="30"/>
  <c r="U51" i="27" l="1"/>
  <c r="K39" i="27"/>
  <c r="K41" i="27" s="1"/>
  <c r="Y74" i="35" s="1"/>
  <c r="T43" i="27"/>
  <c r="P97" i="30"/>
  <c r="Q10" i="30"/>
  <c r="Q56" i="30" s="1"/>
  <c r="Y72" i="35" l="1"/>
  <c r="K59" i="32"/>
  <c r="Y31" i="35" s="1"/>
  <c r="K42" i="27"/>
  <c r="K43" i="27" s="1"/>
  <c r="R10" i="30"/>
  <c r="Q97" i="30"/>
  <c r="K56" i="32" l="1"/>
  <c r="U76" i="27" s="1"/>
  <c r="U77" i="27" s="1"/>
  <c r="U82" i="27" s="1"/>
  <c r="U16" i="27" s="1"/>
  <c r="U25" i="27" s="1"/>
  <c r="H30" i="34" s="1"/>
  <c r="R56" i="30"/>
  <c r="R97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sz val="10"/>
            <color indexed="81"/>
            <rFont val="Tahoma"/>
            <family val="2"/>
          </rPr>
          <t>Mikäli investointeja ei tehdä voit siirtyä suoraan kohtaan 2. T2 TULOSSUUNNNITELMA</t>
        </r>
        <r>
          <rPr>
            <sz val="10"/>
            <color indexed="81"/>
            <rFont val="Tahoma"/>
            <family val="2"/>
          </rPr>
          <t xml:space="preserve"> 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
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1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1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(sis. alv)
- soranottopaikat, turvesuot tms. (poisto kulutuksen mukaan</t>
        </r>
      </text>
    </comment>
    <comment ref="D32" authorId="1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Aineettoman hyödykkeet, tasapoisto esim. 5 vuotta</t>
        </r>
        <r>
          <rPr>
            <sz val="10"/>
            <color indexed="81"/>
            <rFont val="Tahoma"/>
            <family val="2"/>
          </rPr>
          <t xml:space="preserve">
- Aineettomat oikeudet (patentti, goodwill-arvo, tavaramerkki,
  ostetut atk-ohjelmat tms.)  
- Alv-verollisen liiketoiminnan käytössä olevan vuokra-asunnon 
  ja osakehuoneiston perusparannukseen sis. työt ja tarvikkeet.
- Yrityskaupassa alv 0 % 
- Pitkävaikutteiset kehittämismenot (tuotekehityskustannuksiin 
  sisältyvät ainekulut alv 0 %-hinnoin. Vastaava summa 
  vähennetään 4. E2 LIIKEVAIHTO-  taulukossa.
- Tuotekehityskustannuksiin sisältyvät palkat sotu-maksuineen 
  alv 0 %. Vastaavat summat vähennetään 3. E1 KUSTANNUKSET-
  taulukossa. 
- Pitkävaikutteiset markkinointimenot. Vastaavat summat 
  vähennetään 3. E1 KUSTANNUKSET-  taulukossa. 
- Alv-% painotettu keskiarvo, jos tuotekehityskustannuksia.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>Liikehuoneiston ja toimitilojen osakkeiden ja muun sijoitusomaisuuden hankintahinta, joista ei voida vähentää arvonlisäveroa.</t>
        </r>
      </text>
    </comment>
    <comment ref="D40" authorId="0" shapeId="0" xr:uid="{E506E951-9046-4F03-A6F9-AFB355AA1BCC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 xml:space="preserve">- Liiketoimintakaupan tavaravarasto alv 0 %
- Alkuvarasto sisältää arvonlisäveron. Jos useita eri alv-kantoja, 
  aseta painotettu keskiarvo.
- 0 %, jos yrityksen vuosiliikevaihto alle 15 000 €/ vuosi </t>
        </r>
      </text>
    </comment>
    <comment ref="D48" authorId="1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8" authorId="1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8" authorId="1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
 - Lahjoitukset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Yleisesti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taulukkoon 4. T7 LAINAT.
2) Omaisuuden myynti: Mitä myydään? Lisää summa taulukkoon 3. T3 TASE Vastaavaa/Pysyvät 
    vastaavat riville "Vähennykset tilikaudella".
3) Sijoitusten myynti (jos on TASEessa): Lisää summa myös taulukkoon 3. T3 TASEen soluihin 
    solut H36 - K36. Lisätään vain muistiinpanoalueelle selite kohtaan 12 Tulorahoitus 
    (raha sisältyy tulorahoitusosuuteen). Esim. oman työn ja materiaalin osuus, 
    pankkitalletuksen purkaminen.</t>
        </r>
      </text>
    </comment>
    <comment ref="J53" authorId="1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4" authorId="1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6" authorId="1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8" authorId="1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
5. E1 KUSTANNUKSET riville 75 (Laite- ja kalustovuokrat, leasingvuokrat).</t>
        </r>
      </text>
    </comment>
    <comment ref="M58" authorId="1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9" authorId="1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60" authorId="1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1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1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1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4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17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7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7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1" shapeId="0" xr:uid="{1E30CE4F-FF14-409F-BC8A-93A180C7F4BA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H23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1" shapeId="0" xr:uid="{E2ACE110-ACA1-4E03-BC79-05792E0F1690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5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5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5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9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9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9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1" shapeId="0" xr:uid="{8F9FF387-F78A-4C59-92A2-A8D22C736D4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33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3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3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9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40" authorId="1" shapeId="0" xr:uid="{1F597A18-9E30-4AF6-99D8-BC8C3AD75CDD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40" authorId="1" shapeId="0" xr:uid="{2C42EE1B-388B-4C25-9148-A04FD97B0FDF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3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5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6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9" authorId="1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1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1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61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3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1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1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1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69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9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9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70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4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4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4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5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8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8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9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2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2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2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3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1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1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1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1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1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1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1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F96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14.</t>
        </r>
      </text>
    </comment>
    <comment ref="C11" authorId="1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1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14.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1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1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1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1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G78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G69 ja G79.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6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</t>
        </r>
      </text>
    </comment>
    <comment ref="D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8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1" shapeId="0" xr:uid="{4F679CF1-EB3F-4829-8CDE-0732BA2159C4}">
      <text>
        <r>
          <rPr>
            <b/>
            <sz val="10"/>
            <color indexed="81"/>
            <rFont val="Tahoma"/>
            <family val="2"/>
          </rPr>
          <t>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
Eri toimialojen vaihto-omaisuus-% löydät Yritystulkin tilastoista, kohdasta rahoitus -&gt; tilastot.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23.) ja Investoinnit alv 0 % (kohta 24.)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5" authorId="1" shapeId="0" xr:uid="{343DDB78-5ADF-4143-B2F9-32B25411F853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2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B201BE51-7878-4783-8839-DC69716E07EA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Toteutuneiden 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0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0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
8. T4 RAHOITUSSUUN.-taulukukon solussa H57. Pisin maksuaika 90 pv.</t>
        </r>
      </text>
    </comment>
    <comment ref="G24" authorId="0" shapeId="0" xr:uid="{4B9D557D-4BBA-4440-82BD-FE575C844B40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siirtyy tähän taulukosta 1.T1 INVESTOINTISUUN., kohdasta 10.
Huom. Liiketoimintakaupan tavaravaraston osto alv 0 %. Jos useita alv-prosentteja, niin luku on painotettu keskivarvo.</t>
        </r>
      </text>
    </comment>
    <comment ref="AD24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2023 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4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AE25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6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3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4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5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8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0" authorId="0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7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8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9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9" authorId="2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0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1" authorId="2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2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6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<sst xmlns="http://schemas.openxmlformats.org/spreadsheetml/2006/main" count="1635" uniqueCount="765">
  <si>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</si>
  <si>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</si>
  <si>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</si>
  <si>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</si>
  <si>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</si>
  <si>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</si>
  <si>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</si>
  <si>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</si>
  <si>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</si>
  <si>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</si>
  <si>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</si>
  <si>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</si>
  <si>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</si>
  <si>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</si>
  <si>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</si>
  <si>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</si>
  <si>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</si>
  <si>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</si>
  <si>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</si>
  <si>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</si>
  <si>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</si>
  <si>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</si>
  <si>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</si>
  <si>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</si>
  <si>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</si>
  <si>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</si>
  <si>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</si>
  <si>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</si>
  <si>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</si>
  <si>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</si>
  <si>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</si>
  <si>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</si>
  <si>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</si>
  <si>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</si>
  <si>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</si>
  <si>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</si>
  <si>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</si>
  <si>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</si>
  <si>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</si>
  <si>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</si>
  <si>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</si>
  <si>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</si>
  <si>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</si>
  <si>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</si>
  <si>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</si>
  <si>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</si>
  <si>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</si>
  <si>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</si>
  <si>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</si>
  <si>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</si>
  <si>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</si>
  <si>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</si>
  <si>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</si>
  <si>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</si>
  <si>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</si>
  <si>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</si>
  <si>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</si>
  <si>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</si>
  <si>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</si>
  <si>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</si>
  <si>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</si>
  <si>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</si>
  <si>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</si>
  <si>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</si>
  <si>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</si>
  <si>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</si>
  <si>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</si>
  <si>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</si>
  <si>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</si>
  <si>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</si>
  <si>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</si>
  <si>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</si>
  <si>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</si>
  <si>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</si>
  <si>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</si>
  <si>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</si>
  <si>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</si>
  <si>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</si>
  <si>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</si>
  <si>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</si>
  <si>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</si>
  <si>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</si>
  <si>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</si>
  <si>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</si>
  <si>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</si>
  <si>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</si>
  <si>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</si>
  <si>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</si>
  <si>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</si>
  <si>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</si>
  <si>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</si>
  <si>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</si>
  <si>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</si>
  <si>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</si>
  <si>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</si>
  <si>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</si>
  <si>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</si>
  <si>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</si>
  <si>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</si>
  <si>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</si>
  <si>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</si>
  <si>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</si>
  <si>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</si>
  <si>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</si>
  <si>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</si>
  <si>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</si>
  <si>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</si>
  <si>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</si>
  <si>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</si>
  <si>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</si>
  <si>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</si>
  <si>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</si>
  <si>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</si>
  <si>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</si>
  <si>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</si>
  <si>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</si>
  <si>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</si>
  <si>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</si>
  <si>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</si>
  <si>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</si>
  <si>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</si>
  <si>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</si>
  <si>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</si>
  <si>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</si>
  <si>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</si>
  <si>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</si>
  <si>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</si>
  <si>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</si>
  <si>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</si>
  <si>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</si>
  <si>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</si>
  <si>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</si>
  <si>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</si>
  <si>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</si>
  <si>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</si>
  <si>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</si>
  <si>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</si>
  <si>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</si>
  <si>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</si>
  <si>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</si>
  <si>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</si>
  <si>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</si>
  <si>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</si>
  <si>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</si>
  <si>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</si>
  <si>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</si>
  <si>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</si>
  <si>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</si>
  <si>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</si>
  <si>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</si>
  <si>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</si>
  <si>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</si>
  <si>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</si>
  <si>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</si>
  <si>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</si>
  <si>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</si>
  <si>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</si>
  <si>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</si>
  <si>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</si>
  <si>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</si>
  <si>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</si>
  <si>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</si>
  <si>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</si>
  <si>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</si>
  <si>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</si>
  <si>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</si>
  <si>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</si>
  <si>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</si>
  <si>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</si>
  <si>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</si>
  <si>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</si>
  <si>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</si>
  <si>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</si>
  <si>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</si>
  <si>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</si>
  <si>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</si>
  <si>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</si>
  <si>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</si>
  <si>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</si>
  <si>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</si>
  <si>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</si>
  <si>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</si>
  <si>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</si>
  <si>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</si>
  <si>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</si>
  <si>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</si>
  <si>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</si>
  <si>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</si>
  <si>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</si>
  <si>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</si>
  <si>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</si>
  <si>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</si>
  <si>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</si>
  <si>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</si>
  <si>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</si>
  <si>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</si>
  <si>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</si>
  <si>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</si>
  <si>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</si>
  <si>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</si>
  <si>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</si>
  <si>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</si>
  <si>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</si>
  <si>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</si>
  <si>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</si>
  <si>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</si>
  <si>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</si>
  <si>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</si>
  <si>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</si>
  <si>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</si>
  <si>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</si>
  <si>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</si>
  <si>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</si>
  <si>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</si>
  <si>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</si>
  <si>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</si>
  <si>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</si>
  <si>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</si>
  <si>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</si>
  <si>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</si>
  <si>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</si>
  <si>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</si>
  <si>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</si>
  <si>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</si>
  <si>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</si>
  <si>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</si>
  <si>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</si>
  <si>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</si>
  <si>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</si>
  <si>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</si>
  <si>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</si>
  <si>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</si>
  <si>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</si>
  <si>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</si>
  <si>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</si>
  <si>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</si>
  <si>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</si>
  <si>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</si>
  <si>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</si>
  <si>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</si>
  <si>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</si>
  <si>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</si>
  <si>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</si>
  <si>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</si>
  <si>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</si>
  <si>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</si>
  <si>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</si>
  <si>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</si>
  <si>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</si>
  <si>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</si>
  <si>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</si>
  <si>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</si>
  <si>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</si>
  <si>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</si>
  <si>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</si>
  <si>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</si>
  <si>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</si>
  <si>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</si>
  <si>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</si>
  <si>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</si>
  <si>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</si>
  <si>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</si>
  <si>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</si>
  <si>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</si>
  <si>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</si>
  <si>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</si>
  <si>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</si>
  <si>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</si>
  <si>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</si>
  <si>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</si>
  <si>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</si>
  <si>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</si>
  <si>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</si>
  <si>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</si>
  <si>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</si>
  <si>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</si>
  <si>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</si>
  <si>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</si>
  <si>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</si>
  <si>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</si>
  <si>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</si>
  <si>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</si>
  <si>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</si>
  <si>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</si>
  <si>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</si>
  <si>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</si>
  <si>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</si>
  <si>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</si>
  <si>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</si>
  <si>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</si>
  <si>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</si>
  <si>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</si>
  <si>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</si>
  <si>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</si>
  <si>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</si>
  <si>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</si>
  <si>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</si>
  <si>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</si>
  <si>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</si>
  <si>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</si>
  <si>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</si>
  <si>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</si>
  <si>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</si>
  <si>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</si>
  <si>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</si>
  <si>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</si>
  <si>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</si>
  <si>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</si>
  <si>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</si>
  <si>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</si>
  <si>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</si>
  <si>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</si>
  <si>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</si>
  <si>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</si>
  <si>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</si>
  <si>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</si>
  <si>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</si>
  <si>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</si>
  <si>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</si>
  <si>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</si>
  <si>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</si>
  <si>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</si>
  <si>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</si>
  <si>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</si>
  <si>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</si>
  <si>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</si>
  <si>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</si>
  <si>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</si>
  <si>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</si>
  <si>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</si>
  <si>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</si>
  <si>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</si>
  <si>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</si>
  <si>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</si>
  <si>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</si>
  <si>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</si>
  <si>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</si>
  <si>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</si>
  <si>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</si>
  <si>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</si>
  <si>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</si>
  <si>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</si>
  <si>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</si>
  <si>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</si>
  <si>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</si>
  <si>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</si>
  <si>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</si>
  <si>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</si>
  <si>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</si>
  <si>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</si>
  <si>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</si>
  <si>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</si>
  <si>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</si>
  <si>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</si>
  <si>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</si>
  <si>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</si>
  <si>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</si>
  <si>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</si>
  <si>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</si>
  <si>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</si>
  <si>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</si>
  <si>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</si>
  <si>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</si>
  <si>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</si>
  <si>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</si>
  <si>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</si>
  <si>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</si>
  <si>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</si>
  <si>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</si>
  <si>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</si>
  <si>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</si>
  <si>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</si>
  <si>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</si>
  <si>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</si>
  <si>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</si>
  <si>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</si>
  <si>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</si>
  <si>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</si>
  <si>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</si>
  <si>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</si>
  <si>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</si>
  <si>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</si>
  <si>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</si>
  <si>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</si>
  <si>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</si>
  <si>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</si>
  <si>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</si>
  <si>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</si>
  <si>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</si>
  <si>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</si>
  <si>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</si>
  <si>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</si>
  <si>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</si>
  <si>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</si>
  <si>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</si>
  <si>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</si>
  <si>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</si>
  <si>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</si>
  <si>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</si>
  <si>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</si>
  <si>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</si>
  <si>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</si>
  <si>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</si>
  <si>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</si>
  <si>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</si>
  <si>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</si>
  <si>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</si>
  <si>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</si>
  <si>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</si>
  <si>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</si>
  <si>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</si>
  <si>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</si>
  <si>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</si>
  <si>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</si>
  <si>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</si>
  <si>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</si>
  <si>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</si>
  <si>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</si>
  <si>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</si>
  <si>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</si>
  <si>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</si>
  <si>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</si>
  <si>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</si>
  <si>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</si>
  <si>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</si>
  <si>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</si>
  <si>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</si>
  <si>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</si>
  <si>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</si>
  <si>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</si>
  <si>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</si>
  <si>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</si>
  <si>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</si>
  <si>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</si>
  <si>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</si>
  <si>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</si>
  <si>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</si>
  <si>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</si>
  <si>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</si>
  <si>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</si>
  <si>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</si>
  <si>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</si>
  <si>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</si>
  <si>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</si>
  <si>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</si>
  <si>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</si>
  <si>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</si>
  <si>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</si>
  <si>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</si>
  <si>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</si>
  <si>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</si>
  <si>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</si>
  <si>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</si>
  <si>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</si>
  <si>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</si>
  <si>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</si>
  <si>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</si>
  <si>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</si>
  <si>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</si>
  <si>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</si>
  <si>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</si>
  <si>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</si>
  <si>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</si>
  <si>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</si>
  <si>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</si>
  <si>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</si>
  <si>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</si>
  <si>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</si>
  <si>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</si>
  <si>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</si>
  <si>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</si>
  <si>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</si>
  <si>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</si>
  <si>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</si>
  <si>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</si>
  <si>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</si>
  <si>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</si>
  <si>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</si>
  <si>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</si>
  <si>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</si>
  <si>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</si>
  <si>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</si>
  <si>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</si>
  <si>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</si>
  <si>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</si>
  <si>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</si>
  <si>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</si>
  <si>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</si>
  <si>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</si>
  <si>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</si>
  <si>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</si>
  <si>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</si>
  <si>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</si>
  <si>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</si>
  <si>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</si>
  <si>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</si>
  <si>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</si>
  <si>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</si>
  <si>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</si>
  <si>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</si>
  <si>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</si>
  <si>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</si>
  <si>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</si>
  <si>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</si>
  <si>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</si>
  <si>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</si>
  <si>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</si>
  <si>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</si>
  <si>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</si>
  <si>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</si>
  <si>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</si>
  <si>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</si>
  <si>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</si>
  <si>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</si>
  <si>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</si>
  <si>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</si>
  <si>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</si>
  <si>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</si>
  <si>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</si>
  <si>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</si>
  <si>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</si>
  <si>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Sähköpostiosoite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</si>
  <si>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</si>
  <si>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</si>
  <si>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</si>
  <si>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</si>
  <si>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</si>
  <si>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</si>
  <si>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</si>
  <si>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</si>
  <si>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</si>
  <si>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</si>
  <si>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</si>
  <si>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</si>
  <si>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</si>
  <si>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</si>
  <si>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</si>
  <si>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</si>
  <si>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</si>
  <si>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</si>
  <si>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</si>
  <si>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</si>
  <si>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</si>
  <si>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</si>
  <si>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</si>
  <si>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</si>
  <si>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</si>
  <si>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</si>
  <si>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</si>
  <si>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</si>
  <si>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</si>
  <si>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</si>
  <si>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</si>
  <si>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</si>
  <si>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</si>
  <si>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</si>
  <si>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</si>
  <si>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</si>
  <si>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</si>
  <si>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</si>
  <si>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</si>
  <si>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</si>
  <si>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</si>
  <si>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</si>
  <si>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</si>
  <si>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</si>
  <si>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</si>
  <si>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</si>
  <si>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</si>
  <si>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</si>
  <si>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</si>
  <si>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</si>
  <si>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</si>
  <si>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</si>
  <si>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</si>
  <si>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</si>
  <si>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</si>
  <si>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</si>
  <si>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</si>
  <si>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</si>
  <si>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</si>
  <si>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</si>
  <si>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</si>
  <si>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</si>
  <si>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</si>
  <si>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</si>
  <si>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</si>
  <si>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</si>
  <si>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</si>
  <si>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</si>
  <si>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</si>
  <si>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</si>
  <si>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</si>
  <si>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</si>
  <si>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</si>
  <si>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</si>
  <si>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</si>
  <si>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</si>
  <si>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</si>
  <si>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</si>
  <si>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</si>
  <si>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</si>
  <si>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</si>
  <si>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</si>
  <si>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</si>
  <si>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</si>
  <si>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</si>
  <si>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</si>
  <si>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</si>
  <si>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</si>
  <si>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</si>
  <si>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</si>
  <si>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</si>
  <si>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</si>
  <si>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</si>
  <si>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</si>
  <si>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</si>
  <si>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</si>
  <si>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</si>
  <si>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</si>
  <si>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</si>
  <si>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</si>
  <si>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</si>
  <si>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</si>
  <si>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</si>
  <si>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</si>
  <si>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</si>
  <si>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</si>
  <si>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</si>
  <si>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</si>
  <si>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</si>
  <si>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</si>
  <si>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</si>
  <si>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</si>
  <si>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</si>
  <si>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</si>
  <si>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</si>
  <si>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</si>
  <si>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</si>
  <si>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</si>
  <si>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</si>
  <si>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</si>
  <si>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</si>
  <si>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</si>
  <si>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</si>
  <si>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</si>
  <si>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</si>
  <si>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</si>
  <si>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</si>
  <si>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</si>
  <si>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</si>
  <si>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</si>
  <si>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</si>
  <si>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</si>
  <si>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</si>
  <si>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</si>
  <si>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</si>
  <si>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</si>
  <si>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</si>
  <si>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</si>
  <si>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</si>
  <si>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</si>
  <si>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</si>
  <si>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</si>
  <si>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</si>
  <si>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</si>
  <si>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</si>
  <si>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</si>
  <si>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</si>
  <si>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</si>
  <si>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</si>
  <si>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</si>
  <si>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</si>
  <si>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</si>
  <si>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</si>
  <si>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</si>
  <si>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</si>
  <si>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</si>
  <si>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</si>
  <si>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</si>
  <si>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</si>
  <si>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</si>
  <si>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</si>
  <si>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</si>
  <si>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</si>
  <si>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</si>
  <si>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</si>
  <si>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</si>
  <si>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</si>
  <si>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</si>
  <si>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</si>
  <si>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</si>
  <si>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</si>
  <si>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</si>
  <si>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</si>
  <si>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</si>
  <si>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</si>
  <si>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</si>
  <si>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</si>
  <si>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</si>
  <si>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 xml:space="preserve"> VUOSITTAIN MAKSETTAVAT LYHENNYKSET JA KOROT</t>
  </si>
  <si>
    <t xml:space="preserve"> Tuote, palvelu tai liikevaihto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</si>
  <si>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</si>
  <si>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</si>
  <si>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</si>
  <si>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</si>
  <si>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</si>
  <si>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</si>
  <si>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</si>
  <si>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</si>
  <si>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</si>
  <si>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</si>
  <si>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</si>
  <si>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</si>
  <si>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</si>
  <si>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</si>
  <si>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</si>
  <si>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</si>
  <si>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</si>
  <si>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</si>
  <si>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</si>
  <si>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</si>
  <si>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</si>
  <si>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</si>
  <si>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</si>
  <si>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</si>
  <si>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</si>
  <si>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</si>
  <si>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</si>
  <si>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</si>
  <si>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   - vähennykset tilikaudella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</si>
  <si>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</si>
  <si>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</si>
  <si>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</si>
  <si>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</si>
  <si>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</si>
  <si>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</si>
  <si>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</si>
  <si>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 xml:space="preserve"> - tuntipalkka keskimäärin/hlö tai kuukausipalkka</t>
  </si>
  <si>
    <t xml:space="preserve"> - työtunnit / kk / henkilö, kuukausipalkka = luku on 1</t>
  </si>
  <si>
    <t>OHJE</t>
  </si>
  <si>
    <t xml:space="preserve"> Henkilöstön määrä</t>
  </si>
  <si>
    <t>Yrityksen nimi</t>
  </si>
  <si>
    <t>Laatija</t>
  </si>
  <si>
    <t>Hankekuvaus</t>
  </si>
  <si>
    <t>Sähköpostiosoite</t>
  </si>
  <si>
    <t>Puhelinnumero</t>
  </si>
  <si>
    <t>Aloittamisajankohta</t>
  </si>
  <si>
    <t>Arvioitu valmistuminen</t>
  </si>
  <si>
    <t>Muut aineelliset hyöd., vaihto-omais. osto</t>
  </si>
  <si>
    <t>ELYn avustus, pääomalainan lisäys, sijoitusten tuloutus, omaisuuden myyntitulot, osakepääoman konvertointi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</si>
  <si>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</si>
  <si>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</si>
  <si>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</si>
  <si>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</si>
  <si>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</si>
  <si>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Muut aineelliset hyödykkeet</t>
  </si>
  <si>
    <t>Pitkäaik. lainojen lyhennyserämuutokset</t>
  </si>
  <si>
    <t>Liiketoimintakaupan tavarav., alkuvarasto</t>
  </si>
  <si>
    <t>Yritystulkin tarjoaa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</si>
  <si>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</si>
  <si>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</si>
  <si>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</si>
  <si>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</si>
  <si>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Alavuden Kehitys 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</si>
</sst>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0"/>
      <color theme="9" tint="-0.249977111117893"/>
      <name val="Arial"/>
      <family val="2"/>
    </font>
    <font>
      <i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6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/>
      <bottom style="hair">
        <color theme="3" tint="-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theme="0" tint="-0.499984740745262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thin">
        <color theme="0" tint="-0.499984740745262"/>
      </right>
      <top style="hair">
        <color theme="3" tint="-0.249977111117893"/>
      </top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/>
      <diagonal/>
    </border>
    <border>
      <left/>
      <right style="thin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indexed="64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thin">
        <color theme="0" tint="-0.499984740745262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theme="0" tint="-0.499984740745262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hair">
        <color theme="0" tint="-0.14996795556505021"/>
      </right>
      <top/>
      <bottom style="thin">
        <color indexed="64"/>
      </bottom>
      <diagonal/>
    </border>
    <border>
      <left/>
      <right style="hair">
        <color theme="0" tint="-0.14996795556505021"/>
      </right>
      <top style="thin">
        <color indexed="64"/>
      </top>
      <bottom/>
      <diagonal/>
    </border>
    <border>
      <left style="thin">
        <color theme="0" tint="-0.34998626667073579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thin">
        <color theme="0" tint="-0.34998626667073579"/>
      </bottom>
      <diagonal/>
    </border>
    <border>
      <left/>
      <right style="hair">
        <color theme="4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4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2289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14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10" fillId="0" borderId="2" xfId="0" applyFont="1" applyBorder="1"/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9" fontId="5" fillId="0" borderId="0" xfId="0" applyNumberFormat="1" applyFont="1"/>
    <xf numFmtId="6" fontId="5" fillId="0" borderId="0" xfId="0" applyNumberFormat="1" applyFont="1" applyAlignment="1">
      <alignment horizontal="center" vertical="center"/>
    </xf>
    <xf numFmtId="0" fontId="18" fillId="0" borderId="7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1" fillId="0" borderId="1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/>
    <xf numFmtId="0" fontId="7" fillId="0" borderId="0" xfId="0" applyFont="1" applyAlignment="1">
      <alignment horizontal="left"/>
    </xf>
    <xf numFmtId="0" fontId="5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25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5" xfId="0" applyFont="1" applyBorder="1"/>
    <xf numFmtId="0" fontId="4" fillId="0" borderId="25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left"/>
      <protection hidden="1"/>
    </xf>
    <xf numFmtId="0" fontId="5" fillId="0" borderId="25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4" fillId="2" borderId="0" xfId="0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9" fillId="0" borderId="0" xfId="0" applyFont="1"/>
    <xf numFmtId="0" fontId="5" fillId="0" borderId="16" xfId="0" applyFont="1" applyBorder="1"/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6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5" fillId="0" borderId="0" xfId="0" applyNumberFormat="1" applyFont="1"/>
    <xf numFmtId="0" fontId="3" fillId="0" borderId="27" xfId="0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0" fontId="11" fillId="0" borderId="17" xfId="0" applyFont="1" applyBorder="1"/>
    <xf numFmtId="164" fontId="11" fillId="0" borderId="17" xfId="2" applyNumberFormat="1" applyFont="1" applyBorder="1"/>
    <xf numFmtId="3" fontId="11" fillId="0" borderId="17" xfId="2" applyNumberFormat="1" applyFont="1" applyBorder="1"/>
    <xf numFmtId="164" fontId="0" fillId="0" borderId="17" xfId="2" applyNumberFormat="1" applyFont="1" applyBorder="1"/>
    <xf numFmtId="0" fontId="11" fillId="0" borderId="41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9" fontId="0" fillId="0" borderId="0" xfId="2" applyFont="1"/>
    <xf numFmtId="167" fontId="5" fillId="0" borderId="0" xfId="0" applyNumberFormat="1" applyFont="1"/>
    <xf numFmtId="0" fontId="0" fillId="0" borderId="0" xfId="0" applyAlignment="1">
      <alignment horizontal="right"/>
    </xf>
    <xf numFmtId="3" fontId="4" fillId="5" borderId="16" xfId="0" applyNumberFormat="1" applyFont="1" applyFill="1" applyBorder="1" applyAlignment="1">
      <alignment horizontal="right" vertical="center"/>
    </xf>
    <xf numFmtId="3" fontId="4" fillId="5" borderId="33" xfId="0" applyNumberFormat="1" applyFont="1" applyFill="1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0" xfId="0" applyFont="1" applyBorder="1" applyAlignment="1">
      <alignment horizontal="right"/>
    </xf>
    <xf numFmtId="0" fontId="5" fillId="0" borderId="10" xfId="0" applyFont="1" applyBorder="1"/>
    <xf numFmtId="0" fontId="16" fillId="0" borderId="10" xfId="0" applyFont="1" applyBorder="1"/>
    <xf numFmtId="167" fontId="5" fillId="0" borderId="10" xfId="0" applyNumberFormat="1" applyFont="1" applyBorder="1"/>
    <xf numFmtId="3" fontId="5" fillId="0" borderId="10" xfId="0" applyNumberFormat="1" applyFont="1" applyBorder="1"/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9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right" vertical="center"/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3" fontId="10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0" fillId="0" borderId="13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43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0" fontId="10" fillId="0" borderId="46" xfId="0" applyFont="1" applyBorder="1" applyAlignment="1">
      <alignment horizontal="right" vertical="center"/>
    </xf>
    <xf numFmtId="0" fontId="5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vertical="center"/>
    </xf>
    <xf numFmtId="0" fontId="11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vertical="center"/>
      <protection hidden="1"/>
    </xf>
    <xf numFmtId="167" fontId="5" fillId="0" borderId="51" xfId="0" applyNumberFormat="1" applyFont="1" applyBorder="1" applyAlignment="1" applyProtection="1">
      <alignment vertical="center"/>
      <protection hidden="1"/>
    </xf>
    <xf numFmtId="167" fontId="6" fillId="3" borderId="38" xfId="0" applyNumberFormat="1" applyFont="1" applyFill="1" applyBorder="1" applyAlignment="1" applyProtection="1">
      <alignment vertical="center"/>
      <protection hidden="1"/>
    </xf>
    <xf numFmtId="167" fontId="6" fillId="3" borderId="35" xfId="0" applyNumberFormat="1" applyFont="1" applyFill="1" applyBorder="1" applyAlignment="1" applyProtection="1">
      <alignment vertical="center"/>
      <protection hidden="1"/>
    </xf>
    <xf numFmtId="3" fontId="6" fillId="3" borderId="38" xfId="0" applyNumberFormat="1" applyFont="1" applyFill="1" applyBorder="1" applyAlignment="1" applyProtection="1">
      <alignment vertical="center"/>
      <protection hidden="1"/>
    </xf>
    <xf numFmtId="3" fontId="5" fillId="0" borderId="48" xfId="0" applyNumberFormat="1" applyFont="1" applyBorder="1" applyAlignment="1" applyProtection="1">
      <alignment vertical="center"/>
      <protection hidden="1"/>
    </xf>
    <xf numFmtId="167" fontId="11" fillId="3" borderId="35" xfId="0" applyNumberFormat="1" applyFont="1" applyFill="1" applyBorder="1" applyAlignment="1" applyProtection="1">
      <alignment vertical="center"/>
      <protection hidden="1"/>
    </xf>
    <xf numFmtId="9" fontId="6" fillId="3" borderId="38" xfId="0" applyNumberFormat="1" applyFont="1" applyFill="1" applyBorder="1" applyAlignment="1" applyProtection="1">
      <alignment vertical="center"/>
      <protection hidden="1"/>
    </xf>
    <xf numFmtId="164" fontId="6" fillId="3" borderId="35" xfId="0" applyNumberFormat="1" applyFont="1" applyFill="1" applyBorder="1" applyAlignment="1" applyProtection="1">
      <alignment vertical="center"/>
      <protection hidden="1"/>
    </xf>
    <xf numFmtId="164" fontId="6" fillId="3" borderId="38" xfId="0" applyNumberFormat="1" applyFont="1" applyFill="1" applyBorder="1" applyAlignment="1" applyProtection="1">
      <alignment vertical="center"/>
      <protection hidden="1"/>
    </xf>
    <xf numFmtId="0" fontId="6" fillId="0" borderId="25" xfId="0" applyFont="1" applyBorder="1" applyAlignment="1">
      <alignment vertical="center"/>
    </xf>
    <xf numFmtId="3" fontId="6" fillId="0" borderId="39" xfId="0" applyNumberFormat="1" applyFont="1" applyBorder="1" applyAlignment="1" applyProtection="1">
      <alignment vertical="center"/>
      <protection hidden="1"/>
    </xf>
    <xf numFmtId="167" fontId="6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167" fontId="6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>
      <alignment horizontal="right"/>
    </xf>
    <xf numFmtId="3" fontId="5" fillId="0" borderId="2" xfId="0" applyNumberFormat="1" applyFont="1" applyBorder="1"/>
    <xf numFmtId="9" fontId="5" fillId="0" borderId="2" xfId="2" applyFont="1" applyBorder="1"/>
    <xf numFmtId="0" fontId="5" fillId="0" borderId="2" xfId="0" applyFont="1" applyBorder="1"/>
    <xf numFmtId="167" fontId="5" fillId="0" borderId="2" xfId="0" applyNumberFormat="1" applyFont="1" applyBorder="1"/>
    <xf numFmtId="3" fontId="5" fillId="0" borderId="1" xfId="0" applyNumberFormat="1" applyFont="1" applyBorder="1"/>
    <xf numFmtId="0" fontId="0" fillId="0" borderId="27" xfId="0" applyBorder="1" applyAlignment="1">
      <alignment horizontal="right"/>
    </xf>
    <xf numFmtId="0" fontId="4" fillId="0" borderId="13" xfId="0" applyFont="1" applyBorder="1" applyAlignment="1">
      <alignment horizontal="right"/>
    </xf>
    <xf numFmtId="0" fontId="17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4" fillId="0" borderId="34" xfId="0" applyNumberFormat="1" applyFont="1" applyBorder="1"/>
    <xf numFmtId="9" fontId="11" fillId="0" borderId="17" xfId="2" applyFont="1" applyBorder="1"/>
    <xf numFmtId="0" fontId="4" fillId="0" borderId="64" xfId="0" applyFont="1" applyBorder="1" applyAlignment="1" applyProtection="1">
      <alignment horizontal="left" vertical="center"/>
      <protection hidden="1"/>
    </xf>
    <xf numFmtId="0" fontId="4" fillId="0" borderId="65" xfId="0" applyFont="1" applyBorder="1" applyAlignment="1" applyProtection="1">
      <alignment horizontal="left" vertical="center"/>
      <protection hidden="1"/>
    </xf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3" fillId="0" borderId="34" xfId="0" applyFont="1" applyBorder="1" applyAlignment="1">
      <alignment horizontal="center"/>
    </xf>
    <xf numFmtId="167" fontId="6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5" fillId="0" borderId="1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16" fillId="0" borderId="7" xfId="0" applyFont="1" applyBorder="1" applyProtection="1">
      <protection locked="0"/>
    </xf>
    <xf numFmtId="1" fontId="10" fillId="0" borderId="17" xfId="0" applyNumberFormat="1" applyFont="1" applyBorder="1" applyAlignment="1" applyProtection="1">
      <alignment horizontal="center"/>
      <protection hidden="1"/>
    </xf>
    <xf numFmtId="1" fontId="10" fillId="0" borderId="17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19" xfId="0" applyNumberFormat="1" applyFont="1" applyBorder="1" applyAlignment="1" applyProtection="1">
      <alignment horizontal="right"/>
      <protection hidden="1"/>
    </xf>
    <xf numFmtId="3" fontId="5" fillId="0" borderId="7" xfId="0" applyNumberFormat="1" applyFont="1" applyBorder="1"/>
    <xf numFmtId="3" fontId="5" fillId="0" borderId="68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1" xfId="0" applyNumberFormat="1" applyFont="1" applyBorder="1"/>
    <xf numFmtId="3" fontId="5" fillId="0" borderId="16" xfId="0" applyNumberFormat="1" applyFont="1" applyBorder="1"/>
    <xf numFmtId="3" fontId="5" fillId="0" borderId="69" xfId="0" applyNumberFormat="1" applyFont="1" applyBorder="1"/>
    <xf numFmtId="3" fontId="5" fillId="0" borderId="12" xfId="0" applyNumberFormat="1" applyFont="1" applyBorder="1"/>
    <xf numFmtId="0" fontId="5" fillId="0" borderId="2" xfId="0" applyFont="1" applyBorder="1" applyAlignment="1">
      <alignment horizontal="center"/>
    </xf>
    <xf numFmtId="166" fontId="5" fillId="0" borderId="2" xfId="0" applyNumberFormat="1" applyFont="1" applyBorder="1"/>
    <xf numFmtId="3" fontId="5" fillId="0" borderId="1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26" xfId="0" applyNumberFormat="1" applyFont="1" applyBorder="1"/>
    <xf numFmtId="3" fontId="5" fillId="0" borderId="13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1" fontId="10" fillId="5" borderId="33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166" fontId="11" fillId="5" borderId="35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5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1" fillId="0" borderId="31" xfId="0" applyFont="1" applyBorder="1" applyAlignment="1">
      <alignment vertical="center"/>
    </xf>
    <xf numFmtId="0" fontId="11" fillId="0" borderId="77" xfId="0" applyFont="1" applyBorder="1" applyAlignment="1">
      <alignment vertical="center"/>
    </xf>
    <xf numFmtId="0" fontId="11" fillId="0" borderId="46" xfId="0" quotePrefix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9" fontId="11" fillId="3" borderId="17" xfId="0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11" fillId="0" borderId="34" xfId="0" applyFont="1" applyBorder="1" applyAlignment="1" applyProtection="1">
      <alignment horizontal="right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 applyProtection="1">
      <alignment vertical="center"/>
      <protection hidden="1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1" fillId="0" borderId="82" xfId="0" applyFont="1" applyBorder="1" applyProtection="1">
      <protection hidden="1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10" xfId="0" applyFont="1" applyBorder="1" applyAlignment="1">
      <alignment vertical="center"/>
    </xf>
    <xf numFmtId="0" fontId="11" fillId="0" borderId="27" xfId="0" applyFont="1" applyBorder="1" applyAlignment="1">
      <alignment horizontal="center"/>
    </xf>
    <xf numFmtId="0" fontId="11" fillId="0" borderId="60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9" fontId="43" fillId="7" borderId="17" xfId="0" applyNumberFormat="1" applyFont="1" applyFill="1" applyBorder="1" applyAlignment="1" applyProtection="1">
      <alignment horizontal="center" vertical="center"/>
      <protection locked="0"/>
    </xf>
    <xf numFmtId="166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20" xfId="0" applyFont="1" applyBorder="1" applyAlignment="1">
      <alignment horizontal="center" vertical="center"/>
    </xf>
    <xf numFmtId="166" fontId="43" fillId="7" borderId="2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>
      <alignment horizontal="left" vertical="center"/>
    </xf>
    <xf numFmtId="1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44" xfId="0" applyFont="1" applyBorder="1" applyAlignment="1">
      <alignment horizontal="center" vertical="center"/>
    </xf>
    <xf numFmtId="0" fontId="43" fillId="0" borderId="83" xfId="0" applyFont="1" applyBorder="1" applyAlignment="1">
      <alignment horizontal="center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27" xfId="0" applyFont="1" applyBorder="1"/>
    <xf numFmtId="0" fontId="11" fillId="0" borderId="25" xfId="0" applyFont="1" applyBorder="1" applyAlignment="1" applyProtection="1">
      <alignment vertical="center"/>
      <protection locked="0"/>
    </xf>
    <xf numFmtId="167" fontId="6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0" fontId="0" fillId="0" borderId="72" xfId="0" applyBorder="1"/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7" fillId="2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5" fillId="10" borderId="21" xfId="0" applyNumberFormat="1" applyFont="1" applyFill="1" applyBorder="1" applyAlignment="1" applyProtection="1">
      <alignment horizontal="center" vertical="center"/>
      <protection hidden="1"/>
    </xf>
    <xf numFmtId="3" fontId="5" fillId="10" borderId="19" xfId="0" applyNumberFormat="1" applyFont="1" applyFill="1" applyBorder="1" applyAlignment="1" applyProtection="1">
      <alignment horizontal="center" vertical="center"/>
      <protection hidden="1"/>
    </xf>
    <xf numFmtId="3" fontId="4" fillId="10" borderId="17" xfId="0" applyNumberFormat="1" applyFont="1" applyFill="1" applyBorder="1" applyProtection="1">
      <protection hidden="1"/>
    </xf>
    <xf numFmtId="3" fontId="5" fillId="10" borderId="22" xfId="0" applyNumberFormat="1" applyFont="1" applyFill="1" applyBorder="1" applyAlignment="1" applyProtection="1">
      <alignment horizontal="center" vertical="center"/>
      <protection hidden="1"/>
    </xf>
    <xf numFmtId="166" fontId="42" fillId="7" borderId="101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6" fontId="48" fillId="0" borderId="0" xfId="0" applyNumberFormat="1" applyFont="1" applyAlignment="1">
      <alignment horizontal="center"/>
    </xf>
    <xf numFmtId="3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19" xfId="0" applyFont="1" applyBorder="1" applyAlignment="1">
      <alignment horizontal="center" vertical="center"/>
    </xf>
    <xf numFmtId="0" fontId="50" fillId="0" borderId="0" xfId="0" applyFont="1"/>
    <xf numFmtId="0" fontId="50" fillId="0" borderId="17" xfId="0" applyFont="1" applyBorder="1"/>
    <xf numFmtId="1" fontId="10" fillId="0" borderId="17" xfId="0" applyNumberFormat="1" applyFont="1" applyBorder="1" applyAlignment="1">
      <alignment horizontal="center" vertical="center"/>
    </xf>
    <xf numFmtId="1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0" fontId="6" fillId="7" borderId="84" xfId="0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17" xfId="0" applyNumberFormat="1" applyFont="1" applyFill="1" applyBorder="1" applyAlignment="1" applyProtection="1">
      <alignment horizontal="center" vertical="center"/>
      <protection locked="0"/>
    </xf>
    <xf numFmtId="1" fontId="6" fillId="7" borderId="84" xfId="0" applyNumberFormat="1" applyFont="1" applyFill="1" applyBorder="1" applyAlignment="1" applyProtection="1">
      <alignment horizontal="center" vertical="center"/>
      <protection locked="0"/>
    </xf>
    <xf numFmtId="1" fontId="3" fillId="8" borderId="62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vertical="center"/>
      <protection hidden="1"/>
    </xf>
    <xf numFmtId="3" fontId="3" fillId="0" borderId="6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horizont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1" fillId="0" borderId="0" xfId="2" applyNumberFormat="1" applyFont="1"/>
    <xf numFmtId="3" fontId="11" fillId="0" borderId="0" xfId="2" applyNumberFormat="1" applyFont="1"/>
    <xf numFmtId="9" fontId="11" fillId="0" borderId="0" xfId="2" applyFont="1"/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1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1" fillId="0" borderId="76" xfId="0" applyFont="1" applyBorder="1" applyAlignment="1">
      <alignment vertical="center"/>
    </xf>
    <xf numFmtId="0" fontId="11" fillId="0" borderId="77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92" xfId="0" applyFont="1" applyBorder="1" applyAlignment="1">
      <alignment vertical="center"/>
    </xf>
    <xf numFmtId="0" fontId="10" fillId="0" borderId="93" xfId="0" applyFont="1" applyBorder="1" applyAlignment="1">
      <alignment horizontal="right" vertical="center"/>
    </xf>
    <xf numFmtId="0" fontId="10" fillId="0" borderId="92" xfId="0" applyFont="1" applyBorder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5" fillId="0" borderId="12" xfId="0" applyFont="1" applyBorder="1" applyAlignment="1">
      <alignment vertical="center"/>
    </xf>
    <xf numFmtId="3" fontId="11" fillId="0" borderId="34" xfId="0" applyNumberFormat="1" applyFont="1" applyBorder="1" applyAlignment="1" applyProtection="1">
      <alignment vertical="center"/>
      <protection hidden="1"/>
    </xf>
    <xf numFmtId="0" fontId="11" fillId="0" borderId="94" xfId="0" applyFont="1" applyBorder="1" applyAlignment="1">
      <alignment vertical="center"/>
    </xf>
    <xf numFmtId="0" fontId="5" fillId="0" borderId="95" xfId="0" applyFont="1" applyBorder="1" applyAlignment="1">
      <alignment horizontal="right" vertical="center"/>
    </xf>
    <xf numFmtId="0" fontId="11" fillId="0" borderId="46" xfId="0" applyFont="1" applyBorder="1" applyAlignment="1" applyProtection="1">
      <alignment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0" fontId="11" fillId="0" borderId="95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2" borderId="7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2" borderId="16" xfId="0" applyFont="1" applyFill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3" fontId="2" fillId="2" borderId="0" xfId="0" applyNumberFormat="1" applyFont="1" applyFill="1" applyProtection="1">
      <protection hidden="1"/>
    </xf>
    <xf numFmtId="17" fontId="5" fillId="0" borderId="0" xfId="0" applyNumberFormat="1" applyFont="1"/>
    <xf numFmtId="17" fontId="10" fillId="0" borderId="0" xfId="0" applyNumberFormat="1" applyFont="1"/>
    <xf numFmtId="1" fontId="10" fillId="0" borderId="0" xfId="0" applyNumberFormat="1" applyFont="1"/>
    <xf numFmtId="3" fontId="10" fillId="0" borderId="0" xfId="0" applyNumberFormat="1" applyFont="1"/>
    <xf numFmtId="0" fontId="11" fillId="11" borderId="0" xfId="0" applyFont="1" applyFill="1"/>
    <xf numFmtId="3" fontId="11" fillId="11" borderId="0" xfId="0" applyNumberFormat="1" applyFont="1" applyFill="1"/>
    <xf numFmtId="0" fontId="2" fillId="0" borderId="0" xfId="0" applyFont="1"/>
    <xf numFmtId="0" fontId="10" fillId="0" borderId="0" xfId="0" applyFont="1" applyAlignment="1">
      <alignment horizontal="center"/>
    </xf>
    <xf numFmtId="0" fontId="10" fillId="0" borderId="12" xfId="0" applyFont="1" applyBorder="1"/>
    <xf numFmtId="17" fontId="10" fillId="0" borderId="2" xfId="0" applyNumberFormat="1" applyFont="1" applyBorder="1"/>
    <xf numFmtId="17" fontId="10" fillId="0" borderId="1" xfId="0" applyNumberFormat="1" applyFont="1" applyBorder="1"/>
    <xf numFmtId="0" fontId="10" fillId="0" borderId="27" xfId="0" applyFont="1" applyBorder="1" applyAlignment="1">
      <alignment horizontal="center"/>
    </xf>
    <xf numFmtId="1" fontId="10" fillId="0" borderId="28" xfId="0" applyNumberFormat="1" applyFont="1" applyBorder="1"/>
    <xf numFmtId="0" fontId="10" fillId="0" borderId="28" xfId="0" applyFont="1" applyBorder="1"/>
    <xf numFmtId="0" fontId="11" fillId="0" borderId="28" xfId="0" applyFont="1" applyBorder="1"/>
    <xf numFmtId="0" fontId="11" fillId="0" borderId="13" xfId="0" applyFont="1" applyBorder="1"/>
    <xf numFmtId="0" fontId="10" fillId="0" borderId="34" xfId="0" applyFont="1" applyBorder="1" applyAlignment="1">
      <alignment horizontal="right"/>
    </xf>
    <xf numFmtId="3" fontId="10" fillId="0" borderId="34" xfId="0" applyNumberFormat="1" applyFont="1" applyBorder="1"/>
    <xf numFmtId="0" fontId="0" fillId="0" borderId="0" xfId="0" applyProtection="1">
      <protection locked="0"/>
    </xf>
    <xf numFmtId="0" fontId="4" fillId="0" borderId="34" xfId="0" applyFont="1" applyBorder="1" applyAlignment="1" applyProtection="1">
      <alignment horizontal="left" vertical="center"/>
      <protection hidden="1"/>
    </xf>
    <xf numFmtId="0" fontId="11" fillId="0" borderId="34" xfId="0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horizontal="center"/>
    </xf>
    <xf numFmtId="9" fontId="11" fillId="3" borderId="38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72" xfId="0" applyFont="1" applyBorder="1" applyAlignment="1">
      <alignment horizontal="left" vertical="center"/>
    </xf>
    <xf numFmtId="0" fontId="0" fillId="0" borderId="73" xfId="0" applyBorder="1"/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3" fontId="11" fillId="0" borderId="45" xfId="0" applyNumberFormat="1" applyFont="1" applyBorder="1" applyAlignment="1" applyProtection="1">
      <alignment horizontal="right" vertical="center" wrapText="1"/>
      <protection hidden="1"/>
    </xf>
    <xf numFmtId="0" fontId="11" fillId="0" borderId="43" xfId="0" applyFont="1" applyBorder="1" applyAlignment="1" applyProtection="1">
      <alignment horizontal="righ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1" fillId="3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31" xfId="0" applyFont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0" fillId="0" borderId="17" xfId="0" applyNumberFormat="1" applyBorder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vertical="center"/>
    </xf>
    <xf numFmtId="3" fontId="11" fillId="0" borderId="17" xfId="0" applyNumberFormat="1" applyFont="1" applyBorder="1"/>
    <xf numFmtId="0" fontId="40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1" fillId="0" borderId="45" xfId="0" applyFont="1" applyBorder="1" applyAlignment="1">
      <alignment horizontal="left" vertical="center" wrapText="1"/>
    </xf>
    <xf numFmtId="1" fontId="6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top" wrapText="1"/>
    </xf>
    <xf numFmtId="0" fontId="3" fillId="7" borderId="47" xfId="0" applyFont="1" applyFill="1" applyBorder="1" applyAlignment="1" applyProtection="1">
      <alignment horizontal="center" vertical="center"/>
      <protection locked="0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>
      <alignment horizontal="center" vertical="center"/>
    </xf>
    <xf numFmtId="0" fontId="11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1" fillId="0" borderId="23" xfId="0" applyFont="1" applyBorder="1" applyAlignment="1" applyProtection="1">
      <alignment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0" borderId="119" xfId="0" applyFont="1" applyBorder="1" applyAlignment="1" applyProtection="1">
      <alignment vertical="center"/>
      <protection hidden="1"/>
    </xf>
    <xf numFmtId="0" fontId="10" fillId="0" borderId="120" xfId="0" applyFont="1" applyBorder="1" applyAlignment="1">
      <alignment horizontal="right" vertical="center"/>
    </xf>
    <xf numFmtId="0" fontId="10" fillId="0" borderId="121" xfId="0" quotePrefix="1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0" borderId="16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4" fontId="5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 vertical="center"/>
      <protection hidden="1"/>
    </xf>
    <xf numFmtId="14" fontId="10" fillId="7" borderId="0" xfId="0" applyNumberFormat="1" applyFont="1" applyFill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6" fillId="0" borderId="57" xfId="0" applyNumberFormat="1" applyFont="1" applyBorder="1" applyAlignment="1" applyProtection="1">
      <alignment horizontal="center" vertical="center"/>
      <protection hidden="1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6" fillId="0" borderId="88" xfId="0" applyNumberFormat="1" applyFont="1" applyBorder="1" applyAlignment="1" applyProtection="1">
      <alignment horizontal="center" vertical="center"/>
      <protection hidden="1"/>
    </xf>
    <xf numFmtId="3" fontId="3" fillId="0" borderId="117" xfId="0" applyNumberFormat="1" applyFont="1" applyBorder="1" applyAlignment="1" applyProtection="1">
      <alignment horizontal="center" vertical="center"/>
      <protection hidden="1"/>
    </xf>
    <xf numFmtId="3" fontId="6" fillId="7" borderId="32" xfId="0" applyNumberFormat="1" applyFont="1" applyFill="1" applyBorder="1" applyAlignment="1" applyProtection="1">
      <alignment horizontal="center" vertical="center"/>
      <protection locked="0"/>
    </xf>
    <xf numFmtId="164" fontId="6" fillId="7" borderId="33" xfId="2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2" applyNumberFormat="1" applyFont="1" applyFill="1" applyBorder="1" applyAlignment="1" applyProtection="1">
      <alignment horizontal="center" vertical="center"/>
      <protection locked="0"/>
    </xf>
    <xf numFmtId="3" fontId="6" fillId="7" borderId="84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2" applyNumberFormat="1" applyFont="1" applyFill="1" applyBorder="1" applyAlignment="1" applyProtection="1">
      <alignment horizontal="center" vertical="center"/>
      <protection locked="0"/>
    </xf>
    <xf numFmtId="0" fontId="3" fillId="3" borderId="116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3" fontId="6" fillId="7" borderId="53" xfId="0" applyNumberFormat="1" applyFont="1" applyFill="1" applyBorder="1" applyAlignment="1" applyProtection="1">
      <alignment horizontal="center" vertical="center"/>
      <protection locked="0"/>
    </xf>
    <xf numFmtId="3" fontId="6" fillId="7" borderId="16" xfId="0" applyNumberFormat="1" applyFont="1" applyFill="1" applyBorder="1" applyAlignment="1" applyProtection="1">
      <alignment horizontal="center" vertical="center"/>
      <protection locked="0"/>
    </xf>
    <xf numFmtId="3" fontId="6" fillId="0" borderId="23" xfId="0" applyNumberFormat="1" applyFont="1" applyBorder="1" applyAlignment="1" applyProtection="1">
      <alignment horizontal="center" vertical="center"/>
      <protection hidden="1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33" xfId="0" applyNumberFormat="1" applyFont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 applyProtection="1">
      <alignment horizontal="center" vertical="center"/>
      <protection hidden="1"/>
    </xf>
    <xf numFmtId="3" fontId="6" fillId="0" borderId="52" xfId="0" applyNumberFormat="1" applyFont="1" applyBorder="1" applyAlignment="1" applyProtection="1">
      <alignment horizontal="center" vertical="center"/>
      <protection hidden="1"/>
    </xf>
    <xf numFmtId="3" fontId="6" fillId="0" borderId="16" xfId="0" applyNumberFormat="1" applyFont="1" applyBorder="1" applyAlignment="1" applyProtection="1">
      <alignment horizontal="center" vertical="center"/>
      <protection hidden="1"/>
    </xf>
    <xf numFmtId="3" fontId="6" fillId="0" borderId="39" xfId="0" applyNumberFormat="1" applyFont="1" applyBorder="1" applyAlignment="1" applyProtection="1">
      <alignment horizontal="center" vertical="center"/>
      <protection hidden="1"/>
    </xf>
    <xf numFmtId="3" fontId="6" fillId="0" borderId="14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 applyProtection="1">
      <alignment horizontal="center" vertical="center"/>
      <protection hidden="1"/>
    </xf>
    <xf numFmtId="3" fontId="6" fillId="0" borderId="56" xfId="0" applyNumberFormat="1" applyFont="1" applyBorder="1" applyAlignment="1" applyProtection="1">
      <alignment horizontal="center" vertical="center"/>
      <protection hidden="1"/>
    </xf>
    <xf numFmtId="3" fontId="6" fillId="7" borderId="39" xfId="0" applyNumberFormat="1" applyFont="1" applyFill="1" applyBorder="1" applyAlignment="1" applyProtection="1">
      <alignment horizontal="center" vertical="center"/>
      <protection locked="0"/>
    </xf>
    <xf numFmtId="3" fontId="6" fillId="7" borderId="14" xfId="0" applyNumberFormat="1" applyFont="1" applyFill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3" fontId="6" fillId="5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>
      <alignment horizontal="center" vertical="center"/>
    </xf>
    <xf numFmtId="3" fontId="6" fillId="5" borderId="87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>
      <alignment horizontal="center" vertical="center"/>
    </xf>
    <xf numFmtId="3" fontId="6" fillId="0" borderId="87" xfId="0" applyNumberFormat="1" applyFont="1" applyBorder="1" applyAlignment="1" applyProtection="1">
      <alignment horizontal="center" vertical="center"/>
      <protection hidden="1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 applyProtection="1">
      <alignment horizontal="center" vertical="center"/>
      <protection hidden="1"/>
    </xf>
    <xf numFmtId="3" fontId="6" fillId="7" borderId="87" xfId="0" applyNumberFormat="1" applyFont="1" applyFill="1" applyBorder="1" applyAlignment="1" applyProtection="1">
      <alignment horizontal="center" vertical="center"/>
      <protection locked="0"/>
    </xf>
    <xf numFmtId="3" fontId="3" fillId="0" borderId="54" xfId="0" applyNumberFormat="1" applyFont="1" applyBorder="1" applyAlignment="1" applyProtection="1">
      <alignment horizontal="center" vertical="center"/>
      <protection hidden="1"/>
    </xf>
    <xf numFmtId="3" fontId="3" fillId="0" borderId="62" xfId="0" applyNumberFormat="1" applyFont="1" applyBorder="1" applyAlignment="1" applyProtection="1">
      <alignment horizontal="center" vertical="center"/>
      <protection hidden="1"/>
    </xf>
    <xf numFmtId="3" fontId="3" fillId="0" borderId="66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 vertical="center"/>
      <protection hidden="1"/>
    </xf>
    <xf numFmtId="3" fontId="3" fillId="0" borderId="43" xfId="0" applyNumberFormat="1" applyFont="1" applyBorder="1" applyAlignment="1" applyProtection="1">
      <alignment horizontal="center" vertical="center"/>
      <protection hidden="1"/>
    </xf>
    <xf numFmtId="3" fontId="6" fillId="8" borderId="16" xfId="0" applyNumberFormat="1" applyFont="1" applyFill="1" applyBorder="1" applyAlignment="1" applyProtection="1">
      <alignment horizontal="center" vertical="center"/>
      <protection hidden="1"/>
    </xf>
    <xf numFmtId="3" fontId="6" fillId="8" borderId="33" xfId="0" applyNumberFormat="1" applyFont="1" applyFill="1" applyBorder="1" applyAlignment="1" applyProtection="1">
      <alignment horizontal="center" vertical="center"/>
      <protection hidden="1"/>
    </xf>
    <xf numFmtId="3" fontId="6" fillId="8" borderId="59" xfId="0" applyNumberFormat="1" applyFont="1" applyFill="1" applyBorder="1" applyAlignment="1" applyProtection="1">
      <alignment horizontal="center" vertical="center"/>
      <protection hidden="1"/>
    </xf>
    <xf numFmtId="3" fontId="6" fillId="8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16" xfId="0" applyNumberFormat="1" applyFont="1" applyFill="1" applyBorder="1" applyAlignment="1" applyProtection="1">
      <alignment horizontal="center" vertical="center"/>
      <protection hidden="1"/>
    </xf>
    <xf numFmtId="3" fontId="6" fillId="5" borderId="23" xfId="0" applyNumberFormat="1" applyFont="1" applyFill="1" applyBorder="1" applyAlignment="1" applyProtection="1">
      <alignment horizontal="center" vertical="center"/>
      <protection hidden="1"/>
    </xf>
    <xf numFmtId="3" fontId="6" fillId="5" borderId="10" xfId="0" applyNumberFormat="1" applyFont="1" applyFill="1" applyBorder="1" applyAlignment="1">
      <alignment horizontal="center" vertical="center"/>
    </xf>
    <xf numFmtId="3" fontId="6" fillId="5" borderId="20" xfId="0" applyNumberFormat="1" applyFont="1" applyFill="1" applyBorder="1" applyAlignment="1">
      <alignment horizontal="center" vertical="center"/>
    </xf>
    <xf numFmtId="3" fontId="6" fillId="5" borderId="10" xfId="0" applyNumberFormat="1" applyFont="1" applyFill="1" applyBorder="1" applyAlignment="1" applyProtection="1">
      <alignment horizontal="center" vertical="center"/>
      <protection hidden="1"/>
    </xf>
    <xf numFmtId="3" fontId="6" fillId="5" borderId="35" xfId="0" applyNumberFormat="1" applyFont="1" applyFill="1" applyBorder="1" applyAlignment="1" applyProtection="1">
      <alignment horizontal="center" vertical="center"/>
      <protection hidden="1"/>
    </xf>
    <xf numFmtId="3" fontId="6" fillId="8" borderId="10" xfId="0" applyNumberFormat="1" applyFont="1" applyFill="1" applyBorder="1" applyAlignment="1" applyProtection="1">
      <alignment horizontal="center" vertical="center"/>
      <protection hidden="1"/>
    </xf>
    <xf numFmtId="3" fontId="6" fillId="0" borderId="38" xfId="0" applyNumberFormat="1" applyFont="1" applyBorder="1" applyAlignment="1">
      <alignment horizontal="center" vertical="center"/>
    </xf>
    <xf numFmtId="3" fontId="6" fillId="5" borderId="91" xfId="0" applyNumberFormat="1" applyFont="1" applyFill="1" applyBorder="1" applyAlignment="1">
      <alignment horizontal="center" vertical="center"/>
    </xf>
    <xf numFmtId="3" fontId="6" fillId="5" borderId="89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 applyProtection="1">
      <alignment horizontal="center" vertical="center"/>
      <protection hidden="1"/>
    </xf>
    <xf numFmtId="3" fontId="6" fillId="5" borderId="88" xfId="0" applyNumberFormat="1" applyFont="1" applyFill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>
      <alignment horizontal="center" vertical="center"/>
    </xf>
    <xf numFmtId="3" fontId="6" fillId="8" borderId="90" xfId="0" applyNumberFormat="1" applyFont="1" applyFill="1" applyBorder="1" applyAlignment="1" applyProtection="1">
      <alignment horizontal="center" vertical="center"/>
      <protection hidden="1"/>
    </xf>
    <xf numFmtId="3" fontId="3" fillId="8" borderId="54" xfId="0" applyNumberFormat="1" applyFont="1" applyFill="1" applyBorder="1" applyAlignment="1" applyProtection="1">
      <alignment horizontal="center" vertical="center"/>
      <protection hidden="1"/>
    </xf>
    <xf numFmtId="3" fontId="3" fillId="8" borderId="66" xfId="0" applyNumberFormat="1" applyFont="1" applyFill="1" applyBorder="1" applyAlignment="1" applyProtection="1">
      <alignment horizontal="center" vertical="center"/>
      <protection hidden="1"/>
    </xf>
    <xf numFmtId="3" fontId="3" fillId="8" borderId="62" xfId="0" applyNumberFormat="1" applyFont="1" applyFill="1" applyBorder="1" applyAlignment="1" applyProtection="1">
      <alignment horizontal="center" vertical="center"/>
      <protection hidden="1"/>
    </xf>
    <xf numFmtId="3" fontId="3" fillId="8" borderId="43" xfId="0" applyNumberFormat="1" applyFont="1" applyFill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7" xfId="0" applyNumberFormat="1" applyFont="1" applyFill="1" applyBorder="1" applyAlignment="1">
      <alignment horizontal="center" vertical="center"/>
    </xf>
    <xf numFmtId="3" fontId="3" fillId="0" borderId="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23" xfId="0" applyNumberFormat="1" applyFont="1" applyFill="1" applyBorder="1" applyAlignment="1" applyProtection="1">
      <alignment horizontal="center" vertical="center"/>
      <protection locked="0"/>
    </xf>
    <xf numFmtId="3" fontId="6" fillId="7" borderId="60" xfId="0" applyNumberFormat="1" applyFont="1" applyFill="1" applyBorder="1" applyAlignment="1" applyProtection="1">
      <alignment horizontal="center" vertical="center"/>
      <protection locked="0"/>
    </xf>
    <xf numFmtId="164" fontId="6" fillId="7" borderId="25" xfId="0" applyNumberFormat="1" applyFont="1" applyFill="1" applyBorder="1" applyAlignment="1" applyProtection="1">
      <alignment horizontal="center" vertical="center"/>
      <protection locked="0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7" borderId="56" xfId="0" applyNumberFormat="1" applyFont="1" applyFill="1" applyBorder="1" applyAlignment="1" applyProtection="1">
      <alignment horizontal="center" vertical="center"/>
      <protection locked="0"/>
    </xf>
    <xf numFmtId="164" fontId="6" fillId="7" borderId="20" xfId="0" applyNumberFormat="1" applyFont="1" applyFill="1" applyBorder="1" applyAlignment="1" applyProtection="1">
      <alignment horizontal="center" vertical="center"/>
      <protection locked="0"/>
    </xf>
    <xf numFmtId="164" fontId="6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164" fontId="11" fillId="0" borderId="35" xfId="2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/>
      <protection hidden="1"/>
    </xf>
    <xf numFmtId="4" fontId="11" fillId="0" borderId="35" xfId="0" applyNumberFormat="1" applyFont="1" applyBorder="1" applyAlignment="1" applyProtection="1">
      <alignment horizont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4" fontId="11" fillId="5" borderId="17" xfId="0" applyNumberFormat="1" applyFont="1" applyFill="1" applyBorder="1" applyAlignment="1" applyProtection="1">
      <alignment horizontal="center"/>
      <protection hidden="1"/>
    </xf>
    <xf numFmtId="0" fontId="11" fillId="5" borderId="17" xfId="0" applyFont="1" applyFill="1" applyBorder="1" applyAlignment="1">
      <alignment horizontal="center" vertical="center"/>
    </xf>
    <xf numFmtId="0" fontId="44" fillId="5" borderId="17" xfId="0" applyFont="1" applyFill="1" applyBorder="1" applyAlignment="1" applyProtection="1">
      <alignment horizontal="center" vertical="center"/>
      <protection hidden="1"/>
    </xf>
    <xf numFmtId="2" fontId="11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3" fontId="11" fillId="0" borderId="35" xfId="0" applyNumberFormat="1" applyFont="1" applyBorder="1" applyAlignment="1" applyProtection="1">
      <alignment horizontal="center"/>
      <protection hidden="1"/>
    </xf>
    <xf numFmtId="164" fontId="59" fillId="5" borderId="17" xfId="0" applyNumberFormat="1" applyFont="1" applyFill="1" applyBorder="1" applyAlignment="1" applyProtection="1">
      <alignment horizont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43" fillId="5" borderId="60" xfId="0" applyNumberFormat="1" applyFont="1" applyFill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3" fontId="43" fillId="0" borderId="17" xfId="0" applyNumberFormat="1" applyFont="1" applyBorder="1" applyAlignment="1" applyProtection="1">
      <alignment horizontal="center" vertical="center"/>
      <protection hidden="1"/>
    </xf>
    <xf numFmtId="3" fontId="43" fillId="5" borderId="17" xfId="0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 vertical="center"/>
      <protection locked="0"/>
    </xf>
    <xf numFmtId="164" fontId="43" fillId="5" borderId="17" xfId="2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/>
      <protection locked="0"/>
    </xf>
    <xf numFmtId="3" fontId="4" fillId="2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84" xfId="0" applyNumberFormat="1" applyFont="1" applyFill="1" applyBorder="1" applyAlignment="1" applyProtection="1">
      <alignment horizontal="center" vertical="center"/>
      <protection hidden="1"/>
    </xf>
    <xf numFmtId="3" fontId="42" fillId="7" borderId="32" xfId="0" applyNumberFormat="1" applyFont="1" applyFill="1" applyBorder="1" applyAlignment="1" applyProtection="1">
      <alignment horizontal="center" vertical="center"/>
      <protection locked="0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60" xfId="0" applyFont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3" fillId="7" borderId="5" xfId="2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left" vertical="center"/>
    </xf>
    <xf numFmtId="3" fontId="11" fillId="7" borderId="17" xfId="0" applyNumberFormat="1" applyFont="1" applyFill="1" applyBorder="1" applyAlignment="1" applyProtection="1">
      <alignment horizontal="center"/>
      <protection locked="0"/>
    </xf>
    <xf numFmtId="164" fontId="11" fillId="7" borderId="17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7" borderId="23" xfId="0" applyNumberFormat="1" applyFont="1" applyFill="1" applyBorder="1" applyAlignment="1" applyProtection="1">
      <alignment horizontal="center" vertical="center"/>
      <protection locked="0"/>
    </xf>
    <xf numFmtId="3" fontId="11" fillId="7" borderId="32" xfId="0" applyNumberFormat="1" applyFont="1" applyFill="1" applyBorder="1" applyAlignment="1" applyProtection="1">
      <alignment horizontal="center"/>
      <protection locked="0"/>
    </xf>
    <xf numFmtId="3" fontId="11" fillId="7" borderId="23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167" fontId="4" fillId="0" borderId="17" xfId="0" applyNumberFormat="1" applyFont="1" applyBorder="1" applyAlignment="1">
      <alignment horizontal="center" vertical="center"/>
    </xf>
    <xf numFmtId="3" fontId="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167" fontId="68" fillId="0" borderId="0" xfId="0" applyNumberFormat="1" applyFont="1" applyAlignment="1" applyProtection="1">
      <alignment horizontal="right" vertical="center"/>
      <protection hidden="1"/>
    </xf>
    <xf numFmtId="167" fontId="6" fillId="0" borderId="0" xfId="0" applyNumberFormat="1" applyFont="1" applyAlignment="1" applyProtection="1">
      <alignment horizontal="center" vertical="center"/>
      <protection hidden="1"/>
    </xf>
    <xf numFmtId="167" fontId="6" fillId="0" borderId="0" xfId="0" applyNumberFormat="1" applyFont="1" applyProtection="1"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3" fontId="11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11" fillId="0" borderId="33" xfId="0" applyNumberFormat="1" applyFont="1" applyBorder="1" applyAlignment="1">
      <alignment horizontal="center" vertical="center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5" fillId="0" borderId="2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3" fontId="10" fillId="0" borderId="66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4" fontId="6" fillId="0" borderId="17" xfId="0" applyNumberFormat="1" applyFont="1" applyBorder="1" applyAlignment="1" applyProtection="1">
      <alignment horizontal="center" vertical="center"/>
      <protection hidden="1"/>
    </xf>
    <xf numFmtId="4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164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4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/>
      <protection hidden="1"/>
    </xf>
    <xf numFmtId="3" fontId="6" fillId="0" borderId="23" xfId="0" applyNumberFormat="1" applyFont="1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0" fontId="69" fillId="0" borderId="45" xfId="0" applyFont="1" applyBorder="1" applyAlignment="1" applyProtection="1">
      <alignment horizontal="center" vertical="center"/>
      <protection hidden="1"/>
    </xf>
    <xf numFmtId="0" fontId="70" fillId="0" borderId="45" xfId="0" applyFont="1" applyBorder="1" applyAlignment="1" applyProtection="1">
      <alignment horizontal="right" vertical="center"/>
      <protection hidden="1"/>
    </xf>
    <xf numFmtId="0" fontId="71" fillId="0" borderId="0" xfId="0" applyFont="1"/>
    <xf numFmtId="3" fontId="11" fillId="0" borderId="32" xfId="0" applyNumberFormat="1" applyFont="1" applyBorder="1" applyAlignment="1" applyProtection="1">
      <alignment horizontal="center"/>
      <protection hidden="1"/>
    </xf>
    <xf numFmtId="164" fontId="51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1" fillId="0" borderId="17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5" fillId="0" borderId="124" xfId="0" applyFont="1" applyBorder="1" applyAlignment="1" applyProtection="1">
      <alignment horizontal="center" vertical="center"/>
      <protection hidden="1"/>
    </xf>
    <xf numFmtId="0" fontId="52" fillId="0" borderId="126" xfId="0" applyFont="1" applyBorder="1" applyAlignment="1" applyProtection="1">
      <alignment horizontal="center" vertical="center"/>
      <protection hidden="1"/>
    </xf>
    <xf numFmtId="3" fontId="53" fillId="0" borderId="123" xfId="0" applyNumberFormat="1" applyFont="1" applyBorder="1" applyAlignment="1" applyProtection="1">
      <alignment horizontal="center" vertical="center"/>
      <protection hidden="1"/>
    </xf>
    <xf numFmtId="3" fontId="53" fillId="0" borderId="126" xfId="0" applyNumberFormat="1" applyFont="1" applyBorder="1" applyAlignment="1" applyProtection="1">
      <alignment horizontal="center" vertical="center"/>
      <protection hidden="1"/>
    </xf>
    <xf numFmtId="0" fontId="27" fillId="0" borderId="124" xfId="0" applyFont="1" applyBorder="1" applyAlignment="1" applyProtection="1">
      <alignment horizontal="center" vertical="center"/>
      <protection hidden="1"/>
    </xf>
    <xf numFmtId="3" fontId="54" fillId="0" borderId="123" xfId="0" applyNumberFormat="1" applyFont="1" applyBorder="1" applyAlignment="1" applyProtection="1">
      <alignment horizontal="center" vertical="center"/>
      <protection hidden="1"/>
    </xf>
    <xf numFmtId="0" fontId="55" fillId="0" borderId="124" xfId="0" applyFont="1" applyBorder="1" applyAlignment="1" applyProtection="1">
      <alignment horizontal="center" vertical="center"/>
      <protection hidden="1"/>
    </xf>
    <xf numFmtId="3" fontId="42" fillId="0" borderId="123" xfId="0" applyNumberFormat="1" applyFont="1" applyBorder="1" applyAlignment="1" applyProtection="1">
      <alignment horizontal="center" vertical="center"/>
      <protection hidden="1"/>
    </xf>
    <xf numFmtId="3" fontId="42" fillId="5" borderId="12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81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00" xfId="0" applyFont="1" applyBorder="1" applyAlignment="1" applyProtection="1">
      <alignment horizontal="center" vertical="center"/>
      <protection hidden="1"/>
    </xf>
    <xf numFmtId="0" fontId="6" fillId="2" borderId="0" xfId="0" applyFont="1" applyFill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3" fontId="4" fillId="5" borderId="61" xfId="0" applyNumberFormat="1" applyFont="1" applyFill="1" applyBorder="1" applyAlignment="1" applyProtection="1">
      <alignment vertical="center"/>
      <protection hidden="1"/>
    </xf>
    <xf numFmtId="167" fontId="4" fillId="0" borderId="18" xfId="0" applyNumberFormat="1" applyFont="1" applyBorder="1" applyAlignment="1" applyProtection="1">
      <alignment vertical="center"/>
      <protection hidden="1"/>
    </xf>
    <xf numFmtId="167" fontId="4" fillId="0" borderId="25" xfId="0" applyNumberFormat="1" applyFont="1" applyBorder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14" fontId="3" fillId="0" borderId="0" xfId="0" applyNumberFormat="1" applyFont="1" applyAlignment="1">
      <alignment horizontal="left" vertical="center"/>
    </xf>
    <xf numFmtId="0" fontId="5" fillId="0" borderId="0" xfId="0" applyFont="1" applyAlignment="1" applyProtection="1">
      <alignment horizontal="center" vertical="top"/>
      <protection hidden="1"/>
    </xf>
    <xf numFmtId="0" fontId="6" fillId="7" borderId="0" xfId="0" applyFont="1" applyFill="1" applyAlignment="1" applyProtection="1">
      <alignment vertical="center"/>
      <protection locked="0"/>
    </xf>
    <xf numFmtId="167" fontId="6" fillId="0" borderId="12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30" xfId="0" applyFont="1" applyBorder="1" applyAlignment="1" applyProtection="1">
      <alignment horizontal="center" vertical="center"/>
      <protection hidden="1"/>
    </xf>
    <xf numFmtId="167" fontId="6" fillId="0" borderId="130" xfId="0" applyNumberFormat="1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center" vertical="center"/>
      <protection hidden="1"/>
    </xf>
    <xf numFmtId="167" fontId="6" fillId="0" borderId="132" xfId="0" applyNumberFormat="1" applyFont="1" applyBorder="1" applyAlignment="1" applyProtection="1">
      <alignment horizontal="center" vertical="center"/>
      <protection hidden="1"/>
    </xf>
    <xf numFmtId="0" fontId="6" fillId="0" borderId="135" xfId="0" applyFont="1" applyBorder="1" applyAlignment="1" applyProtection="1">
      <alignment vertical="center"/>
      <protection hidden="1"/>
    </xf>
    <xf numFmtId="0" fontId="6" fillId="0" borderId="131" xfId="0" applyFont="1" applyBorder="1" applyAlignment="1" applyProtection="1">
      <alignment horizontal="left" vertical="center"/>
      <protection hidden="1"/>
    </xf>
    <xf numFmtId="0" fontId="6" fillId="0" borderId="136" xfId="0" applyFont="1" applyBorder="1" applyAlignment="1" applyProtection="1">
      <alignment vertical="center"/>
      <protection hidden="1"/>
    </xf>
    <xf numFmtId="0" fontId="6" fillId="0" borderId="136" xfId="0" applyFont="1" applyBorder="1" applyAlignment="1" applyProtection="1">
      <alignment horizontal="left" vertical="center"/>
      <protection hidden="1"/>
    </xf>
    <xf numFmtId="0" fontId="6" fillId="0" borderId="137" xfId="0" applyFont="1" applyBorder="1" applyAlignment="1" applyProtection="1">
      <alignment vertical="center"/>
      <protection hidden="1"/>
    </xf>
    <xf numFmtId="0" fontId="6" fillId="0" borderId="138" xfId="0" applyFont="1" applyBorder="1" applyAlignment="1" applyProtection="1">
      <alignment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5" borderId="139" xfId="0" applyNumberFormat="1" applyFont="1" applyFill="1" applyBorder="1" applyAlignment="1" applyProtection="1">
      <alignment horizontal="center" vertical="center"/>
      <protection hidden="1"/>
    </xf>
    <xf numFmtId="1" fontId="3" fillId="0" borderId="139" xfId="0" applyNumberFormat="1" applyFont="1" applyBorder="1" applyAlignment="1" applyProtection="1">
      <alignment horizontal="center" vertical="center"/>
      <protection hidden="1"/>
    </xf>
    <xf numFmtId="166" fontId="6" fillId="0" borderId="139" xfId="0" applyNumberFormat="1" applyFont="1" applyBorder="1" applyAlignment="1" applyProtection="1">
      <alignment horizontal="center" vertical="center"/>
      <protection hidden="1"/>
    </xf>
    <xf numFmtId="3" fontId="3" fillId="0" borderId="139" xfId="0" applyNumberFormat="1" applyFont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0" borderId="143" xfId="0" applyFont="1" applyBorder="1" applyAlignment="1" applyProtection="1">
      <alignment vertical="center"/>
      <protection hidden="1"/>
    </xf>
    <xf numFmtId="0" fontId="6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horizontal="left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/>
      <protection hidden="1"/>
    </xf>
    <xf numFmtId="167" fontId="6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vertical="center"/>
      <protection hidden="1"/>
    </xf>
    <xf numFmtId="0" fontId="6" fillId="0" borderId="143" xfId="0" applyFont="1" applyBorder="1" applyAlignment="1" applyProtection="1">
      <alignment vertical="center"/>
      <protection hidden="1"/>
    </xf>
    <xf numFmtId="0" fontId="3" fillId="0" borderId="138" xfId="0" applyFont="1" applyBorder="1" applyAlignment="1" applyProtection="1">
      <alignment vertical="center"/>
      <protection hidden="1"/>
    </xf>
    <xf numFmtId="0" fontId="3" fillId="0" borderId="137" xfId="0" applyFont="1" applyBorder="1" applyAlignment="1" applyProtection="1">
      <alignment horizontal="left" vertical="center"/>
      <protection hidden="1"/>
    </xf>
    <xf numFmtId="0" fontId="3" fillId="0" borderId="143" xfId="0" applyFont="1" applyBorder="1" applyAlignment="1" applyProtection="1">
      <alignment horizontal="left" vertical="center"/>
      <protection hidden="1"/>
    </xf>
    <xf numFmtId="0" fontId="6" fillId="5" borderId="139" xfId="0" applyFont="1" applyFill="1" applyBorder="1" applyAlignment="1" applyProtection="1">
      <alignment horizontal="center"/>
      <protection hidden="1"/>
    </xf>
    <xf numFmtId="0" fontId="6" fillId="5" borderId="139" xfId="0" applyFont="1" applyFill="1" applyBorder="1" applyAlignment="1" applyProtection="1">
      <alignment horizontal="center" vertical="center"/>
      <protection hidden="1"/>
    </xf>
    <xf numFmtId="167" fontId="69" fillId="0" borderId="139" xfId="0" applyNumberFormat="1" applyFont="1" applyBorder="1" applyAlignment="1" applyProtection="1">
      <alignment horizontal="center" vertical="center"/>
      <protection hidden="1"/>
    </xf>
    <xf numFmtId="0" fontId="6" fillId="5" borderId="137" xfId="0" applyFont="1" applyFill="1" applyBorder="1" applyAlignment="1" applyProtection="1">
      <alignment vertical="center"/>
      <protection hidden="1"/>
    </xf>
    <xf numFmtId="0" fontId="6" fillId="5" borderId="143" xfId="0" applyFont="1" applyFill="1" applyBorder="1" applyAlignment="1" applyProtection="1">
      <alignment vertical="center"/>
      <protection hidden="1"/>
    </xf>
    <xf numFmtId="167" fontId="6" fillId="5" borderId="139" xfId="0" applyNumberFormat="1" applyFont="1" applyFill="1" applyBorder="1" applyAlignment="1" applyProtection="1">
      <alignment horizont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right" vertical="center"/>
      <protection hidden="1"/>
    </xf>
    <xf numFmtId="3" fontId="3" fillId="0" borderId="138" xfId="0" applyNumberFormat="1" applyFont="1" applyBorder="1" applyAlignment="1" applyProtection="1">
      <alignment vertical="center"/>
      <protection hidden="1"/>
    </xf>
    <xf numFmtId="0" fontId="6" fillId="0" borderId="137" xfId="0" applyFont="1" applyBorder="1" applyAlignment="1">
      <alignment vertical="center"/>
    </xf>
    <xf numFmtId="0" fontId="0" fillId="0" borderId="137" xfId="0" applyBorder="1" applyAlignment="1">
      <alignment vertical="center"/>
    </xf>
    <xf numFmtId="0" fontId="6" fillId="0" borderId="138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4" fontId="3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horizontal="left"/>
      <protection hidden="1"/>
    </xf>
    <xf numFmtId="0" fontId="3" fillId="0" borderId="143" xfId="0" applyFont="1" applyBorder="1" applyAlignment="1" applyProtection="1">
      <alignment horizontal="left"/>
      <protection hidden="1"/>
    </xf>
    <xf numFmtId="0" fontId="3" fillId="0" borderId="138" xfId="0" applyFont="1" applyBorder="1" applyAlignment="1" applyProtection="1">
      <alignment horizontal="left"/>
      <protection hidden="1"/>
    </xf>
    <xf numFmtId="0" fontId="3" fillId="0" borderId="144" xfId="0" applyFont="1" applyBorder="1" applyAlignment="1" applyProtection="1">
      <alignment horizontal="left"/>
      <protection hidden="1"/>
    </xf>
    <xf numFmtId="0" fontId="6" fillId="0" borderId="143" xfId="0" applyFont="1" applyBorder="1" applyAlignment="1" applyProtection="1">
      <alignment horizontal="left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1" fontId="6" fillId="0" borderId="139" xfId="0" applyNumberFormat="1" applyFont="1" applyBorder="1" applyAlignment="1" applyProtection="1">
      <alignment horizontal="center" vertical="center"/>
      <protection hidden="1"/>
    </xf>
    <xf numFmtId="0" fontId="6" fillId="0" borderId="139" xfId="0" applyFont="1" applyBorder="1" applyAlignment="1" applyProtection="1">
      <alignment horizontal="center" vertical="center"/>
      <protection hidden="1"/>
    </xf>
    <xf numFmtId="167" fontId="72" fillId="0" borderId="0" xfId="0" applyNumberFormat="1" applyFont="1" applyAlignment="1" applyProtection="1">
      <alignment horizontal="right" vertical="center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7" fontId="6" fillId="0" borderId="147" xfId="0" applyNumberFormat="1" applyFont="1" applyBorder="1" applyAlignment="1" applyProtection="1">
      <alignment horizontal="center"/>
      <protection hidden="1"/>
    </xf>
    <xf numFmtId="167" fontId="6" fillId="0" borderId="147" xfId="0" applyNumberFormat="1" applyFont="1" applyBorder="1" applyAlignment="1" applyProtection="1">
      <alignment horizontal="center" vertical="center"/>
      <protection hidden="1"/>
    </xf>
    <xf numFmtId="167" fontId="3" fillId="0" borderId="148" xfId="0" applyNumberFormat="1" applyFont="1" applyBorder="1" applyAlignment="1" applyProtection="1">
      <alignment horizontal="center"/>
      <protection hidden="1"/>
    </xf>
    <xf numFmtId="167" fontId="3" fillId="0" borderId="148" xfId="0" applyNumberFormat="1" applyFont="1" applyBorder="1" applyAlignment="1" applyProtection="1">
      <alignment horizontal="center" vertical="center"/>
      <protection hidden="1"/>
    </xf>
    <xf numFmtId="3" fontId="5" fillId="0" borderId="50" xfId="0" applyNumberFormat="1" applyFont="1" applyBorder="1" applyAlignment="1">
      <alignment horizontal="center" vertical="center"/>
    </xf>
    <xf numFmtId="167" fontId="5" fillId="0" borderId="51" xfId="0" applyNumberFormat="1" applyFont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167" fontId="11" fillId="0" borderId="35" xfId="0" applyNumberFormat="1" applyFont="1" applyBorder="1" applyAlignment="1">
      <alignment horizontal="center" vertical="center"/>
    </xf>
    <xf numFmtId="167" fontId="6" fillId="3" borderId="35" xfId="0" applyNumberFormat="1" applyFont="1" applyFill="1" applyBorder="1" applyAlignment="1">
      <alignment horizontal="center" vertical="center"/>
    </xf>
    <xf numFmtId="167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11" fillId="0" borderId="38" xfId="0" applyNumberFormat="1" applyFont="1" applyBorder="1" applyAlignment="1">
      <alignment horizontal="center" vertical="center"/>
    </xf>
    <xf numFmtId="4" fontId="6" fillId="7" borderId="38" xfId="0" applyNumberFormat="1" applyFont="1" applyFill="1" applyBorder="1" applyAlignment="1" applyProtection="1">
      <alignment horizontal="center" vertical="center"/>
      <protection locked="0"/>
    </xf>
    <xf numFmtId="4" fontId="6" fillId="3" borderId="35" xfId="0" applyNumberFormat="1" applyFont="1" applyFill="1" applyBorder="1" applyAlignment="1">
      <alignment horizontal="center" vertical="center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167" fontId="11" fillId="3" borderId="33" xfId="0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>
      <alignment horizontal="center" vertical="center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7" fontId="5" fillId="0" borderId="51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>
      <alignment horizontal="center" vertical="center"/>
    </xf>
    <xf numFmtId="10" fontId="6" fillId="7" borderId="107" xfId="0" applyNumberFormat="1" applyFont="1" applyFill="1" applyBorder="1" applyAlignment="1" applyProtection="1">
      <alignment horizontal="center" vertical="center"/>
      <protection locked="0"/>
    </xf>
    <xf numFmtId="164" fontId="6" fillId="3" borderId="35" xfId="0" applyNumberFormat="1" applyFont="1" applyFill="1" applyBorder="1" applyAlignment="1">
      <alignment horizontal="center" vertical="center"/>
    </xf>
    <xf numFmtId="10" fontId="6" fillId="7" borderId="38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0" applyNumberFormat="1" applyFont="1" applyFill="1" applyBorder="1" applyAlignment="1">
      <alignment horizontal="center" vertical="center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167" fontId="6" fillId="3" borderId="35" xfId="0" applyNumberFormat="1" applyFont="1" applyFill="1" applyBorder="1" applyAlignment="1" applyProtection="1">
      <alignment horizontal="center" vertical="center"/>
      <protection hidden="1"/>
    </xf>
    <xf numFmtId="167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58" fillId="7" borderId="38" xfId="0" applyNumberFormat="1" applyFont="1" applyFill="1" applyBorder="1" applyAlignment="1" applyProtection="1">
      <alignment horizontal="center" vertical="center"/>
      <protection locked="0"/>
    </xf>
    <xf numFmtId="167" fontId="6" fillId="3" borderId="17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 applyProtection="1">
      <alignment horizontal="center" vertical="center"/>
      <protection hidden="1"/>
    </xf>
    <xf numFmtId="167" fontId="11" fillId="3" borderId="17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>
      <alignment horizontal="center" vertical="center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39" xfId="0" applyNumberFormat="1" applyFont="1" applyBorder="1" applyAlignment="1">
      <alignment horizontal="center" vertical="center"/>
    </xf>
    <xf numFmtId="167" fontId="6" fillId="0" borderId="37" xfId="0" applyNumberFormat="1" applyFont="1" applyBorder="1" applyAlignment="1">
      <alignment horizontal="center" vertical="center"/>
    </xf>
    <xf numFmtId="3" fontId="11" fillId="0" borderId="50" xfId="0" applyNumberFormat="1" applyFont="1" applyBorder="1" applyAlignment="1">
      <alignment horizontal="center" vertical="center"/>
    </xf>
    <xf numFmtId="167" fontId="11" fillId="0" borderId="51" xfId="0" applyNumberFormat="1" applyFont="1" applyBorder="1" applyAlignment="1" applyProtection="1">
      <alignment horizontal="center" vertical="center"/>
      <protection hidden="1"/>
    </xf>
    <xf numFmtId="167" fontId="6" fillId="3" borderId="22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 applyProtection="1">
      <alignment horizontal="center" vertical="center"/>
      <protection locked="0"/>
    </xf>
    <xf numFmtId="167" fontId="6" fillId="3" borderId="37" xfId="0" applyNumberFormat="1" applyFont="1" applyFill="1" applyBorder="1" applyAlignment="1" applyProtection="1">
      <alignment horizontal="center" vertical="center"/>
      <protection hidden="1"/>
    </xf>
    <xf numFmtId="167" fontId="11" fillId="0" borderId="69" xfId="0" applyNumberFormat="1" applyFont="1" applyBorder="1" applyAlignment="1" applyProtection="1">
      <alignment horizontal="center" vertical="center"/>
      <protection hidden="1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8" xfId="0" applyNumberFormat="1" applyFont="1" applyFill="1" applyBorder="1" applyAlignment="1" applyProtection="1">
      <alignment horizontal="center" vertical="center"/>
      <protection locked="0"/>
    </xf>
    <xf numFmtId="167" fontId="11" fillId="0" borderId="5" xfId="0" applyNumberFormat="1" applyFont="1" applyBorder="1" applyAlignment="1" applyProtection="1">
      <alignment horizontal="center" vertical="center"/>
      <protection hidden="1"/>
    </xf>
    <xf numFmtId="3" fontId="11" fillId="0" borderId="53" xfId="0" applyNumberFormat="1" applyFont="1" applyBorder="1" applyAlignment="1">
      <alignment horizontal="center" vertical="center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3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50" xfId="0" applyNumberFormat="1" applyFont="1" applyBorder="1" applyAlignment="1" applyProtection="1">
      <alignment horizontal="center" vertical="center"/>
      <protection hidden="1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20" xfId="0" applyNumberFormat="1" applyFont="1" applyFill="1" applyBorder="1" applyAlignment="1" applyProtection="1">
      <alignment horizontal="center" vertical="center"/>
      <protection locked="0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3" fontId="10" fillId="0" borderId="25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5" borderId="19" xfId="0" applyNumberFormat="1" applyFont="1" applyFill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5" borderId="17" xfId="0" applyNumberFormat="1" applyFont="1" applyFill="1" applyBorder="1" applyAlignment="1">
      <alignment horizontal="center" vertical="center"/>
    </xf>
    <xf numFmtId="3" fontId="10" fillId="5" borderId="36" xfId="0" applyNumberFormat="1" applyFont="1" applyFill="1" applyBorder="1" applyAlignment="1">
      <alignment horizontal="center" vertical="center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51" xfId="0" applyNumberFormat="1" applyFont="1" applyBorder="1" applyAlignment="1" applyProtection="1">
      <alignment horizontal="center" vertical="center"/>
      <protection hidden="1"/>
    </xf>
    <xf numFmtId="167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0" borderId="35" xfId="0" applyNumberFormat="1" applyFont="1" applyBorder="1" applyAlignment="1" applyProtection="1">
      <alignment horizontal="center" vertical="center"/>
      <protection hidden="1"/>
    </xf>
    <xf numFmtId="164" fontId="59" fillId="0" borderId="17" xfId="0" applyNumberFormat="1" applyFont="1" applyBorder="1" applyAlignment="1" applyProtection="1">
      <alignment horizontal="center" vertical="center"/>
      <protection hidden="1"/>
    </xf>
    <xf numFmtId="164" fontId="59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3" fontId="5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3" fontId="11" fillId="0" borderId="23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9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164" fontId="14" fillId="0" borderId="17" xfId="0" applyNumberFormat="1" applyFont="1" applyBorder="1" applyAlignment="1" applyProtection="1">
      <alignment horizontal="center" vertical="center"/>
      <protection hidden="1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>
      <alignment horizontal="center" vertical="center"/>
    </xf>
    <xf numFmtId="164" fontId="59" fillId="0" borderId="17" xfId="2" applyNumberFormat="1" applyFont="1" applyBorder="1" applyAlignment="1" applyProtection="1">
      <alignment horizontal="center" vertical="center"/>
      <protection hidden="1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3" fontId="11" fillId="7" borderId="59" xfId="0" applyNumberFormat="1" applyFont="1" applyFill="1" applyBorder="1" applyAlignment="1" applyProtection="1">
      <alignment horizontal="center" vertical="center"/>
      <protection locked="0"/>
    </xf>
    <xf numFmtId="3" fontId="11" fillId="0" borderId="53" xfId="0" applyNumberFormat="1" applyFont="1" applyBorder="1" applyAlignment="1" applyProtection="1">
      <alignment horizontal="center" vertical="center"/>
      <protection hidden="1"/>
    </xf>
    <xf numFmtId="3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11" fillId="7" borderId="8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1" fillId="5" borderId="8" xfId="0" applyNumberFormat="1" applyFont="1" applyFill="1" applyBorder="1" applyAlignment="1">
      <alignment horizontal="center" vertical="center"/>
    </xf>
    <xf numFmtId="164" fontId="51" fillId="7" borderId="21" xfId="0" applyNumberFormat="1" applyFont="1" applyFill="1" applyBorder="1" applyAlignment="1" applyProtection="1">
      <alignment horizontal="center" vertical="center"/>
      <protection locked="0"/>
    </xf>
    <xf numFmtId="3" fontId="61" fillId="7" borderId="38" xfId="0" applyNumberFormat="1" applyFont="1" applyFill="1" applyBorder="1" applyAlignment="1" applyProtection="1">
      <alignment horizontal="center" vertical="center"/>
      <protection locked="0"/>
    </xf>
    <xf numFmtId="3" fontId="61" fillId="7" borderId="21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3" fontId="11" fillId="7" borderId="53" xfId="0" applyNumberFormat="1" applyFont="1" applyFill="1" applyBorder="1" applyAlignment="1" applyProtection="1">
      <alignment horizontal="center" vertical="center"/>
      <protection locked="0"/>
    </xf>
    <xf numFmtId="3" fontId="11" fillId="5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3" fontId="11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shrinkToFit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 wrapText="1"/>
    </xf>
    <xf numFmtId="0" fontId="5" fillId="0" borderId="12" xfId="0" applyFont="1" applyBorder="1" applyAlignment="1">
      <alignment horizontal="center"/>
    </xf>
    <xf numFmtId="0" fontId="0" fillId="0" borderId="9" xfId="0" applyBorder="1"/>
    <xf numFmtId="3" fontId="5" fillId="0" borderId="61" xfId="0" applyNumberFormat="1" applyFont="1" applyBorder="1" applyAlignment="1" applyProtection="1">
      <alignment horizontal="center"/>
      <protection hidden="1"/>
    </xf>
    <xf numFmtId="3" fontId="5" fillId="0" borderId="2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3" fontId="10" fillId="0" borderId="4" xfId="0" applyNumberFormat="1" applyFont="1" applyBorder="1" applyAlignment="1">
      <alignment horizontal="center"/>
    </xf>
    <xf numFmtId="3" fontId="10" fillId="0" borderId="4" xfId="0" applyNumberFormat="1" applyFont="1" applyBorder="1" applyAlignment="1" applyProtection="1">
      <alignment horizontal="center"/>
      <protection hidden="1"/>
    </xf>
    <xf numFmtId="3" fontId="5" fillId="0" borderId="62" xfId="0" applyNumberFormat="1" applyFont="1" applyBorder="1" applyAlignment="1" applyProtection="1">
      <alignment horizontal="center"/>
      <protection hidden="1"/>
    </xf>
    <xf numFmtId="3" fontId="5" fillId="0" borderId="63" xfId="0" applyNumberFormat="1" applyFont="1" applyBorder="1" applyAlignment="1" applyProtection="1">
      <alignment horizontal="center"/>
      <protection hidden="1"/>
    </xf>
    <xf numFmtId="0" fontId="4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5" fillId="0" borderId="30" xfId="0" applyNumberFormat="1" applyFont="1" applyBorder="1" applyAlignment="1" applyProtection="1">
      <alignment horizontal="center"/>
      <protection hidden="1"/>
    </xf>
    <xf numFmtId="3" fontId="5" fillId="0" borderId="5" xfId="0" applyNumberFormat="1" applyFont="1" applyBorder="1" applyAlignment="1" applyProtection="1">
      <alignment horizont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0" borderId="35" xfId="0" applyNumberFormat="1" applyFont="1" applyBorder="1" applyAlignment="1">
      <alignment horizontal="center" vertical="center"/>
    </xf>
    <xf numFmtId="3" fontId="3" fillId="5" borderId="48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3" fillId="7" borderId="30" xfId="0" applyNumberFormat="1" applyFont="1" applyFill="1" applyBorder="1" applyAlignment="1" applyProtection="1">
      <alignment horizontal="center" vertical="center"/>
      <protection locked="0"/>
    </xf>
    <xf numFmtId="3" fontId="3" fillId="0" borderId="123" xfId="0" applyNumberFormat="1" applyFont="1" applyBorder="1" applyAlignment="1" applyProtection="1">
      <alignment horizontal="center" vertical="center"/>
      <protection hidden="1"/>
    </xf>
    <xf numFmtId="0" fontId="3" fillId="0" borderId="123" xfId="0" applyFont="1" applyBorder="1" applyAlignment="1" applyProtection="1">
      <alignment vertical="center"/>
      <protection hidden="1"/>
    </xf>
    <xf numFmtId="164" fontId="51" fillId="0" borderId="8" xfId="0" applyNumberFormat="1" applyFont="1" applyBorder="1" applyAlignment="1" applyProtection="1">
      <alignment horizontal="center" vertical="center"/>
      <protection hidden="1"/>
    </xf>
    <xf numFmtId="164" fontId="61" fillId="0" borderId="8" xfId="0" applyNumberFormat="1" applyFont="1" applyBorder="1" applyAlignment="1" applyProtection="1">
      <alignment horizontal="center" vertical="center"/>
      <protection hidden="1"/>
    </xf>
    <xf numFmtId="164" fontId="59" fillId="7" borderId="17" xfId="2" applyNumberFormat="1" applyFont="1" applyFill="1" applyBorder="1" applyAlignment="1" applyProtection="1">
      <alignment horizontal="center" vertical="center"/>
      <protection locked="0"/>
    </xf>
    <xf numFmtId="164" fontId="59" fillId="7" borderId="20" xfId="2" applyNumberFormat="1" applyFont="1" applyFill="1" applyBorder="1" applyAlignment="1" applyProtection="1">
      <alignment horizontal="center" vertical="center"/>
      <protection locked="0"/>
    </xf>
    <xf numFmtId="164" fontId="59" fillId="7" borderId="35" xfId="2" applyNumberFormat="1" applyFont="1" applyFill="1" applyBorder="1" applyAlignment="1" applyProtection="1">
      <alignment horizontal="center" vertical="center"/>
      <protection locked="0"/>
    </xf>
    <xf numFmtId="164" fontId="59" fillId="7" borderId="17" xfId="0" applyNumberFormat="1" applyFont="1" applyFill="1" applyBorder="1" applyAlignment="1" applyProtection="1">
      <alignment horizontal="center" vertical="center"/>
      <protection locked="0"/>
    </xf>
    <xf numFmtId="164" fontId="59" fillId="7" borderId="35" xfId="0" applyNumberFormat="1" applyFont="1" applyFill="1" applyBorder="1" applyAlignment="1" applyProtection="1">
      <alignment horizontal="center" vertical="center"/>
      <protection locked="0"/>
    </xf>
    <xf numFmtId="166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7" borderId="17" xfId="0" applyNumberFormat="1" applyFont="1" applyFill="1" applyBorder="1" applyAlignment="1" applyProtection="1">
      <alignment horizontal="center" vertical="center"/>
      <protection locked="0"/>
    </xf>
    <xf numFmtId="167" fontId="59" fillId="7" borderId="35" xfId="0" applyNumberFormat="1" applyFont="1" applyFill="1" applyBorder="1" applyAlignment="1" applyProtection="1">
      <alignment horizontal="center" vertical="center"/>
      <protection locked="0"/>
    </xf>
    <xf numFmtId="164" fontId="59" fillId="0" borderId="19" xfId="2" applyNumberFormat="1" applyFont="1" applyBorder="1" applyAlignment="1" applyProtection="1">
      <alignment horizontal="center" vertical="center"/>
      <protection hidden="1"/>
    </xf>
    <xf numFmtId="164" fontId="59" fillId="7" borderId="19" xfId="2" applyNumberFormat="1" applyFont="1" applyFill="1" applyBorder="1" applyAlignment="1" applyProtection="1">
      <alignment horizontal="center" vertical="center"/>
      <protection locked="0"/>
    </xf>
    <xf numFmtId="164" fontId="59" fillId="7" borderId="22" xfId="2" applyNumberFormat="1" applyFont="1" applyFill="1" applyBorder="1" applyAlignment="1" applyProtection="1">
      <alignment horizontal="center" vertical="center"/>
      <protection locked="0"/>
    </xf>
    <xf numFmtId="164" fontId="59" fillId="0" borderId="17" xfId="2" applyNumberFormat="1" applyFont="1" applyBorder="1" applyAlignment="1" applyProtection="1">
      <alignment horizontal="center"/>
      <protection hidden="1"/>
    </xf>
    <xf numFmtId="164" fontId="59" fillId="0" borderId="35" xfId="2" applyNumberFormat="1" applyFont="1" applyBorder="1" applyAlignment="1" applyProtection="1">
      <alignment horizontal="center"/>
      <protection hidden="1"/>
    </xf>
    <xf numFmtId="0" fontId="6" fillId="0" borderId="143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73" fillId="0" borderId="72" xfId="0" applyFont="1" applyBorder="1" applyAlignment="1" applyProtection="1">
      <alignment horizontal="left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right"/>
      <protection hidden="1"/>
    </xf>
    <xf numFmtId="4" fontId="59" fillId="0" borderId="139" xfId="0" applyNumberFormat="1" applyFont="1" applyBorder="1" applyAlignment="1" applyProtection="1">
      <alignment horizontal="center"/>
      <protection hidden="1"/>
    </xf>
    <xf numFmtId="4" fontId="59" fillId="6" borderId="139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Alignment="1" applyProtection="1">
      <alignment horizontal="right"/>
      <protection hidden="1"/>
    </xf>
    <xf numFmtId="164" fontId="3" fillId="0" borderId="139" xfId="2" applyNumberFormat="1" applyFont="1" applyBorder="1" applyAlignment="1" applyProtection="1">
      <alignment horizontal="center"/>
      <protection hidden="1"/>
    </xf>
    <xf numFmtId="2" fontId="3" fillId="0" borderId="143" xfId="0" applyNumberFormat="1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10" fillId="0" borderId="65" xfId="0" applyFont="1" applyBorder="1" applyAlignment="1">
      <alignment horizontal="right" vertical="center" indent="1"/>
    </xf>
    <xf numFmtId="0" fontId="11" fillId="0" borderId="138" xfId="0" applyFont="1" applyBorder="1" applyAlignment="1" applyProtection="1">
      <alignment horizontal="center"/>
      <protection hidden="1"/>
    </xf>
    <xf numFmtId="0" fontId="11" fillId="0" borderId="144" xfId="0" applyFont="1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center"/>
    </xf>
    <xf numFmtId="3" fontId="3" fillId="0" borderId="122" xfId="0" applyNumberFormat="1" applyFont="1" applyBorder="1" applyAlignment="1" applyProtection="1">
      <alignment horizontal="center" vertical="center" wrapText="1"/>
      <protection hidden="1"/>
    </xf>
    <xf numFmtId="167" fontId="69" fillId="0" borderId="47" xfId="0" applyNumberFormat="1" applyFont="1" applyBorder="1" applyAlignment="1" applyProtection="1">
      <alignment horizontal="center" vertical="center"/>
      <protection hidden="1"/>
    </xf>
    <xf numFmtId="167" fontId="69" fillId="0" borderId="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/>
      <protection hidden="1"/>
    </xf>
    <xf numFmtId="165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 applyProtection="1">
      <alignment horizontal="left" vertical="center"/>
      <protection hidden="1"/>
    </xf>
    <xf numFmtId="0" fontId="5" fillId="0" borderId="16" xfId="0" applyFont="1" applyBorder="1" applyAlignment="1">
      <alignment vertical="center"/>
    </xf>
    <xf numFmtId="0" fontId="11" fillId="0" borderId="25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63" xfId="0" applyFont="1" applyBorder="1" applyAlignment="1">
      <alignment vertical="center"/>
    </xf>
    <xf numFmtId="4" fontId="3" fillId="6" borderId="139" xfId="0" applyNumberFormat="1" applyFont="1" applyFill="1" applyBorder="1" applyAlignment="1" applyProtection="1">
      <alignment horizontal="center"/>
      <protection hidden="1"/>
    </xf>
    <xf numFmtId="4" fontId="11" fillId="8" borderId="17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right"/>
      <protection hidden="1"/>
    </xf>
    <xf numFmtId="2" fontId="75" fillId="0" borderId="13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/>
    <xf numFmtId="3" fontId="11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56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hidden="1"/>
    </xf>
    <xf numFmtId="167" fontId="76" fillId="0" borderId="0" xfId="0" applyNumberFormat="1" applyFont="1" applyAlignment="1">
      <alignment horizontal="left"/>
    </xf>
    <xf numFmtId="0" fontId="3" fillId="0" borderId="139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>
      <alignment horizontal="right" vertical="center"/>
    </xf>
    <xf numFmtId="0" fontId="5" fillId="0" borderId="55" xfId="0" applyFont="1" applyBorder="1" applyAlignment="1">
      <alignment horizontal="right" vertical="center"/>
    </xf>
    <xf numFmtId="167" fontId="6" fillId="3" borderId="10" xfId="0" applyNumberFormat="1" applyFont="1" applyFill="1" applyBorder="1" applyAlignment="1" applyProtection="1">
      <alignment vertical="center"/>
      <protection hidden="1"/>
    </xf>
    <xf numFmtId="164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78" fillId="0" borderId="23" xfId="0" applyFont="1" applyBorder="1" applyAlignment="1" applyProtection="1">
      <alignment vertical="center"/>
      <protection locked="0"/>
    </xf>
    <xf numFmtId="165" fontId="11" fillId="0" borderId="53" xfId="0" applyNumberFormat="1" applyFont="1" applyBorder="1" applyAlignment="1" applyProtection="1">
      <alignment horizontal="center" vertical="center"/>
      <protection hidden="1"/>
    </xf>
    <xf numFmtId="0" fontId="5" fillId="0" borderId="64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Protection="1">
      <protection hidden="1"/>
    </xf>
    <xf numFmtId="0" fontId="11" fillId="0" borderId="10" xfId="0" applyFont="1" applyBorder="1" applyProtection="1">
      <protection hidden="1"/>
    </xf>
    <xf numFmtId="0" fontId="10" fillId="0" borderId="158" xfId="0" applyFont="1" applyBorder="1" applyProtection="1"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0" borderId="17" xfId="2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5" borderId="34" xfId="0" applyFont="1" applyFill="1" applyBorder="1" applyAlignment="1" applyProtection="1">
      <alignment horizontal="center" vertical="center"/>
      <protection hidden="1"/>
    </xf>
    <xf numFmtId="164" fontId="3" fillId="8" borderId="63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hidden="1"/>
    </xf>
    <xf numFmtId="166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44" xfId="0" applyFont="1" applyBorder="1" applyAlignment="1" applyProtection="1">
      <alignment horizontal="center"/>
      <protection hidden="1"/>
    </xf>
    <xf numFmtId="0" fontId="10" fillId="0" borderId="10" xfId="0" applyFont="1" applyBorder="1" applyProtection="1">
      <protection hidden="1"/>
    </xf>
    <xf numFmtId="0" fontId="10" fillId="0" borderId="44" xfId="0" applyFont="1" applyBorder="1" applyProtection="1">
      <protection hidden="1"/>
    </xf>
    <xf numFmtId="0" fontId="0" fillId="0" borderId="10" xfId="0" applyBorder="1"/>
    <xf numFmtId="0" fontId="11" fillId="0" borderId="160" xfId="0" applyFont="1" applyBorder="1" applyProtection="1">
      <protection hidden="1"/>
    </xf>
    <xf numFmtId="17" fontId="11" fillId="0" borderId="0" xfId="0" applyNumberFormat="1" applyFont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18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9" xfId="0" applyFont="1" applyBorder="1" applyAlignment="1" applyProtection="1">
      <alignment horizontal="center" vertical="center"/>
      <protection hidden="1"/>
    </xf>
    <xf numFmtId="0" fontId="6" fillId="0" borderId="53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10" fontId="3" fillId="5" borderId="17" xfId="2" applyNumberFormat="1" applyFont="1" applyFill="1" applyBorder="1" applyAlignment="1" applyProtection="1">
      <alignment horizontal="center" vertical="center"/>
      <protection hidden="1"/>
    </xf>
    <xf numFmtId="10" fontId="3" fillId="5" borderId="19" xfId="2" applyNumberFormat="1" applyFont="1" applyFill="1" applyBorder="1" applyAlignment="1" applyProtection="1">
      <alignment horizontal="center" vertical="center"/>
      <protection hidden="1"/>
    </xf>
    <xf numFmtId="10" fontId="3" fillId="7" borderId="19" xfId="0" applyNumberFormat="1" applyFont="1" applyFill="1" applyBorder="1" applyAlignment="1">
      <alignment horizontal="center" vertical="center"/>
    </xf>
    <xf numFmtId="10" fontId="3" fillId="5" borderId="19" xfId="0" applyNumberFormat="1" applyFont="1" applyFill="1" applyBorder="1" applyAlignment="1">
      <alignment horizontal="center" vertical="center"/>
    </xf>
    <xf numFmtId="10" fontId="6" fillId="5" borderId="35" xfId="0" applyNumberFormat="1" applyFont="1" applyFill="1" applyBorder="1" applyAlignment="1">
      <alignment horizontal="center" vertical="center"/>
    </xf>
    <xf numFmtId="10" fontId="3" fillId="5" borderId="17" xfId="0" applyNumberFormat="1" applyFont="1" applyFill="1" applyBorder="1" applyAlignment="1">
      <alignment horizontal="center" vertical="center"/>
    </xf>
    <xf numFmtId="10" fontId="3" fillId="7" borderId="17" xfId="0" applyNumberFormat="1" applyFont="1" applyFill="1" applyBorder="1" applyAlignment="1">
      <alignment horizontal="center" vertical="center"/>
    </xf>
    <xf numFmtId="10" fontId="6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6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6" fillId="0" borderId="17" xfId="0" applyNumberFormat="1" applyFont="1" applyBorder="1" applyAlignment="1" applyProtection="1">
      <alignment horizontal="center" vertical="center"/>
      <protection hidden="1"/>
    </xf>
    <xf numFmtId="164" fontId="6" fillId="0" borderId="17" xfId="2" applyNumberFormat="1" applyFont="1" applyFill="1" applyBorder="1" applyAlignment="1" applyProtection="1">
      <alignment horizontal="center" vertical="center"/>
      <protection hidden="1"/>
    </xf>
    <xf numFmtId="3" fontId="6" fillId="5" borderId="19" xfId="2" applyNumberFormat="1" applyFont="1" applyFill="1" applyBorder="1" applyAlignment="1">
      <alignment horizontal="center" vertical="center"/>
    </xf>
    <xf numFmtId="3" fontId="79" fillId="0" borderId="35" xfId="2" applyNumberFormat="1" applyFont="1" applyBorder="1" applyAlignment="1" applyProtection="1">
      <alignment horizontal="center" vertical="center"/>
      <protection locked="0"/>
    </xf>
    <xf numFmtId="3" fontId="6" fillId="5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3" fontId="6" fillId="5" borderId="17" xfId="2" applyNumberFormat="1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>
      <alignment horizontal="left" vertical="center"/>
    </xf>
    <xf numFmtId="164" fontId="5" fillId="0" borderId="0" xfId="2" applyNumberFormat="1" applyFont="1" applyFill="1" applyBorder="1" applyAlignment="1" applyProtection="1">
      <alignment horizontal="right"/>
      <protection hidden="1"/>
    </xf>
    <xf numFmtId="10" fontId="5" fillId="0" borderId="0" xfId="2" applyNumberFormat="1" applyFont="1" applyFill="1" applyBorder="1" applyAlignment="1" applyProtection="1">
      <alignment horizontal="right"/>
      <protection hidden="1"/>
    </xf>
    <xf numFmtId="164" fontId="39" fillId="0" borderId="0" xfId="2" applyNumberFormat="1" applyFont="1" applyFill="1" applyBorder="1" applyAlignment="1" applyProtection="1">
      <alignment horizontal="center"/>
    </xf>
    <xf numFmtId="164" fontId="5" fillId="0" borderId="0" xfId="0" applyNumberFormat="1" applyFont="1"/>
    <xf numFmtId="3" fontId="39" fillId="0" borderId="0" xfId="2" applyNumberFormat="1" applyFont="1" applyFill="1" applyBorder="1" applyAlignment="1" applyProtection="1">
      <alignment horizontal="center"/>
    </xf>
    <xf numFmtId="166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 applyAlignment="1" applyProtection="1">
      <alignment horizontal="left"/>
      <protection hidden="1"/>
    </xf>
    <xf numFmtId="10" fontId="5" fillId="0" borderId="0" xfId="2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  <protection hidden="1"/>
    </xf>
    <xf numFmtId="3" fontId="5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4" fillId="0" borderId="0" xfId="2" applyNumberFormat="1" applyFont="1" applyFill="1" applyBorder="1" applyAlignment="1" applyProtection="1">
      <alignment horizontal="right"/>
    </xf>
    <xf numFmtId="164" fontId="5" fillId="0" borderId="0" xfId="2" applyNumberFormat="1" applyFont="1" applyFill="1" applyBorder="1" applyAlignment="1" applyProtection="1">
      <alignment horizontal="right"/>
    </xf>
    <xf numFmtId="10" fontId="4" fillId="0" borderId="0" xfId="0" applyNumberFormat="1" applyFont="1" applyAlignment="1">
      <alignment horizontal="right"/>
    </xf>
    <xf numFmtId="10" fontId="46" fillId="0" borderId="0" xfId="2" applyNumberFormat="1" applyFont="1" applyFill="1" applyBorder="1" applyProtection="1"/>
    <xf numFmtId="164" fontId="5" fillId="0" borderId="0" xfId="2" applyNumberFormat="1" applyFont="1" applyFill="1" applyBorder="1" applyProtection="1"/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62" xfId="0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0" fontId="6" fillId="0" borderId="6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0" fillId="0" borderId="2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11" fillId="13" borderId="34" xfId="0" applyFont="1" applyFill="1" applyBorder="1" applyAlignment="1">
      <alignment horizontal="center" vertical="center"/>
    </xf>
    <xf numFmtId="0" fontId="11" fillId="13" borderId="26" xfId="0" applyFont="1" applyFill="1" applyBorder="1" applyAlignment="1">
      <alignment horizontal="center" vertical="center"/>
    </xf>
    <xf numFmtId="49" fontId="83" fillId="13" borderId="13" xfId="0" applyNumberFormat="1" applyFont="1" applyFill="1" applyBorder="1" applyAlignment="1">
      <alignment horizontal="center"/>
    </xf>
    <xf numFmtId="0" fontId="83" fillId="13" borderId="26" xfId="0" applyFont="1" applyFill="1" applyBorder="1" applyAlignment="1">
      <alignment horizontal="center"/>
    </xf>
    <xf numFmtId="0" fontId="80" fillId="13" borderId="2" xfId="0" applyFont="1" applyFill="1" applyBorder="1"/>
    <xf numFmtId="0" fontId="80" fillId="13" borderId="9" xfId="0" applyFont="1" applyFill="1" applyBorder="1"/>
    <xf numFmtId="0" fontId="85" fillId="13" borderId="29" xfId="0" applyFont="1" applyFill="1" applyBorder="1" applyAlignment="1" applyProtection="1">
      <alignment horizontal="center" vertical="center"/>
      <protection hidden="1"/>
    </xf>
    <xf numFmtId="0" fontId="85" fillId="13" borderId="55" xfId="0" applyFont="1" applyFill="1" applyBorder="1" applyAlignment="1" applyProtection="1">
      <alignment horizontal="center" vertical="center"/>
      <protection hidden="1"/>
    </xf>
    <xf numFmtId="0" fontId="85" fillId="13" borderId="30" xfId="0" applyFont="1" applyFill="1" applyBorder="1" applyAlignment="1" applyProtection="1">
      <alignment horizontal="center" vertical="center"/>
      <protection hidden="1"/>
    </xf>
    <xf numFmtId="0" fontId="80" fillId="13" borderId="0" xfId="0" applyFont="1" applyFill="1"/>
    <xf numFmtId="0" fontId="62" fillId="13" borderId="60" xfId="0" applyFont="1" applyFill="1" applyBorder="1" applyAlignment="1" applyProtection="1">
      <alignment horizontal="center" vertical="center"/>
      <protection hidden="1"/>
    </xf>
    <xf numFmtId="0" fontId="62" fillId="13" borderId="152" xfId="0" applyFont="1" applyFill="1" applyBorder="1" applyAlignment="1" applyProtection="1">
      <alignment horizontal="center" vertical="center"/>
      <protection hidden="1"/>
    </xf>
    <xf numFmtId="0" fontId="80" fillId="13" borderId="102" xfId="0" applyFont="1" applyFill="1" applyBorder="1" applyAlignment="1">
      <alignment horizontal="center"/>
    </xf>
    <xf numFmtId="0" fontId="80" fillId="13" borderId="103" xfId="0" applyFont="1" applyFill="1" applyBorder="1"/>
    <xf numFmtId="0" fontId="80" fillId="13" borderId="109" xfId="0" applyFont="1" applyFill="1" applyBorder="1"/>
    <xf numFmtId="0" fontId="85" fillId="13" borderId="110" xfId="0" applyFont="1" applyFill="1" applyBorder="1" applyAlignment="1" applyProtection="1">
      <alignment horizontal="center"/>
      <protection hidden="1"/>
    </xf>
    <xf numFmtId="0" fontId="85" fillId="13" borderId="111" xfId="0" applyFont="1" applyFill="1" applyBorder="1" applyAlignment="1" applyProtection="1">
      <alignment horizontal="center"/>
      <protection hidden="1"/>
    </xf>
    <xf numFmtId="0" fontId="85" fillId="13" borderId="112" xfId="0" applyFont="1" applyFill="1" applyBorder="1" applyAlignment="1" applyProtection="1">
      <alignment horizontal="center"/>
      <protection hidden="1"/>
    </xf>
    <xf numFmtId="0" fontId="84" fillId="13" borderId="0" xfId="0" applyFont="1" applyFill="1" applyAlignment="1">
      <alignment horizontal="left"/>
    </xf>
    <xf numFmtId="0" fontId="84" fillId="13" borderId="31" xfId="0" applyFont="1" applyFill="1" applyBorder="1" applyAlignment="1">
      <alignment horizontal="left"/>
    </xf>
    <xf numFmtId="1" fontId="62" fillId="13" borderId="60" xfId="0" applyNumberFormat="1" applyFont="1" applyFill="1" applyBorder="1" applyAlignment="1" applyProtection="1">
      <alignment horizontal="center"/>
      <protection hidden="1"/>
    </xf>
    <xf numFmtId="1" fontId="62" fillId="13" borderId="25" xfId="0" applyNumberFormat="1" applyFont="1" applyFill="1" applyBorder="1" applyAlignment="1" applyProtection="1">
      <alignment horizontal="center"/>
      <protection hidden="1"/>
    </xf>
    <xf numFmtId="1" fontId="62" fillId="13" borderId="152" xfId="0" applyNumberFormat="1" applyFont="1" applyFill="1" applyBorder="1" applyAlignment="1" applyProtection="1">
      <alignment horizontal="center"/>
      <protection hidden="1"/>
    </xf>
    <xf numFmtId="0" fontId="86" fillId="13" borderId="105" xfId="0" applyFont="1" applyFill="1" applyBorder="1" applyAlignment="1">
      <alignment horizontal="center"/>
    </xf>
    <xf numFmtId="0" fontId="86" fillId="13" borderId="106" xfId="0" applyFont="1" applyFill="1" applyBorder="1"/>
    <xf numFmtId="0" fontId="80" fillId="13" borderId="113" xfId="0" applyFont="1" applyFill="1" applyBorder="1"/>
    <xf numFmtId="168" fontId="83" fillId="13" borderId="60" xfId="0" applyNumberFormat="1" applyFont="1" applyFill="1" applyBorder="1" applyAlignment="1">
      <alignment horizontal="center" vertical="center"/>
    </xf>
    <xf numFmtId="168" fontId="83" fillId="13" borderId="25" xfId="0" applyNumberFormat="1" applyFont="1" applyFill="1" applyBorder="1" applyAlignment="1">
      <alignment horizontal="center" vertical="center"/>
    </xf>
    <xf numFmtId="168" fontId="83" fillId="13" borderId="57" xfId="0" applyNumberFormat="1" applyFont="1" applyFill="1" applyBorder="1" applyAlignment="1">
      <alignment horizontal="center" vertical="center"/>
    </xf>
    <xf numFmtId="168" fontId="83" fillId="13" borderId="153" xfId="0" applyNumberFormat="1" applyFont="1" applyFill="1" applyBorder="1" applyAlignment="1">
      <alignment horizontal="center"/>
    </xf>
    <xf numFmtId="168" fontId="83" fillId="13" borderId="154" xfId="0" applyNumberFormat="1" applyFont="1" applyFill="1" applyBorder="1" applyAlignment="1">
      <alignment horizontal="center"/>
    </xf>
    <xf numFmtId="168" fontId="83" fillId="13" borderId="155" xfId="0" applyNumberFormat="1" applyFont="1" applyFill="1" applyBorder="1" applyAlignment="1">
      <alignment horizontal="center"/>
    </xf>
    <xf numFmtId="0" fontId="87" fillId="13" borderId="64" xfId="0" applyFont="1" applyFill="1" applyBorder="1" applyAlignment="1">
      <alignment horizontal="center" vertical="center"/>
    </xf>
    <xf numFmtId="0" fontId="87" fillId="13" borderId="64" xfId="0" applyFont="1" applyFill="1" applyBorder="1" applyAlignment="1">
      <alignment horizontal="center" vertical="center" wrapText="1"/>
    </xf>
    <xf numFmtId="0" fontId="85" fillId="13" borderId="64" xfId="0" applyFont="1" applyFill="1" applyBorder="1" applyAlignment="1">
      <alignment horizontal="center" vertical="center"/>
    </xf>
    <xf numFmtId="3" fontId="87" fillId="13" borderId="64" xfId="0" applyNumberFormat="1" applyFont="1" applyFill="1" applyBorder="1" applyAlignment="1" applyProtection="1">
      <alignment horizontal="center" vertical="center"/>
      <protection hidden="1"/>
    </xf>
    <xf numFmtId="3" fontId="87" fillId="13" borderId="53" xfId="0" applyNumberFormat="1" applyFont="1" applyFill="1" applyBorder="1" applyAlignment="1" applyProtection="1">
      <alignment horizontal="center" vertical="center"/>
      <protection hidden="1"/>
    </xf>
    <xf numFmtId="3" fontId="87" fillId="13" borderId="16" xfId="0" applyNumberFormat="1" applyFont="1" applyFill="1" applyBorder="1" applyAlignment="1" applyProtection="1">
      <alignment horizontal="center" vertical="center"/>
      <protection hidden="1"/>
    </xf>
    <xf numFmtId="3" fontId="87" fillId="13" borderId="23" xfId="0" applyNumberFormat="1" applyFont="1" applyFill="1" applyBorder="1" applyAlignment="1" applyProtection="1">
      <alignment horizontal="center" vertical="center"/>
      <protection hidden="1"/>
    </xf>
    <xf numFmtId="3" fontId="87" fillId="13" borderId="33" xfId="0" applyNumberFormat="1" applyFont="1" applyFill="1" applyBorder="1" applyAlignment="1" applyProtection="1">
      <alignment horizontal="center" vertical="center"/>
      <protection hidden="1"/>
    </xf>
    <xf numFmtId="3" fontId="85" fillId="13" borderId="4" xfId="0" applyNumberFormat="1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horizontal="center" vertical="center"/>
      <protection hidden="1"/>
    </xf>
    <xf numFmtId="0" fontId="85" fillId="13" borderId="39" xfId="0" applyFont="1" applyFill="1" applyBorder="1" applyAlignment="1">
      <alignment horizontal="center" vertical="center"/>
    </xf>
    <xf numFmtId="0" fontId="85" fillId="13" borderId="14" xfId="0" applyFont="1" applyFill="1" applyBorder="1" applyAlignment="1">
      <alignment horizontal="center" vertical="center"/>
    </xf>
    <xf numFmtId="0" fontId="85" fillId="13" borderId="37" xfId="0" applyFont="1" applyFill="1" applyBorder="1" applyAlignment="1">
      <alignment horizontal="center" vertical="center"/>
    </xf>
    <xf numFmtId="0" fontId="83" fillId="13" borderId="41" xfId="0" applyFont="1" applyFill="1" applyBorder="1" applyAlignment="1" applyProtection="1">
      <alignment horizontal="center"/>
      <protection hidden="1"/>
    </xf>
    <xf numFmtId="0" fontId="83" fillId="13" borderId="33" xfId="0" applyFont="1" applyFill="1" applyBorder="1" applyAlignment="1" applyProtection="1">
      <alignment horizontal="center"/>
      <protection hidden="1"/>
    </xf>
    <xf numFmtId="0" fontId="81" fillId="13" borderId="42" xfId="0" applyFont="1" applyFill="1" applyBorder="1" applyAlignment="1">
      <alignment horizontal="center" vertical="center" wrapText="1"/>
    </xf>
    <xf numFmtId="0" fontId="82" fillId="13" borderId="108" xfId="0" applyFont="1" applyFill="1" applyBorder="1" applyAlignment="1">
      <alignment horizontal="right" vertical="center" wrapText="1"/>
    </xf>
    <xf numFmtId="0" fontId="5" fillId="4" borderId="63" xfId="0" applyFont="1" applyFill="1" applyBorder="1" applyAlignment="1" applyProtection="1">
      <alignment horizontal="right" vertical="center"/>
      <protection hidden="1"/>
    </xf>
    <xf numFmtId="0" fontId="5" fillId="4" borderId="4" xfId="0" applyFont="1" applyFill="1" applyBorder="1" applyAlignment="1" applyProtection="1">
      <alignment vertical="center"/>
      <protection hidden="1"/>
    </xf>
    <xf numFmtId="3" fontId="5" fillId="4" borderId="3" xfId="0" applyNumberFormat="1" applyFont="1" applyFill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6" xfId="0" applyNumberFormat="1" applyFont="1" applyFill="1" applyBorder="1" applyAlignment="1" applyProtection="1">
      <alignment horizontal="center" vertical="center"/>
      <protection hidden="1"/>
    </xf>
    <xf numFmtId="0" fontId="85" fillId="13" borderId="29" xfId="0" applyFont="1" applyFill="1" applyBorder="1" applyAlignment="1">
      <alignment horizontal="center" vertical="center"/>
    </xf>
    <xf numFmtId="1" fontId="62" fillId="13" borderId="60" xfId="0" applyNumberFormat="1" applyFont="1" applyFill="1" applyBorder="1" applyAlignment="1" applyProtection="1">
      <alignment horizontal="center" vertical="center"/>
      <protection hidden="1"/>
    </xf>
    <xf numFmtId="1" fontId="62" fillId="13" borderId="57" xfId="0" applyNumberFormat="1" applyFont="1" applyFill="1" applyBorder="1" applyAlignment="1" applyProtection="1">
      <alignment horizontal="center" vertical="center"/>
      <protection hidden="1"/>
    </xf>
    <xf numFmtId="1" fontId="62" fillId="13" borderId="62" xfId="0" applyNumberFormat="1" applyFont="1" applyFill="1" applyBorder="1" applyAlignment="1" applyProtection="1">
      <alignment horizontal="center" vertical="center"/>
      <protection hidden="1"/>
    </xf>
    <xf numFmtId="1" fontId="62" fillId="13" borderId="66" xfId="0" applyNumberFormat="1" applyFont="1" applyFill="1" applyBorder="1" applyAlignment="1" applyProtection="1">
      <alignment horizontal="center" vertical="center"/>
      <protection hidden="1"/>
    </xf>
    <xf numFmtId="168" fontId="83" fillId="13" borderId="62" xfId="0" applyNumberFormat="1" applyFont="1" applyFill="1" applyBorder="1" applyAlignment="1">
      <alignment horizontal="center" vertical="center"/>
    </xf>
    <xf numFmtId="168" fontId="83" fillId="13" borderId="66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 applyProtection="1">
      <alignment horizontal="center" vertical="center"/>
      <protection hidden="1"/>
    </xf>
    <xf numFmtId="3" fontId="85" fillId="13" borderId="30" xfId="0" applyNumberFormat="1" applyFont="1" applyFill="1" applyBorder="1" applyAlignment="1" applyProtection="1">
      <alignment horizontal="center" vertical="center"/>
      <protection hidden="1"/>
    </xf>
    <xf numFmtId="1" fontId="62" fillId="13" borderId="60" xfId="0" applyNumberFormat="1" applyFont="1" applyFill="1" applyBorder="1" applyAlignment="1">
      <alignment horizontal="center" vertical="center"/>
    </xf>
    <xf numFmtId="0" fontId="83" fillId="13" borderId="17" xfId="0" applyFont="1" applyFill="1" applyBorder="1" applyAlignment="1" applyProtection="1">
      <alignment horizontal="center" vertical="center"/>
      <protection hidden="1"/>
    </xf>
    <xf numFmtId="1" fontId="83" fillId="13" borderId="35" xfId="0" applyNumberFormat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center" vertical="center"/>
    </xf>
    <xf numFmtId="0" fontId="85" fillId="13" borderId="17" xfId="0" applyFont="1" applyFill="1" applyBorder="1" applyAlignment="1">
      <alignment horizontal="center" vertical="center"/>
    </xf>
    <xf numFmtId="17" fontId="83" fillId="13" borderId="17" xfId="0" applyNumberFormat="1" applyFont="1" applyFill="1" applyBorder="1" applyAlignment="1" applyProtection="1">
      <alignment horizontal="center" vertical="center"/>
      <protection hidden="1"/>
    </xf>
    <xf numFmtId="166" fontId="42" fillId="7" borderId="163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3" fontId="56" fillId="0" borderId="32" xfId="0" applyNumberFormat="1" applyFont="1" applyBorder="1" applyAlignment="1" applyProtection="1">
      <alignment horizontal="center" vertical="center"/>
      <protection hidden="1"/>
    </xf>
    <xf numFmtId="3" fontId="43" fillId="5" borderId="32" xfId="0" applyNumberFormat="1" applyFont="1" applyFill="1" applyBorder="1" applyAlignment="1" applyProtection="1">
      <alignment horizontal="center" vertical="center"/>
      <protection hidden="1"/>
    </xf>
    <xf numFmtId="0" fontId="80" fillId="13" borderId="17" xfId="0" applyFont="1" applyFill="1" applyBorder="1" applyAlignment="1">
      <alignment horizontal="center" vertical="center"/>
    </xf>
    <xf numFmtId="0" fontId="85" fillId="13" borderId="164" xfId="0" applyFont="1" applyFill="1" applyBorder="1" applyAlignment="1">
      <alignment horizontal="center" vertical="center"/>
    </xf>
    <xf numFmtId="17" fontId="83" fillId="13" borderId="164" xfId="0" applyNumberFormat="1" applyFont="1" applyFill="1" applyBorder="1" applyAlignment="1">
      <alignment horizontal="center" vertical="center"/>
    </xf>
    <xf numFmtId="0" fontId="83" fillId="13" borderId="164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4" fillId="0" borderId="0" xfId="0" applyNumberFormat="1" applyFont="1" applyAlignment="1" applyProtection="1">
      <alignment horizontal="center" vertical="center"/>
      <protection hidden="1"/>
    </xf>
    <xf numFmtId="17" fontId="83" fillId="13" borderId="164" xfId="0" applyNumberFormat="1" applyFont="1" applyFill="1" applyBorder="1" applyAlignment="1" applyProtection="1">
      <alignment horizontal="center" vertical="center"/>
      <protection hidden="1"/>
    </xf>
    <xf numFmtId="3" fontId="83" fillId="13" borderId="164" xfId="0" applyNumberFormat="1" applyFont="1" applyFill="1" applyBorder="1" applyAlignment="1" applyProtection="1">
      <alignment horizontal="center" vertical="center"/>
      <protection hidden="1"/>
    </xf>
    <xf numFmtId="17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85" fillId="13" borderId="0" xfId="0" applyFont="1" applyFill="1" applyAlignment="1" applyProtection="1">
      <alignment horizontal="center" vertical="center"/>
      <protection hidden="1"/>
    </xf>
    <xf numFmtId="1" fontId="85" fillId="13" borderId="0" xfId="0" applyNumberFormat="1" applyFont="1" applyFill="1" applyAlignment="1" applyProtection="1">
      <alignment horizontal="center" vertical="center"/>
      <protection hidden="1"/>
    </xf>
    <xf numFmtId="49" fontId="85" fillId="13" borderId="0" xfId="0" applyNumberFormat="1" applyFont="1" applyFill="1" applyAlignment="1" applyProtection="1">
      <alignment horizontal="center" vertical="center"/>
      <protection hidden="1"/>
    </xf>
    <xf numFmtId="49" fontId="87" fillId="13" borderId="141" xfId="0" applyNumberFormat="1" applyFont="1" applyFill="1" applyBorder="1" applyAlignment="1" applyProtection="1">
      <alignment horizontal="center" vertical="center"/>
      <protection hidden="1"/>
    </xf>
    <xf numFmtId="0" fontId="87" fillId="13" borderId="14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/>
    </xf>
    <xf numFmtId="0" fontId="62" fillId="13" borderId="0" xfId="0" applyFont="1" applyFill="1" applyAlignment="1" applyProtection="1">
      <alignment horizontal="left" vertical="center" wrapText="1"/>
      <protection hidden="1"/>
    </xf>
    <xf numFmtId="164" fontId="85" fillId="13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37" xfId="0" applyNumberFormat="1" applyFont="1" applyFill="1" applyBorder="1" applyAlignment="1" applyProtection="1">
      <alignment horizontal="center" vertical="center"/>
      <protection hidden="1"/>
    </xf>
    <xf numFmtId="166" fontId="85" fillId="13" borderId="137" xfId="0" applyNumberFormat="1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top"/>
      <protection hidden="1"/>
    </xf>
    <xf numFmtId="166" fontId="3" fillId="0" borderId="139" xfId="0" applyNumberFormat="1" applyFont="1" applyBorder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0" fontId="6" fillId="7" borderId="173" xfId="0" applyFont="1" applyFill="1" applyBorder="1" applyAlignment="1" applyProtection="1">
      <alignment vertical="center"/>
      <protection locked="0"/>
    </xf>
    <xf numFmtId="0" fontId="6" fillId="0" borderId="175" xfId="0" applyFont="1" applyBorder="1" applyAlignment="1" applyProtection="1">
      <alignment horizontal="center" vertical="center"/>
      <protection hidden="1"/>
    </xf>
    <xf numFmtId="0" fontId="6" fillId="0" borderId="176" xfId="0" applyFont="1" applyBorder="1" applyAlignment="1" applyProtection="1">
      <alignment horizontal="center" vertical="center"/>
      <protection hidden="1"/>
    </xf>
    <xf numFmtId="0" fontId="3" fillId="0" borderId="177" xfId="0" applyFont="1" applyBorder="1" applyAlignment="1" applyProtection="1">
      <alignment vertical="center"/>
      <protection hidden="1"/>
    </xf>
    <xf numFmtId="167" fontId="3" fillId="0" borderId="178" xfId="0" applyNumberFormat="1" applyFont="1" applyBorder="1" applyAlignment="1" applyProtection="1">
      <alignment horizontal="center" vertical="center"/>
      <protection hidden="1"/>
    </xf>
    <xf numFmtId="0" fontId="6" fillId="7" borderId="177" xfId="0" applyFont="1" applyFill="1" applyBorder="1" applyAlignment="1" applyProtection="1">
      <alignment vertical="center"/>
      <protection locked="0"/>
    </xf>
    <xf numFmtId="0" fontId="6" fillId="7" borderId="179" xfId="0" applyFont="1" applyFill="1" applyBorder="1" applyAlignment="1" applyProtection="1">
      <alignment vertical="center"/>
      <protection locked="0"/>
    </xf>
    <xf numFmtId="0" fontId="6" fillId="0" borderId="172" xfId="0" applyFont="1" applyBorder="1" applyAlignment="1" applyProtection="1">
      <alignment horizontal="center" vertical="center"/>
      <protection hidden="1"/>
    </xf>
    <xf numFmtId="0" fontId="6" fillId="0" borderId="180" xfId="0" applyFont="1" applyBorder="1" applyAlignment="1" applyProtection="1">
      <alignment horizontal="center" vertical="center"/>
      <protection hidden="1"/>
    </xf>
    <xf numFmtId="0" fontId="6" fillId="0" borderId="181" xfId="0" applyFont="1" applyBorder="1" applyAlignment="1" applyProtection="1">
      <alignment horizontal="center" vertical="center"/>
      <protection hidden="1"/>
    </xf>
    <xf numFmtId="0" fontId="6" fillId="0" borderId="173" xfId="0" applyFont="1" applyBorder="1" applyAlignment="1">
      <alignment vertical="center"/>
    </xf>
    <xf numFmtId="0" fontId="6" fillId="0" borderId="184" xfId="0" applyFont="1" applyBorder="1" applyAlignment="1" applyProtection="1">
      <alignment horizontal="center" vertical="center"/>
      <protection hidden="1"/>
    </xf>
    <xf numFmtId="0" fontId="3" fillId="0" borderId="185" xfId="0" applyFont="1" applyBorder="1" applyAlignment="1" applyProtection="1">
      <alignment vertical="center"/>
      <protection hidden="1"/>
    </xf>
    <xf numFmtId="167" fontId="3" fillId="0" borderId="186" xfId="0" applyNumberFormat="1" applyFont="1" applyBorder="1" applyAlignment="1" applyProtection="1">
      <alignment horizontal="center" vertical="center"/>
      <protection hidden="1"/>
    </xf>
    <xf numFmtId="0" fontId="87" fillId="13" borderId="173" xfId="0" applyFont="1" applyFill="1" applyBorder="1" applyAlignment="1" applyProtection="1">
      <alignment horizontal="center" vertical="center"/>
      <protection hidden="1"/>
    </xf>
    <xf numFmtId="0" fontId="6" fillId="3" borderId="172" xfId="0" applyFont="1" applyFill="1" applyBorder="1" applyAlignment="1" applyProtection="1">
      <alignment horizontal="center" vertical="center"/>
      <protection hidden="1"/>
    </xf>
    <xf numFmtId="1" fontId="3" fillId="0" borderId="189" xfId="0" applyNumberFormat="1" applyFont="1" applyBorder="1" applyAlignment="1" applyProtection="1">
      <alignment horizontal="center" vertical="center"/>
      <protection hidden="1"/>
    </xf>
    <xf numFmtId="166" fontId="6" fillId="0" borderId="189" xfId="0" applyNumberFormat="1" applyFont="1" applyBorder="1" applyAlignment="1" applyProtection="1">
      <alignment horizontal="center" vertical="center"/>
      <protection hidden="1"/>
    </xf>
    <xf numFmtId="3" fontId="3" fillId="0" borderId="189" xfId="0" applyNumberFormat="1" applyFont="1" applyBorder="1" applyAlignment="1" applyProtection="1">
      <alignment horizontal="center" vertical="center"/>
      <protection hidden="1"/>
    </xf>
    <xf numFmtId="166" fontId="3" fillId="0" borderId="189" xfId="0" applyNumberFormat="1" applyFont="1" applyBorder="1" applyAlignment="1" applyProtection="1">
      <alignment horizontal="center" vertical="center"/>
      <protection hidden="1"/>
    </xf>
    <xf numFmtId="0" fontId="6" fillId="0" borderId="192" xfId="0" applyFont="1" applyBorder="1" applyAlignment="1" applyProtection="1">
      <alignment vertical="center"/>
      <protection hidden="1"/>
    </xf>
    <xf numFmtId="0" fontId="6" fillId="0" borderId="196" xfId="0" applyFont="1" applyBorder="1" applyAlignment="1">
      <alignment vertical="center"/>
    </xf>
    <xf numFmtId="0" fontId="0" fillId="0" borderId="196" xfId="0" applyBorder="1" applyAlignment="1">
      <alignment vertical="center"/>
    </xf>
    <xf numFmtId="0" fontId="6" fillId="0" borderId="195" xfId="0" applyFont="1" applyBorder="1" applyAlignment="1">
      <alignment horizontal="right" vertical="center"/>
    </xf>
    <xf numFmtId="3" fontId="6" fillId="0" borderId="196" xfId="0" applyNumberFormat="1" applyFont="1" applyBorder="1" applyAlignment="1">
      <alignment horizontal="right" vertical="center"/>
    </xf>
    <xf numFmtId="0" fontId="3" fillId="0" borderId="197" xfId="0" applyFont="1" applyBorder="1" applyAlignment="1" applyProtection="1">
      <alignment vertical="center"/>
      <protection hidden="1"/>
    </xf>
    <xf numFmtId="3" fontId="3" fillId="0" borderId="197" xfId="0" applyNumberFormat="1" applyFont="1" applyBorder="1" applyAlignment="1" applyProtection="1">
      <alignment horizontal="center" vertical="center"/>
      <protection hidden="1"/>
    </xf>
    <xf numFmtId="3" fontId="3" fillId="6" borderId="168" xfId="0" applyNumberFormat="1" applyFont="1" applyFill="1" applyBorder="1" applyAlignment="1" applyProtection="1">
      <alignment horizontal="center" vertical="center"/>
      <protection hidden="1"/>
    </xf>
    <xf numFmtId="167" fontId="3" fillId="0" borderId="198" xfId="0" applyNumberFormat="1" applyFont="1" applyBorder="1" applyAlignment="1" applyProtection="1">
      <alignment horizontal="center" vertical="center"/>
      <protection hidden="1"/>
    </xf>
    <xf numFmtId="0" fontId="3" fillId="6" borderId="199" xfId="0" applyFont="1" applyFill="1" applyBorder="1" applyAlignment="1" applyProtection="1">
      <alignment horizontal="center" vertical="center"/>
      <protection hidden="1"/>
    </xf>
    <xf numFmtId="167" fontId="3" fillId="0" borderId="200" xfId="0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 vertical="center"/>
    </xf>
    <xf numFmtId="16" fontId="11" fillId="0" borderId="20" xfId="0" quotePrefix="1" applyNumberFormat="1" applyFont="1" applyBorder="1" applyAlignment="1">
      <alignment horizontal="left" vertical="center"/>
    </xf>
    <xf numFmtId="20" fontId="5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3" fillId="0" borderId="25" xfId="0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31" xfId="0" applyFont="1" applyBorder="1" applyAlignment="1" applyProtection="1">
      <alignment vertical="center"/>
      <protection locked="0"/>
    </xf>
    <xf numFmtId="0" fontId="43" fillId="0" borderId="0" xfId="2" applyNumberFormat="1" applyFont="1" applyBorder="1" applyAlignment="1" applyProtection="1">
      <alignment vertical="center"/>
      <protection locked="0"/>
    </xf>
    <xf numFmtId="0" fontId="43" fillId="0" borderId="31" xfId="0" applyFont="1" applyBorder="1"/>
    <xf numFmtId="0" fontId="40" fillId="0" borderId="25" xfId="0" applyFont="1" applyBorder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56" fillId="0" borderId="25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77" fillId="0" borderId="23" xfId="0" applyFont="1" applyBorder="1" applyAlignment="1">
      <alignment vertical="center"/>
    </xf>
    <xf numFmtId="0" fontId="4" fillId="0" borderId="7" xfId="0" applyFont="1" applyBorder="1" applyProtection="1">
      <protection hidden="1"/>
    </xf>
    <xf numFmtId="0" fontId="45" fillId="0" borderId="7" xfId="0" applyFont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1" fillId="0" borderId="2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1" fillId="0" borderId="25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hidden="1"/>
    </xf>
    <xf numFmtId="164" fontId="40" fillId="0" borderId="0" xfId="2" applyNumberFormat="1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left" vertical="center"/>
      <protection hidden="1"/>
    </xf>
    <xf numFmtId="0" fontId="40" fillId="0" borderId="23" xfId="0" applyFont="1" applyBorder="1" applyAlignment="1" applyProtection="1">
      <alignment vertical="center"/>
      <protection hidden="1"/>
    </xf>
    <xf numFmtId="0" fontId="11" fillId="0" borderId="59" xfId="0" applyFont="1" applyBorder="1" applyAlignment="1">
      <alignment vertical="center"/>
    </xf>
    <xf numFmtId="0" fontId="11" fillId="0" borderId="5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40" fillId="0" borderId="31" xfId="0" applyFont="1" applyBorder="1" applyAlignment="1" applyProtection="1">
      <alignment vertical="center"/>
      <protection hidden="1"/>
    </xf>
    <xf numFmtId="0" fontId="43" fillId="0" borderId="25" xfId="0" applyFont="1" applyBorder="1" applyAlignment="1" applyProtection="1">
      <alignment vertical="center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2" applyNumberFormat="1" applyFont="1" applyBorder="1" applyAlignment="1" applyProtection="1">
      <alignment vertical="center"/>
      <protection locked="0" hidden="1"/>
    </xf>
    <xf numFmtId="0" fontId="43" fillId="0" borderId="31" xfId="0" applyFont="1" applyBorder="1" applyAlignment="1" applyProtection="1">
      <alignment vertical="center"/>
      <protection locked="0" hidden="1"/>
    </xf>
    <xf numFmtId="0" fontId="3" fillId="0" borderId="43" xfId="0" applyFont="1" applyBorder="1" applyAlignment="1">
      <alignment horizontal="center" vertical="center"/>
    </xf>
    <xf numFmtId="0" fontId="10" fillId="0" borderId="124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16" fontId="11" fillId="0" borderId="10" xfId="0" quotePrefix="1" applyNumberFormat="1" applyFont="1" applyBorder="1" applyAlignment="1">
      <alignment horizontal="left" vertical="center"/>
    </xf>
    <xf numFmtId="0" fontId="11" fillId="0" borderId="202" xfId="0" applyFont="1" applyBorder="1" applyAlignment="1">
      <alignment horizontal="left" vertical="center"/>
    </xf>
    <xf numFmtId="0" fontId="11" fillId="0" borderId="203" xfId="0" applyFont="1" applyBorder="1" applyAlignment="1">
      <alignment horizontal="left" vertical="center"/>
    </xf>
    <xf numFmtId="0" fontId="11" fillId="0" borderId="89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/>
    </xf>
    <xf numFmtId="2" fontId="42" fillId="7" borderId="44" xfId="0" applyNumberFormat="1" applyFont="1" applyFill="1" applyBorder="1" applyAlignment="1" applyProtection="1">
      <alignment horizontal="center" vertical="center"/>
      <protection locked="0"/>
    </xf>
    <xf numFmtId="2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12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3" fontId="6" fillId="0" borderId="144" xfId="0" applyNumberFormat="1" applyFont="1" applyBorder="1" applyAlignment="1" applyProtection="1">
      <alignment horizontal="center" vertical="center"/>
      <protection hidden="1"/>
    </xf>
    <xf numFmtId="3" fontId="6" fillId="0" borderId="204" xfId="0" applyNumberFormat="1" applyFont="1" applyBorder="1" applyAlignment="1" applyProtection="1">
      <alignment horizontal="center" vertical="center"/>
      <protection hidden="1"/>
    </xf>
    <xf numFmtId="3" fontId="3" fillId="0" borderId="205" xfId="0" applyNumberFormat="1" applyFont="1" applyBorder="1" applyAlignment="1" applyProtection="1">
      <alignment horizontal="center" vertical="center"/>
      <protection hidden="1"/>
    </xf>
    <xf numFmtId="0" fontId="3" fillId="6" borderId="206" xfId="0" applyFont="1" applyFill="1" applyBorder="1" applyAlignment="1" applyProtection="1">
      <alignment vertical="center"/>
      <protection hidden="1"/>
    </xf>
    <xf numFmtId="167" fontId="3" fillId="0" borderId="206" xfId="0" applyNumberFormat="1" applyFont="1" applyBorder="1" applyAlignment="1" applyProtection="1">
      <alignment horizontal="center" vertical="center"/>
      <protection hidden="1"/>
    </xf>
    <xf numFmtId="3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161" xfId="0" applyFont="1" applyFill="1" applyBorder="1" applyAlignment="1" applyProtection="1">
      <alignment horizontal="center" vertical="center"/>
      <protection hidden="1"/>
    </xf>
    <xf numFmtId="167" fontId="3" fillId="8" borderId="161" xfId="0" applyNumberFormat="1" applyFont="1" applyFill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shrinkToFit="1"/>
      <protection hidden="1"/>
    </xf>
    <xf numFmtId="167" fontId="68" fillId="0" borderId="0" xfId="0" applyNumberFormat="1" applyFont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 vertical="center"/>
    </xf>
    <xf numFmtId="167" fontId="90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10" fillId="7" borderId="19" xfId="0" applyFont="1" applyFill="1" applyBorder="1" applyAlignment="1" applyProtection="1">
      <alignment horizontal="center" vertical="center"/>
      <protection locked="0"/>
    </xf>
    <xf numFmtId="0" fontId="82" fillId="13" borderId="1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7" fontId="11" fillId="5" borderId="17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2" fillId="13" borderId="17" xfId="0" applyFont="1" applyFill="1" applyBorder="1" applyAlignment="1">
      <alignment horizontal="center" vertical="center"/>
    </xf>
    <xf numFmtId="167" fontId="11" fillId="0" borderId="60" xfId="0" applyNumberFormat="1" applyFont="1" applyBorder="1" applyAlignment="1" applyProtection="1">
      <alignment horizontal="right"/>
      <protection hidden="1"/>
    </xf>
    <xf numFmtId="0" fontId="11" fillId="0" borderId="23" xfId="0" applyFont="1" applyBorder="1" applyAlignment="1">
      <alignment horizontal="center"/>
    </xf>
    <xf numFmtId="167" fontId="11" fillId="0" borderId="19" xfId="0" applyNumberFormat="1" applyFont="1" applyBorder="1" applyAlignment="1" applyProtection="1">
      <alignment horizontal="center"/>
      <protection hidden="1"/>
    </xf>
    <xf numFmtId="167" fontId="11" fillId="0" borderId="60" xfId="0" applyNumberFormat="1" applyFont="1" applyBorder="1" applyAlignment="1" applyProtection="1">
      <alignment horizontal="center"/>
      <protection hidden="1"/>
    </xf>
    <xf numFmtId="3" fontId="5" fillId="0" borderId="17" xfId="0" applyNumberFormat="1" applyFont="1" applyBorder="1" applyAlignment="1" applyProtection="1">
      <alignment horizontal="center"/>
      <protection hidden="1"/>
    </xf>
    <xf numFmtId="0" fontId="11" fillId="0" borderId="60" xfId="0" applyFont="1" applyBorder="1" applyAlignment="1" applyProtection="1">
      <alignment vertical="center"/>
      <protection hidden="1"/>
    </xf>
    <xf numFmtId="167" fontId="11" fillId="0" borderId="60" xfId="0" applyNumberFormat="1" applyFont="1" applyBorder="1" applyAlignment="1" applyProtection="1">
      <alignment horizontal="right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49" fontId="5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1" fillId="13" borderId="63" xfId="0" applyFont="1" applyFill="1" applyBorder="1" applyAlignment="1">
      <alignment horizontal="center" vertical="center"/>
    </xf>
    <xf numFmtId="0" fontId="83" fillId="13" borderId="43" xfId="0" applyFont="1" applyFill="1" applyBorder="1" applyAlignment="1">
      <alignment horizontal="center"/>
    </xf>
    <xf numFmtId="0" fontId="11" fillId="0" borderId="208" xfId="0" applyFont="1" applyBorder="1" applyAlignment="1" applyProtection="1">
      <alignment horizontal="center" vertical="center"/>
      <protection hidden="1"/>
    </xf>
    <xf numFmtId="1" fontId="10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09" xfId="0" applyFont="1" applyBorder="1" applyAlignment="1" applyProtection="1">
      <alignment horizontal="center" vertical="center"/>
      <protection hidden="1"/>
    </xf>
    <xf numFmtId="166" fontId="11" fillId="5" borderId="17" xfId="0" applyNumberFormat="1" applyFont="1" applyFill="1" applyBorder="1" applyAlignment="1" applyProtection="1">
      <alignment horizontal="center" vertical="center"/>
      <protection hidden="1"/>
    </xf>
    <xf numFmtId="166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0" fontId="3" fillId="0" borderId="14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6" fillId="7" borderId="32" xfId="0" applyFont="1" applyFill="1" applyBorder="1" applyAlignment="1" applyProtection="1">
      <alignment horizontal="left" vertical="center"/>
      <protection locked="0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3" fontId="3" fillId="0" borderId="17" xfId="0" applyNumberFormat="1" applyFont="1" applyBorder="1" applyAlignment="1" applyProtection="1">
      <alignment horizontal="center" vertical="center"/>
      <protection hidden="1"/>
    </xf>
    <xf numFmtId="0" fontId="6" fillId="7" borderId="84" xfId="0" applyFont="1" applyFill="1" applyBorder="1" applyAlignment="1" applyProtection="1">
      <alignment horizontal="left" vertical="center"/>
      <protection locked="0"/>
    </xf>
    <xf numFmtId="3" fontId="6" fillId="0" borderId="84" xfId="0" applyNumberFormat="1" applyFont="1" applyBorder="1" applyAlignment="1" applyProtection="1">
      <alignment horizontal="center" vertical="center"/>
      <protection hidden="1"/>
    </xf>
    <xf numFmtId="0" fontId="3" fillId="0" borderId="11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85" fillId="13" borderId="60" xfId="0" applyFont="1" applyFill="1" applyBorder="1" applyAlignment="1">
      <alignment horizontal="center" vertical="center"/>
    </xf>
    <xf numFmtId="0" fontId="85" fillId="13" borderId="49" xfId="0" applyFont="1" applyFill="1" applyBorder="1" applyAlignment="1">
      <alignment horizontal="left" vertical="center"/>
    </xf>
    <xf numFmtId="0" fontId="85" fillId="13" borderId="207" xfId="0" applyFont="1" applyFill="1" applyBorder="1" applyAlignment="1">
      <alignment horizontal="center" vertical="center"/>
    </xf>
    <xf numFmtId="0" fontId="6" fillId="7" borderId="60" xfId="0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center" vertical="center"/>
      <protection locked="0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87" fillId="13" borderId="207" xfId="0" applyNumberFormat="1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vertical="center"/>
      <protection locked="0"/>
    </xf>
    <xf numFmtId="0" fontId="6" fillId="7" borderId="19" xfId="0" applyFont="1" applyFill="1" applyBorder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7" borderId="36" xfId="0" applyFont="1" applyFill="1" applyBorder="1" applyAlignment="1" applyProtection="1">
      <alignment horizontal="left" vertical="center"/>
      <protection locked="0"/>
    </xf>
    <xf numFmtId="3" fontId="87" fillId="13" borderId="32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0" fontId="6" fillId="7" borderId="84" xfId="0" applyFont="1" applyFill="1" applyBorder="1" applyAlignment="1" applyProtection="1">
      <alignment vertical="center"/>
      <protection locked="0"/>
    </xf>
    <xf numFmtId="0" fontId="3" fillId="0" borderId="63" xfId="0" applyFont="1" applyBorder="1" applyAlignment="1">
      <alignment vertical="center"/>
    </xf>
    <xf numFmtId="0" fontId="85" fillId="13" borderId="6" xfId="0" applyFont="1" applyFill="1" applyBorder="1" applyAlignment="1">
      <alignment vertical="center"/>
    </xf>
    <xf numFmtId="0" fontId="85" fillId="13" borderId="36" xfId="0" applyFont="1" applyFill="1" applyBorder="1" applyAlignment="1">
      <alignment horizontal="center" vertical="center"/>
    </xf>
    <xf numFmtId="0" fontId="3" fillId="8" borderId="62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left" vertical="center" indent="1"/>
    </xf>
    <xf numFmtId="3" fontId="3" fillId="7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123" xfId="0" applyFont="1" applyBorder="1" applyAlignment="1">
      <alignment horizontal="left" vertical="center" indent="1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7" borderId="17" xfId="0" applyFont="1" applyFill="1" applyBorder="1" applyAlignment="1" applyProtection="1">
      <alignment vertical="center"/>
      <protection locked="0"/>
    </xf>
    <xf numFmtId="0" fontId="6" fillId="0" borderId="17" xfId="0" applyFont="1" applyBorder="1" applyAlignment="1">
      <alignment vertical="center"/>
    </xf>
    <xf numFmtId="164" fontId="6" fillId="7" borderId="32" xfId="0" applyNumberFormat="1" applyFont="1" applyFill="1" applyBorder="1" applyAlignment="1" applyProtection="1">
      <alignment horizontal="center" vertical="center"/>
      <protection locked="0"/>
    </xf>
    <xf numFmtId="0" fontId="2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62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9" xfId="0" applyFont="1" applyFill="1" applyBorder="1" applyAlignment="1">
      <alignment horizontal="center" vertical="center"/>
    </xf>
    <xf numFmtId="1" fontId="62" fillId="13" borderId="32" xfId="0" applyNumberFormat="1" applyFont="1" applyFill="1" applyBorder="1" applyAlignment="1" applyProtection="1">
      <alignment horizontal="center" vertical="center"/>
      <protection hidden="1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>
      <alignment horizontal="left" vertical="center" indent="1"/>
    </xf>
    <xf numFmtId="0" fontId="6" fillId="7" borderId="20" xfId="0" applyFont="1" applyFill="1" applyBorder="1" applyAlignment="1" applyProtection="1">
      <alignment horizontal="center" vertical="center"/>
      <protection locked="0"/>
    </xf>
    <xf numFmtId="3" fontId="43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8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9" fontId="11" fillId="3" borderId="32" xfId="0" applyNumberFormat="1" applyFont="1" applyFill="1" applyBorder="1" applyAlignment="1">
      <alignment horizontal="center" vertical="center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0" xfId="0" applyNumberFormat="1" applyFont="1" applyBorder="1" applyAlignment="1" applyProtection="1">
      <alignment horizontal="left" vertical="center"/>
      <protection locked="0"/>
    </xf>
    <xf numFmtId="0" fontId="11" fillId="0" borderId="23" xfId="0" applyFont="1" applyBorder="1"/>
    <xf numFmtId="1" fontId="11" fillId="0" borderId="23" xfId="0" applyNumberFormat="1" applyFont="1" applyBorder="1" applyAlignment="1" applyProtection="1">
      <alignment horizontal="left" vertical="center"/>
      <protection locked="0"/>
    </xf>
    <xf numFmtId="1" fontId="11" fillId="0" borderId="16" xfId="0" applyNumberFormat="1" applyFont="1" applyBorder="1" applyAlignment="1" applyProtection="1">
      <alignment horizontal="left" vertical="center"/>
      <protection locked="0"/>
    </xf>
    <xf numFmtId="0" fontId="5" fillId="0" borderId="18" xfId="0" applyFont="1" applyBorder="1" applyAlignment="1">
      <alignment horizontal="left" vertical="center"/>
    </xf>
    <xf numFmtId="0" fontId="16" fillId="0" borderId="7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25" xfId="0" applyFont="1" applyBorder="1" applyAlignment="1">
      <alignment horizontal="left" vertical="center"/>
    </xf>
    <xf numFmtId="0" fontId="11" fillId="0" borderId="0" xfId="1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1" fillId="0" borderId="23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3" fontId="10" fillId="6" borderId="3" xfId="0" applyNumberFormat="1" applyFont="1" applyFill="1" applyBorder="1" applyAlignment="1">
      <alignment horizontal="center" vertical="center"/>
    </xf>
    <xf numFmtId="3" fontId="10" fillId="6" borderId="4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3" fontId="10" fillId="0" borderId="47" xfId="0" applyNumberFormat="1" applyFont="1" applyBorder="1" applyAlignment="1">
      <alignment horizontal="center" vertical="center"/>
    </xf>
    <xf numFmtId="9" fontId="11" fillId="7" borderId="210" xfId="2" applyFont="1" applyFill="1" applyBorder="1" applyAlignment="1" applyProtection="1">
      <alignment horizontal="center" vertical="center"/>
      <protection locked="0"/>
    </xf>
    <xf numFmtId="9" fontId="11" fillId="7" borderId="46" xfId="2" applyFont="1" applyFill="1" applyBorder="1" applyAlignment="1" applyProtection="1">
      <alignment horizontal="center" vertical="center"/>
      <protection locked="0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4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/>
    </xf>
    <xf numFmtId="167" fontId="11" fillId="0" borderId="17" xfId="0" applyNumberFormat="1" applyFont="1" applyBorder="1" applyAlignment="1" applyProtection="1">
      <alignment horizontal="right" vertical="center"/>
      <protection hidden="1"/>
    </xf>
    <xf numFmtId="166" fontId="11" fillId="0" borderId="17" xfId="2" applyNumberFormat="1" applyFont="1" applyBorder="1" applyProtection="1">
      <protection hidden="1"/>
    </xf>
    <xf numFmtId="166" fontId="11" fillId="0" borderId="17" xfId="2" applyNumberFormat="1" applyFont="1" applyBorder="1" applyAlignment="1" applyProtection="1">
      <alignment horizontal="right" vertical="center"/>
      <protection hidden="1"/>
    </xf>
    <xf numFmtId="167" fontId="11" fillId="0" borderId="19" xfId="0" applyNumberFormat="1" applyFont="1" applyBorder="1" applyAlignment="1" applyProtection="1">
      <alignment horizontal="right" vertical="center"/>
      <protection hidden="1"/>
    </xf>
    <xf numFmtId="3" fontId="3" fillId="0" borderId="47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2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166" fontId="6" fillId="0" borderId="212" xfId="0" applyNumberFormat="1" applyFont="1" applyBorder="1" applyAlignment="1" applyProtection="1">
      <alignment horizontal="center" vertical="center"/>
      <protection hidden="1"/>
    </xf>
    <xf numFmtId="166" fontId="6" fillId="0" borderId="213" xfId="0" applyNumberFormat="1" applyFont="1" applyBorder="1" applyAlignment="1" applyProtection="1">
      <alignment horizontal="center" vertical="center"/>
      <protection hidden="1"/>
    </xf>
    <xf numFmtId="0" fontId="3" fillId="6" borderId="214" xfId="0" applyFont="1" applyFill="1" applyBorder="1" applyAlignment="1" applyProtection="1">
      <alignment horizontal="center" vertical="center"/>
      <protection hidden="1"/>
    </xf>
    <xf numFmtId="0" fontId="3" fillId="0" borderId="211" xfId="0" applyFont="1" applyBorder="1" applyAlignment="1">
      <alignment horizont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21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213" xfId="0" applyNumberFormat="1" applyFont="1" applyBorder="1" applyAlignment="1" applyProtection="1">
      <alignment horizontal="center" vertical="center"/>
      <protection hidden="1"/>
    </xf>
    <xf numFmtId="167" fontId="3" fillId="0" borderId="214" xfId="0" applyNumberFormat="1" applyFont="1" applyBorder="1" applyAlignment="1" applyProtection="1">
      <alignment horizontal="center" vertical="center"/>
      <protection hidden="1"/>
    </xf>
    <xf numFmtId="0" fontId="3" fillId="0" borderId="219" xfId="0" applyFont="1" applyBorder="1" applyAlignment="1" applyProtection="1">
      <alignment horizontal="left" vertical="center"/>
      <protection hidden="1"/>
    </xf>
    <xf numFmtId="3" fontId="3" fillId="0" borderId="216" xfId="0" applyNumberFormat="1" applyFont="1" applyBorder="1" applyAlignment="1" applyProtection="1">
      <alignment horizontal="center" vertical="center"/>
      <protection hidden="1"/>
    </xf>
    <xf numFmtId="166" fontId="3" fillId="0" borderId="212" xfId="2" applyNumberFormat="1" applyFont="1" applyFill="1" applyBorder="1" applyAlignment="1" applyProtection="1">
      <alignment horizontal="center" vertical="center"/>
      <protection hidden="1"/>
    </xf>
    <xf numFmtId="167" fontId="3" fillId="0" borderId="212" xfId="0" applyNumberFormat="1" applyFont="1" applyBorder="1" applyAlignment="1" applyProtection="1">
      <alignment horizontal="center" vertical="center"/>
      <protection hidden="1"/>
    </xf>
    <xf numFmtId="0" fontId="6" fillId="0" borderId="220" xfId="0" applyFont="1" applyBorder="1" applyAlignment="1" applyProtection="1">
      <alignment horizontal="left" vertical="center"/>
      <protection hidden="1"/>
    </xf>
    <xf numFmtId="0" fontId="6" fillId="0" borderId="219" xfId="0" applyFont="1" applyBorder="1" applyAlignment="1" applyProtection="1">
      <alignment horizontal="left" vertical="center"/>
      <protection hidden="1"/>
    </xf>
    <xf numFmtId="0" fontId="6" fillId="0" borderId="221" xfId="0" applyFont="1" applyBorder="1" applyAlignment="1" applyProtection="1">
      <alignment horizontal="left" vertical="center"/>
      <protection hidden="1"/>
    </xf>
    <xf numFmtId="0" fontId="3" fillId="8" borderId="220" xfId="0" applyFont="1" applyFill="1" applyBorder="1" applyAlignment="1" applyProtection="1">
      <alignment vertical="center"/>
      <protection hidden="1"/>
    </xf>
    <xf numFmtId="166" fontId="6" fillId="0" borderId="212" xfId="2" applyNumberFormat="1" applyFont="1" applyFill="1" applyBorder="1" applyAlignment="1" applyProtection="1">
      <alignment horizontal="center" vertical="center"/>
      <protection hidden="1"/>
    </xf>
    <xf numFmtId="166" fontId="6" fillId="0" borderId="213" xfId="2" applyNumberFormat="1" applyFont="1" applyFill="1" applyBorder="1" applyAlignment="1" applyProtection="1">
      <alignment horizontal="center" vertical="center"/>
      <protection hidden="1"/>
    </xf>
    <xf numFmtId="167" fontId="3" fillId="8" borderId="218" xfId="0" applyNumberFormat="1" applyFont="1" applyFill="1" applyBorder="1" applyAlignment="1" applyProtection="1">
      <alignment horizontal="center" vertical="center"/>
      <protection hidden="1"/>
    </xf>
    <xf numFmtId="167" fontId="3" fillId="8" borderId="214" xfId="0" applyNumberFormat="1" applyFont="1" applyFill="1" applyBorder="1" applyAlignment="1" applyProtection="1">
      <alignment horizontal="center" vertical="center"/>
      <protection hidden="1"/>
    </xf>
    <xf numFmtId="0" fontId="6" fillId="0" borderId="222" xfId="0" applyFont="1" applyBorder="1" applyAlignment="1" applyProtection="1">
      <alignment horizontal="left" vertical="center"/>
      <protection hidden="1"/>
    </xf>
    <xf numFmtId="167" fontId="6" fillId="0" borderId="223" xfId="0" applyNumberFormat="1" applyFont="1" applyBorder="1" applyAlignment="1" applyProtection="1">
      <alignment horizontal="center" vertical="center"/>
      <protection hidden="1"/>
    </xf>
    <xf numFmtId="0" fontId="6" fillId="0" borderId="147" xfId="0" applyFont="1" applyBorder="1" applyAlignment="1" applyProtection="1">
      <alignment horizontal="center" vertical="center"/>
      <protection hidden="1"/>
    </xf>
    <xf numFmtId="166" fontId="6" fillId="0" borderId="224" xfId="2" applyNumberFormat="1" applyFont="1" applyFill="1" applyBorder="1" applyAlignment="1" applyProtection="1">
      <alignment horizontal="center" vertical="center"/>
      <protection hidden="1"/>
    </xf>
    <xf numFmtId="167" fontId="6" fillId="0" borderId="224" xfId="0" applyNumberFormat="1" applyFont="1" applyBorder="1" applyAlignment="1" applyProtection="1">
      <alignment horizontal="center" vertical="center"/>
      <protection hidden="1"/>
    </xf>
    <xf numFmtId="167" fontId="6" fillId="0" borderId="218" xfId="0" applyNumberFormat="1" applyFont="1" applyBorder="1" applyAlignment="1" applyProtection="1">
      <alignment horizontal="center" vertical="center"/>
      <protection hidden="1"/>
    </xf>
    <xf numFmtId="1" fontId="6" fillId="0" borderId="161" xfId="0" applyNumberFormat="1" applyFont="1" applyBorder="1" applyAlignment="1" applyProtection="1">
      <alignment horizontal="center" vertical="center"/>
      <protection hidden="1"/>
    </xf>
    <xf numFmtId="166" fontId="6" fillId="0" borderId="214" xfId="2" applyNumberFormat="1" applyFont="1" applyFill="1" applyBorder="1" applyAlignment="1" applyProtection="1">
      <alignment horizontal="center" vertical="center"/>
      <protection hidden="1"/>
    </xf>
    <xf numFmtId="167" fontId="6" fillId="0" borderId="161" xfId="0" applyNumberFormat="1" applyFont="1" applyBorder="1" applyAlignment="1" applyProtection="1">
      <alignment horizontal="center" vertical="center"/>
      <protection hidden="1"/>
    </xf>
    <xf numFmtId="167" fontId="6" fillId="0" borderId="214" xfId="0" applyNumberFormat="1" applyFont="1" applyBorder="1" applyAlignment="1" applyProtection="1">
      <alignment horizontal="center" vertical="center"/>
      <protection hidden="1"/>
    </xf>
    <xf numFmtId="0" fontId="6" fillId="0" borderId="219" xfId="0" applyFont="1" applyBorder="1" applyAlignment="1" applyProtection="1">
      <alignment vertical="center"/>
      <protection hidden="1"/>
    </xf>
    <xf numFmtId="0" fontId="6" fillId="0" borderId="221" xfId="0" applyFont="1" applyBorder="1" applyAlignment="1" applyProtection="1">
      <alignment vertical="center"/>
      <protection hidden="1"/>
    </xf>
    <xf numFmtId="0" fontId="3" fillId="0" borderId="225" xfId="0" applyFont="1" applyBorder="1" applyAlignment="1" applyProtection="1">
      <alignment vertical="center"/>
      <protection hidden="1"/>
    </xf>
    <xf numFmtId="3" fontId="6" fillId="0" borderId="216" xfId="0" applyNumberFormat="1" applyFont="1" applyBorder="1" applyAlignment="1" applyProtection="1">
      <alignment horizontal="center" vertical="center"/>
      <protection hidden="1"/>
    </xf>
    <xf numFmtId="3" fontId="6" fillId="0" borderId="217" xfId="0" applyNumberFormat="1" applyFont="1" applyBorder="1" applyAlignment="1" applyProtection="1">
      <alignment horizontal="center" vertical="center"/>
      <protection hidden="1"/>
    </xf>
    <xf numFmtId="3" fontId="3" fillId="0" borderId="226" xfId="0" applyNumberFormat="1" applyFont="1" applyBorder="1" applyAlignment="1" applyProtection="1">
      <alignment horizontal="center" vertical="center"/>
      <protection hidden="1"/>
    </xf>
    <xf numFmtId="164" fontId="3" fillId="6" borderId="225" xfId="0" applyNumberFormat="1" applyFont="1" applyFill="1" applyBorder="1" applyAlignment="1" applyProtection="1">
      <alignment horizontal="center" vertical="center"/>
      <protection hidden="1"/>
    </xf>
    <xf numFmtId="164" fontId="85" fillId="13" borderId="188" xfId="0" applyNumberFormat="1" applyFont="1" applyFill="1" applyBorder="1" applyAlignment="1" applyProtection="1">
      <alignment horizontal="center" vertical="center"/>
      <protection hidden="1"/>
    </xf>
    <xf numFmtId="167" fontId="6" fillId="0" borderId="189" xfId="0" applyNumberFormat="1" applyFont="1" applyBorder="1" applyAlignment="1" applyProtection="1">
      <alignment horizontal="center" vertical="center"/>
      <protection hidden="1"/>
    </xf>
    <xf numFmtId="167" fontId="6" fillId="0" borderId="227" xfId="0" applyNumberFormat="1" applyFont="1" applyBorder="1" applyAlignment="1" applyProtection="1">
      <alignment horizontal="center" vertical="center"/>
      <protection hidden="1"/>
    </xf>
    <xf numFmtId="167" fontId="3" fillId="0" borderId="228" xfId="0" applyNumberFormat="1" applyFont="1" applyBorder="1" applyAlignment="1" applyProtection="1">
      <alignment horizontal="center" vertical="center"/>
      <protection hidden="1"/>
    </xf>
    <xf numFmtId="167" fontId="3" fillId="0" borderId="229" xfId="0" applyNumberFormat="1" applyFont="1" applyBorder="1" applyAlignment="1" applyProtection="1">
      <alignment horizontal="center" vertical="center"/>
      <protection hidden="1"/>
    </xf>
    <xf numFmtId="167" fontId="3" fillId="0" borderId="189" xfId="0" applyNumberFormat="1" applyFont="1" applyBorder="1" applyAlignment="1" applyProtection="1">
      <alignment horizontal="center" vertical="center"/>
      <protection hidden="1"/>
    </xf>
    <xf numFmtId="167" fontId="3" fillId="0" borderId="230" xfId="0" applyNumberFormat="1" applyFont="1" applyBorder="1" applyAlignment="1" applyProtection="1">
      <alignment horizontal="center" vertical="center"/>
      <protection hidden="1"/>
    </xf>
    <xf numFmtId="164" fontId="85" fillId="13" borderId="174" xfId="0" applyNumberFormat="1" applyFont="1" applyFill="1" applyBorder="1" applyAlignment="1" applyProtection="1">
      <alignment horizontal="center" vertical="center"/>
      <protection hidden="1"/>
    </xf>
    <xf numFmtId="3" fontId="6" fillId="0" borderId="231" xfId="0" applyNumberFormat="1" applyFont="1" applyBorder="1" applyAlignment="1" applyProtection="1">
      <alignment horizontal="center" vertical="center"/>
      <protection hidden="1"/>
    </xf>
    <xf numFmtId="3" fontId="6" fillId="0" borderId="232" xfId="0" applyNumberFormat="1" applyFont="1" applyBorder="1" applyAlignment="1" applyProtection="1">
      <alignment horizontal="center" vertical="center"/>
      <protection hidden="1"/>
    </xf>
    <xf numFmtId="3" fontId="3" fillId="0" borderId="233" xfId="0" applyNumberFormat="1" applyFont="1" applyBorder="1" applyAlignment="1" applyProtection="1">
      <alignment horizontal="center" vertical="center"/>
      <protection hidden="1"/>
    </xf>
    <xf numFmtId="3" fontId="3" fillId="6" borderId="172" xfId="0" applyNumberFormat="1" applyFont="1" applyFill="1" applyBorder="1" applyAlignment="1" applyProtection="1">
      <alignment horizontal="center" vertical="center"/>
      <protection hidden="1"/>
    </xf>
    <xf numFmtId="3" fontId="3" fillId="6" borderId="234" xfId="0" applyNumberFormat="1" applyFont="1" applyFill="1" applyBorder="1" applyAlignment="1" applyProtection="1">
      <alignment horizontal="center" vertical="center"/>
      <protection hidden="1"/>
    </xf>
    <xf numFmtId="167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235" xfId="0" applyFont="1" applyFill="1" applyBorder="1" applyAlignment="1" applyProtection="1">
      <alignment vertical="center"/>
      <protection hidden="1"/>
    </xf>
    <xf numFmtId="167" fontId="3" fillId="0" borderId="235" xfId="0" applyNumberFormat="1" applyFont="1" applyBorder="1" applyAlignment="1" applyProtection="1">
      <alignment horizontal="center" vertical="center"/>
      <protection hidden="1"/>
    </xf>
    <xf numFmtId="167" fontId="3" fillId="0" borderId="236" xfId="0" applyNumberFormat="1" applyFont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left" vertical="center" wrapText="1" indent="1"/>
      <protection hidden="1"/>
    </xf>
    <xf numFmtId="0" fontId="85" fillId="13" borderId="173" xfId="0" applyFont="1" applyFill="1" applyBorder="1" applyAlignment="1" applyProtection="1">
      <alignment horizontal="center" vertical="center" wrapText="1"/>
      <protection hidden="1"/>
    </xf>
    <xf numFmtId="0" fontId="3" fillId="0" borderId="238" xfId="0" applyFont="1" applyBorder="1" applyAlignment="1" applyProtection="1">
      <alignment horizontal="left" vertical="center" wrapText="1"/>
      <protection hidden="1"/>
    </xf>
    <xf numFmtId="166" fontId="3" fillId="0" borderId="238" xfId="0" applyNumberFormat="1" applyFont="1" applyBorder="1" applyAlignment="1" applyProtection="1">
      <alignment horizontal="center" vertical="center" wrapText="1"/>
      <protection hidden="1"/>
    </xf>
    <xf numFmtId="166" fontId="3" fillId="0" borderId="239" xfId="0" applyNumberFormat="1" applyFont="1" applyBorder="1" applyAlignment="1" applyProtection="1">
      <alignment horizontal="center" vertical="center" wrapText="1"/>
      <protection hidden="1"/>
    </xf>
    <xf numFmtId="0" fontId="3" fillId="0" borderId="240" xfId="0" applyFont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horizontal="left" vertical="center" wrapText="1"/>
      <protection hidden="1"/>
    </xf>
    <xf numFmtId="0" fontId="67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241" xfId="0" applyFont="1" applyFill="1" applyBorder="1" applyAlignment="1" applyProtection="1">
      <alignment horizontal="left" vertical="center" wrapText="1"/>
      <protection hidden="1"/>
    </xf>
    <xf numFmtId="167" fontId="6" fillId="3" borderId="241" xfId="0" applyNumberFormat="1" applyFont="1" applyFill="1" applyBorder="1" applyAlignment="1" applyProtection="1">
      <alignment horizontal="center" vertical="center"/>
      <protection hidden="1"/>
    </xf>
    <xf numFmtId="1" fontId="6" fillId="3" borderId="241" xfId="0" applyNumberFormat="1" applyFont="1" applyFill="1" applyBorder="1" applyAlignment="1" applyProtection="1">
      <alignment horizontal="center" vertical="center"/>
      <protection hidden="1"/>
    </xf>
    <xf numFmtId="166" fontId="6" fillId="3" borderId="241" xfId="0" applyNumberFormat="1" applyFont="1" applyFill="1" applyBorder="1" applyAlignment="1" applyProtection="1">
      <alignment horizontal="center" vertical="center"/>
      <protection hidden="1"/>
    </xf>
    <xf numFmtId="3" fontId="6" fillId="3" borderId="241" xfId="0" applyNumberFormat="1" applyFont="1" applyFill="1" applyBorder="1" applyAlignment="1" applyProtection="1">
      <alignment horizontal="center" vertical="center"/>
      <protection hidden="1"/>
    </xf>
    <xf numFmtId="0" fontId="3" fillId="3" borderId="242" xfId="0" applyFont="1" applyFill="1" applyBorder="1" applyAlignment="1" applyProtection="1">
      <alignment horizontal="left" vertical="center" wrapText="1"/>
      <protection hidden="1"/>
    </xf>
    <xf numFmtId="167" fontId="6" fillId="3" borderId="242" xfId="0" applyNumberFormat="1" applyFont="1" applyFill="1" applyBorder="1" applyAlignment="1" applyProtection="1">
      <alignment horizontal="center" vertical="center"/>
      <protection hidden="1"/>
    </xf>
    <xf numFmtId="1" fontId="6" fillId="3" borderId="242" xfId="0" applyNumberFormat="1" applyFont="1" applyFill="1" applyBorder="1" applyAlignment="1" applyProtection="1">
      <alignment horizontal="center" vertical="center"/>
      <protection hidden="1"/>
    </xf>
    <xf numFmtId="166" fontId="6" fillId="3" borderId="242" xfId="0" applyNumberFormat="1" applyFont="1" applyFill="1" applyBorder="1" applyAlignment="1" applyProtection="1">
      <alignment horizontal="center" vertical="center"/>
      <protection hidden="1"/>
    </xf>
    <xf numFmtId="3" fontId="6" fillId="3" borderId="242" xfId="0" applyNumberFormat="1" applyFont="1" applyFill="1" applyBorder="1" applyAlignment="1" applyProtection="1">
      <alignment horizontal="center" vertical="center"/>
      <protection hidden="1"/>
    </xf>
    <xf numFmtId="0" fontId="3" fillId="0" borderId="24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89" fillId="0" borderId="0" xfId="0" applyFont="1" applyProtection="1">
      <protection hidden="1"/>
    </xf>
    <xf numFmtId="0" fontId="89" fillId="0" borderId="0" xfId="0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92" fillId="0" borderId="0" xfId="0" applyFont="1" applyAlignment="1" applyProtection="1">
      <alignment vertical="center"/>
      <protection hidden="1"/>
    </xf>
    <xf numFmtId="166" fontId="6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4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6" fillId="0" borderId="251" xfId="0" applyFont="1" applyBorder="1" applyAlignment="1" applyProtection="1">
      <alignment horizontal="left" vertical="center"/>
      <protection hidden="1"/>
    </xf>
    <xf numFmtId="3" fontId="3" fillId="0" borderId="218" xfId="0" applyNumberFormat="1" applyFont="1" applyBorder="1" applyAlignment="1" applyProtection="1">
      <alignment horizontal="center" vertical="center"/>
      <protection hidden="1"/>
    </xf>
    <xf numFmtId="0" fontId="3" fillId="0" borderId="247" xfId="0" applyFont="1" applyBorder="1" applyAlignment="1">
      <alignment horizontal="center"/>
    </xf>
    <xf numFmtId="167" fontId="6" fillId="0" borderId="248" xfId="0" applyNumberFormat="1" applyFont="1" applyBorder="1" applyAlignment="1" applyProtection="1">
      <alignment horizontal="center" vertical="center"/>
      <protection hidden="1"/>
    </xf>
    <xf numFmtId="167" fontId="6" fillId="0" borderId="249" xfId="0" applyNumberFormat="1" applyFont="1" applyBorder="1" applyAlignment="1" applyProtection="1">
      <alignment horizontal="center" vertical="center"/>
      <protection hidden="1"/>
    </xf>
    <xf numFmtId="167" fontId="3" fillId="0" borderId="250" xfId="0" applyNumberFormat="1" applyFont="1" applyBorder="1" applyAlignment="1" applyProtection="1">
      <alignment horizontal="center" vertical="center"/>
      <protection hidden="1"/>
    </xf>
    <xf numFmtId="167" fontId="3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52" xfId="0" applyNumberFormat="1" applyFont="1" applyBorder="1" applyAlignment="1" applyProtection="1">
      <alignment horizontal="center" vertical="center"/>
      <protection hidden="1"/>
    </xf>
    <xf numFmtId="166" fontId="6" fillId="0" borderId="253" xfId="0" applyNumberFormat="1" applyFont="1" applyBorder="1" applyAlignment="1" applyProtection="1">
      <alignment horizontal="center" vertical="center"/>
      <protection hidden="1"/>
    </xf>
    <xf numFmtId="166" fontId="6" fillId="0" borderId="254" xfId="0" applyNumberFormat="1" applyFont="1" applyBorder="1" applyAlignment="1" applyProtection="1">
      <alignment horizontal="center" vertical="center"/>
      <protection hidden="1"/>
    </xf>
    <xf numFmtId="167" fontId="3" fillId="8" borderId="250" xfId="0" applyNumberFormat="1" applyFont="1" applyFill="1" applyBorder="1" applyAlignment="1" applyProtection="1">
      <alignment horizontal="center" vertical="center"/>
      <protection hidden="1"/>
    </xf>
    <xf numFmtId="167" fontId="3" fillId="0" borderId="255" xfId="0" applyNumberFormat="1" applyFont="1" applyBorder="1" applyAlignment="1" applyProtection="1">
      <alignment horizontal="center" vertical="center"/>
      <protection hidden="1"/>
    </xf>
    <xf numFmtId="0" fontId="85" fillId="13" borderId="139" xfId="0" applyFont="1" applyFill="1" applyBorder="1" applyAlignment="1">
      <alignment horizontal="left" vertical="center" indent="1"/>
    </xf>
    <xf numFmtId="0" fontId="0" fillId="0" borderId="256" xfId="0" applyBorder="1"/>
    <xf numFmtId="0" fontId="18" fillId="0" borderId="256" xfId="0" applyFont="1" applyBorder="1"/>
    <xf numFmtId="0" fontId="18" fillId="0" borderId="258" xfId="0" applyFont="1" applyBorder="1"/>
    <xf numFmtId="0" fontId="2" fillId="2" borderId="0" xfId="0" applyFont="1" applyFill="1" applyAlignment="1">
      <alignment horizontal="right"/>
    </xf>
    <xf numFmtId="0" fontId="2" fillId="2" borderId="0" xfId="0" applyFont="1" applyFill="1"/>
    <xf numFmtId="164" fontId="2" fillId="2" borderId="0" xfId="0" applyNumberFormat="1" applyFont="1" applyFill="1" applyProtection="1">
      <protection hidden="1"/>
    </xf>
    <xf numFmtId="4" fontId="2" fillId="2" borderId="0" xfId="0" applyNumberFormat="1" applyFont="1" applyFill="1" applyProtection="1">
      <protection hidden="1"/>
    </xf>
    <xf numFmtId="49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0" fontId="38" fillId="0" borderId="0" xfId="0" applyFont="1" applyAlignment="1">
      <alignment vertical="center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59" fillId="7" borderId="32" xfId="2" applyNumberFormat="1" applyFont="1" applyFill="1" applyBorder="1" applyAlignment="1" applyProtection="1">
      <alignment horizontal="center" vertical="center"/>
      <protection locked="0"/>
    </xf>
    <xf numFmtId="164" fontId="59" fillId="7" borderId="33" xfId="2" applyNumberFormat="1" applyFont="1" applyFill="1" applyBorder="1" applyAlignment="1" applyProtection="1">
      <alignment horizontal="center" vertical="center"/>
      <protection locked="0"/>
    </xf>
    <xf numFmtId="166" fontId="11" fillId="0" borderId="45" xfId="0" applyNumberFormat="1" applyFont="1" applyBorder="1" applyAlignment="1">
      <alignment horizontal="right" vertical="center"/>
    </xf>
    <xf numFmtId="166" fontId="11" fillId="0" borderId="46" xfId="0" applyNumberFormat="1" applyFont="1" applyBorder="1" applyAlignment="1">
      <alignment horizontal="right" vertical="center"/>
    </xf>
    <xf numFmtId="166" fontId="10" fillId="0" borderId="77" xfId="0" applyNumberFormat="1" applyFont="1" applyBorder="1" applyAlignment="1">
      <alignment horizontal="right" vertical="center"/>
    </xf>
    <xf numFmtId="3" fontId="6" fillId="8" borderId="53" xfId="0" applyNumberFormat="1" applyFont="1" applyFill="1" applyBorder="1" applyAlignment="1">
      <alignment horizontal="center" vertical="center"/>
    </xf>
    <xf numFmtId="0" fontId="46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11" fillId="0" borderId="158" xfId="0" applyFont="1" applyBorder="1" applyProtection="1">
      <protection hidden="1"/>
    </xf>
    <xf numFmtId="3" fontId="11" fillId="0" borderId="158" xfId="0" applyNumberFormat="1" applyFont="1" applyBorder="1" applyAlignment="1" applyProtection="1">
      <alignment horizontal="center"/>
      <protection hidden="1"/>
    </xf>
    <xf numFmtId="3" fontId="11" fillId="0" borderId="159" xfId="0" applyNumberFormat="1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left"/>
      <protection hidden="1"/>
    </xf>
    <xf numFmtId="0" fontId="11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76" xfId="0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3" fontId="11" fillId="0" borderId="45" xfId="0" quotePrefix="1" applyNumberFormat="1" applyFont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/>
      <protection hidden="1"/>
    </xf>
    <xf numFmtId="3" fontId="6" fillId="0" borderId="17" xfId="0" applyNumberFormat="1" applyFont="1" applyBorder="1" applyAlignment="1" applyProtection="1">
      <alignment horizontal="center"/>
      <protection hidden="1"/>
    </xf>
    <xf numFmtId="3" fontId="6" fillId="0" borderId="20" xfId="0" applyNumberFormat="1" applyFont="1" applyBorder="1" applyAlignment="1" applyProtection="1">
      <alignment horizontal="center"/>
      <protection hidden="1"/>
    </xf>
    <xf numFmtId="164" fontId="11" fillId="7" borderId="19" xfId="0" applyNumberFormat="1" applyFont="1" applyFill="1" applyBorder="1" applyAlignment="1" applyProtection="1">
      <alignment horizontal="center" vertical="center"/>
      <protection locked="0"/>
    </xf>
    <xf numFmtId="168" fontId="11" fillId="0" borderId="61" xfId="0" applyNumberFormat="1" applyFont="1" applyBorder="1" applyAlignment="1" applyProtection="1">
      <alignment horizontal="center" vertical="center"/>
      <protection hidden="1"/>
    </xf>
    <xf numFmtId="168" fontId="11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94" fillId="0" borderId="25" xfId="0" applyFont="1" applyBorder="1" applyAlignment="1" applyProtection="1">
      <alignment horizontal="left" vertical="center"/>
      <protection hidden="1"/>
    </xf>
    <xf numFmtId="0" fontId="94" fillId="0" borderId="25" xfId="0" applyFont="1" applyBorder="1" applyAlignment="1">
      <alignment vertical="center"/>
    </xf>
    <xf numFmtId="0" fontId="77" fillId="0" borderId="18" xfId="0" applyFont="1" applyBorder="1" applyAlignment="1" applyProtection="1">
      <alignment vertical="center"/>
      <protection hidden="1"/>
    </xf>
    <xf numFmtId="0" fontId="77" fillId="0" borderId="25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hidden="1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52" fillId="0" borderId="27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17" fontId="43" fillId="0" borderId="47" xfId="0" applyNumberFormat="1" applyFont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3" fillId="3" borderId="140" xfId="0" applyFont="1" applyFill="1" applyBorder="1" applyAlignment="1" applyProtection="1">
      <alignment horizontal="center" vertical="center"/>
      <protection hidden="1"/>
    </xf>
    <xf numFmtId="0" fontId="3" fillId="3" borderId="143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0" borderId="172" xfId="0" applyFont="1" applyBorder="1" applyAlignment="1" applyProtection="1">
      <alignment horizontal="left" vertical="center"/>
      <protection hidden="1"/>
    </xf>
    <xf numFmtId="0" fontId="56" fillId="0" borderId="45" xfId="0" applyFont="1" applyBorder="1" applyAlignment="1">
      <alignment vertical="center"/>
    </xf>
    <xf numFmtId="0" fontId="56" fillId="0" borderId="46" xfId="0" applyFont="1" applyBorder="1" applyAlignment="1">
      <alignment horizontal="right" vertical="center"/>
    </xf>
    <xf numFmtId="0" fontId="43" fillId="0" borderId="45" xfId="0" applyFont="1" applyBorder="1" applyAlignment="1">
      <alignment vertical="center"/>
    </xf>
    <xf numFmtId="0" fontId="43" fillId="0" borderId="46" xfId="0" applyFont="1" applyBorder="1" applyAlignment="1">
      <alignment horizontal="right" vertical="center"/>
    </xf>
    <xf numFmtId="10" fontId="59" fillId="7" borderId="17" xfId="0" applyNumberFormat="1" applyFont="1" applyFill="1" applyBorder="1" applyAlignment="1" applyProtection="1">
      <alignment horizontal="center" vertical="center"/>
      <protection locked="0"/>
    </xf>
    <xf numFmtId="10" fontId="59" fillId="7" borderId="35" xfId="0" applyNumberFormat="1" applyFont="1" applyFill="1" applyBorder="1" applyAlignment="1" applyProtection="1">
      <alignment horizontal="center" vertical="center"/>
      <protection locked="0"/>
    </xf>
    <xf numFmtId="0" fontId="6" fillId="0" borderId="259" xfId="0" applyFont="1" applyBorder="1" applyAlignment="1" applyProtection="1">
      <alignment horizontal="center" vertical="center"/>
      <protection hidden="1"/>
    </xf>
    <xf numFmtId="0" fontId="6" fillId="0" borderId="260" xfId="0" applyFont="1" applyBorder="1" applyAlignment="1" applyProtection="1">
      <alignment vertical="center"/>
      <protection hidden="1"/>
    </xf>
    <xf numFmtId="0" fontId="0" fillId="7" borderId="141" xfId="0" applyFill="1" applyBorder="1"/>
    <xf numFmtId="0" fontId="0" fillId="7" borderId="0" xfId="0" applyFill="1"/>
    <xf numFmtId="0" fontId="0" fillId="7" borderId="173" xfId="0" applyFill="1" applyBorder="1"/>
    <xf numFmtId="0" fontId="6" fillId="0" borderId="32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166" fontId="42" fillId="0" borderId="163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/>
    <xf numFmtId="3" fontId="10" fillId="0" borderId="28" xfId="0" applyNumberFormat="1" applyFont="1" applyBorder="1"/>
    <xf numFmtId="3" fontId="11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2" fillId="0" borderId="16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top" wrapText="1"/>
    </xf>
    <xf numFmtId="0" fontId="0" fillId="0" borderId="0" xfId="0"/>
    <xf numFmtId="0" fontId="11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21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6" fontId="82" fillId="13" borderId="19" xfId="0" applyNumberFormat="1" applyFont="1" applyFill="1" applyBorder="1" applyAlignment="1">
      <alignment horizontal="center" vertical="center"/>
    </xf>
    <xf numFmtId="6" fontId="82" fillId="13" borderId="32" xfId="0" applyNumberFormat="1" applyFont="1" applyFill="1" applyBorder="1" applyAlignment="1">
      <alignment horizontal="center" vertical="center"/>
    </xf>
    <xf numFmtId="0" fontId="10" fillId="0" borderId="18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 wrapText="1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1" fillId="13" borderId="18" xfId="0" applyFont="1" applyFill="1" applyBorder="1" applyAlignment="1">
      <alignment horizontal="center" vertical="center"/>
    </xf>
    <xf numFmtId="0" fontId="81" fillId="13" borderId="8" xfId="0" applyFont="1" applyFill="1" applyBorder="1" applyAlignment="1">
      <alignment horizontal="center" vertical="center"/>
    </xf>
    <xf numFmtId="0" fontId="81" fillId="13" borderId="23" xfId="0" applyFont="1" applyFill="1" applyBorder="1" applyAlignment="1">
      <alignment horizontal="center" vertical="center"/>
    </xf>
    <xf numFmtId="0" fontId="81" fillId="13" borderId="59" xfId="0" applyFont="1" applyFill="1" applyBorder="1" applyAlignment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  <protection locked="0"/>
    </xf>
    <xf numFmtId="0" fontId="5" fillId="7" borderId="257" xfId="0" applyFont="1" applyFill="1" applyBorder="1" applyAlignment="1" applyProtection="1">
      <alignment horizontal="left" vertical="center"/>
      <protection locked="0"/>
    </xf>
    <xf numFmtId="0" fontId="91" fillId="7" borderId="16" xfId="3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left" vertical="center"/>
      <protection locked="0"/>
    </xf>
    <xf numFmtId="49" fontId="5" fillId="7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49" fontId="5" fillId="7" borderId="0" xfId="0" applyNumberFormat="1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56" xfId="0" applyBorder="1" applyAlignment="1" applyProtection="1">
      <alignment horizontal="left" vertical="top" wrapText="1"/>
      <protection locked="0"/>
    </xf>
    <xf numFmtId="0" fontId="11" fillId="7" borderId="17" xfId="0" applyFont="1" applyFill="1" applyBorder="1" applyAlignment="1" applyProtection="1">
      <alignment horizontal="left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vertical="center"/>
      <protection locked="0"/>
    </xf>
    <xf numFmtId="0" fontId="5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7" borderId="80" xfId="0" applyFont="1" applyFill="1" applyBorder="1" applyAlignment="1" applyProtection="1">
      <alignment horizontal="center"/>
      <protection locked="0"/>
    </xf>
    <xf numFmtId="0" fontId="10" fillId="7" borderId="207" xfId="0" applyFont="1" applyFill="1" applyBorder="1" applyAlignment="1" applyProtection="1">
      <alignment horizontal="center"/>
      <protection locked="0"/>
    </xf>
    <xf numFmtId="0" fontId="82" fillId="13" borderId="11" xfId="0" applyFont="1" applyFill="1" applyBorder="1" applyAlignment="1" applyProtection="1">
      <alignment horizontal="center"/>
      <protection hidden="1"/>
    </xf>
    <xf numFmtId="0" fontId="82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2" fillId="13" borderId="8" xfId="0" applyFont="1" applyFill="1" applyBorder="1" applyAlignment="1" applyProtection="1">
      <alignment horizontal="center"/>
      <protection hidden="1"/>
    </xf>
    <xf numFmtId="0" fontId="82" fillId="13" borderId="27" xfId="0" applyFont="1" applyFill="1" applyBorder="1" applyAlignment="1" applyProtection="1">
      <alignment horizontal="center"/>
      <protection hidden="1"/>
    </xf>
    <xf numFmtId="0" fontId="82" fillId="13" borderId="31" xfId="0" applyFont="1" applyFill="1" applyBorder="1" applyAlignment="1" applyProtection="1">
      <alignment horizontal="center"/>
      <protection hidden="1"/>
    </xf>
    <xf numFmtId="1" fontId="10" fillId="7" borderId="27" xfId="0" applyNumberFormat="1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65" xfId="0" applyFont="1" applyFill="1" applyBorder="1" applyAlignment="1" applyProtection="1">
      <alignment horizontal="center"/>
      <protection locked="0"/>
    </xf>
    <xf numFmtId="167" fontId="11" fillId="7" borderId="107" xfId="0" applyNumberFormat="1" applyFont="1" applyFill="1" applyBorder="1" applyAlignment="1" applyProtection="1">
      <alignment horizontal="center" vertical="center"/>
      <protection locked="0"/>
    </xf>
    <xf numFmtId="0" fontId="82" fillId="13" borderId="28" xfId="0" applyFont="1" applyFill="1" applyBorder="1" applyAlignment="1" applyProtection="1">
      <alignment horizontal="center"/>
      <protection hidden="1"/>
    </xf>
    <xf numFmtId="167" fontId="11" fillId="7" borderId="68" xfId="0" applyNumberFormat="1" applyFont="1" applyFill="1" applyBorder="1" applyAlignment="1" applyProtection="1">
      <alignment horizontal="center" vertical="center"/>
      <protection locked="0"/>
    </xf>
    <xf numFmtId="167" fontId="11" fillId="7" borderId="67" xfId="0" applyNumberFormat="1" applyFont="1" applyFill="1" applyBorder="1" applyAlignment="1" applyProtection="1">
      <alignment horizontal="center" vertical="center"/>
      <protection locked="0"/>
    </xf>
    <xf numFmtId="167" fontId="11" fillId="7" borderId="44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left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45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45" xfId="0" applyFont="1" applyBorder="1" applyAlignment="1" applyProtection="1">
      <alignment horizontal="left" vertical="center"/>
      <protection hidden="1"/>
    </xf>
    <xf numFmtId="0" fontId="6" fillId="0" borderId="75" xfId="0" applyFont="1" applyBorder="1" applyAlignment="1" applyProtection="1">
      <alignment horizontal="left" vertical="center"/>
      <protection hidden="1"/>
    </xf>
    <xf numFmtId="14" fontId="5" fillId="7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0" fontId="10" fillId="13" borderId="18" xfId="0" applyFont="1" applyFill="1" applyBorder="1" applyAlignment="1" applyProtection="1">
      <alignment horizontal="center" vertical="center"/>
      <protection hidden="1"/>
    </xf>
    <xf numFmtId="0" fontId="11" fillId="13" borderId="7" xfId="0" applyFont="1" applyFill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11" fillId="13" borderId="28" xfId="0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84" fillId="13" borderId="0" xfId="0" applyFont="1" applyFill="1" applyAlignment="1">
      <alignment horizontal="left"/>
    </xf>
    <xf numFmtId="0" fontId="92" fillId="0" borderId="45" xfId="0" applyFont="1" applyBorder="1" applyAlignment="1">
      <alignment horizontal="left" vertical="center" indent="2"/>
    </xf>
    <xf numFmtId="0" fontId="92" fillId="0" borderId="46" xfId="0" applyFont="1" applyBorder="1" applyAlignment="1">
      <alignment horizontal="left" vertical="center" indent="2"/>
    </xf>
    <xf numFmtId="2" fontId="92" fillId="0" borderId="45" xfId="0" applyNumberFormat="1" applyFont="1" applyBorder="1" applyAlignment="1" applyProtection="1">
      <alignment horizontal="left" vertical="center" indent="2"/>
      <protection hidden="1"/>
    </xf>
    <xf numFmtId="2" fontId="92" fillId="0" borderId="46" xfId="0" applyNumberFormat="1" applyFont="1" applyBorder="1" applyAlignment="1" applyProtection="1">
      <alignment horizontal="left" vertical="center" indent="2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3" xfId="0" applyFont="1" applyFill="1" applyBorder="1" applyAlignment="1">
      <alignment horizontal="center" vertical="center"/>
    </xf>
    <xf numFmtId="0" fontId="84" fillId="13" borderId="34" xfId="0" applyFont="1" applyFill="1" applyBorder="1" applyAlignment="1">
      <alignment horizontal="center" vertical="center"/>
    </xf>
    <xf numFmtId="0" fontId="92" fillId="0" borderId="45" xfId="0" applyFont="1" applyBorder="1" applyAlignment="1">
      <alignment horizontal="left" vertical="center" indent="1"/>
    </xf>
    <xf numFmtId="0" fontId="92" fillId="0" borderId="46" xfId="0" applyFont="1" applyBorder="1" applyAlignment="1">
      <alignment horizontal="left" vertical="center" indent="1"/>
    </xf>
    <xf numFmtId="0" fontId="11" fillId="0" borderId="46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92" fillId="0" borderId="96" xfId="0" applyFont="1" applyBorder="1" applyAlignment="1">
      <alignment horizontal="left" vertical="center" indent="1"/>
    </xf>
    <xf numFmtId="0" fontId="92" fillId="0" borderId="97" xfId="0" applyFont="1" applyBorder="1" applyAlignment="1">
      <alignment horizontal="left" vertical="center" indent="1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84" fillId="13" borderId="104" xfId="0" applyFont="1" applyFill="1" applyBorder="1" applyAlignment="1">
      <alignment horizontal="center"/>
    </xf>
    <xf numFmtId="0" fontId="84" fillId="13" borderId="0" xfId="0" applyFont="1" applyFill="1" applyAlignment="1">
      <alignment horizontal="center"/>
    </xf>
    <xf numFmtId="0" fontId="11" fillId="0" borderId="7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1" fillId="0" borderId="79" xfId="0" applyFont="1" applyBorder="1" applyAlignment="1">
      <alignment horizontal="left" vertical="center"/>
    </xf>
    <xf numFmtId="2" fontId="5" fillId="0" borderId="16" xfId="0" applyNumberFormat="1" applyFont="1" applyBorder="1" applyAlignment="1">
      <alignment horizontal="left" vertical="center"/>
    </xf>
    <xf numFmtId="0" fontId="62" fillId="13" borderId="56" xfId="0" applyFont="1" applyFill="1" applyBorder="1" applyAlignment="1">
      <alignment horizontal="center" vertical="center"/>
    </xf>
    <xf numFmtId="0" fontId="62" fillId="13" borderId="14" xfId="0" applyFont="1" applyFill="1" applyBorder="1" applyAlignment="1">
      <alignment horizontal="center" vertical="center"/>
    </xf>
    <xf numFmtId="0" fontId="62" fillId="13" borderId="8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62" fillId="13" borderId="25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 vertical="center"/>
    </xf>
    <xf numFmtId="0" fontId="62" fillId="13" borderId="31" xfId="0" applyFont="1" applyFill="1" applyBorder="1" applyAlignment="1">
      <alignment horizontal="center" vertical="center"/>
    </xf>
    <xf numFmtId="0" fontId="92" fillId="0" borderId="45" xfId="0" applyFont="1" applyBorder="1" applyAlignment="1" applyProtection="1">
      <alignment horizontal="left" vertical="center" indent="1"/>
      <protection hidden="1"/>
    </xf>
    <xf numFmtId="0" fontId="92" fillId="0" borderId="46" xfId="0" applyFont="1" applyBorder="1" applyAlignment="1" applyProtection="1">
      <alignment horizontal="left" vertical="center" indent="1"/>
      <protection hidden="1"/>
    </xf>
    <xf numFmtId="0" fontId="92" fillId="0" borderId="45" xfId="0" applyFont="1" applyBorder="1" applyAlignment="1" applyProtection="1">
      <alignment horizontal="left" vertical="center" indent="2"/>
      <protection hidden="1"/>
    </xf>
    <xf numFmtId="0" fontId="92" fillId="0" borderId="46" xfId="0" applyFont="1" applyBorder="1" applyAlignment="1" applyProtection="1">
      <alignment horizontal="left" vertical="center" indent="2"/>
      <protection hidden="1"/>
    </xf>
    <xf numFmtId="0" fontId="11" fillId="0" borderId="45" xfId="0" applyFont="1" applyBorder="1" applyAlignment="1">
      <alignment horizontal="left" vertical="center" wrapText="1" indent="1"/>
    </xf>
    <xf numFmtId="0" fontId="11" fillId="0" borderId="46" xfId="0" applyFont="1" applyBorder="1" applyAlignment="1">
      <alignment horizontal="left" vertical="center" wrapText="1" indent="1"/>
    </xf>
    <xf numFmtId="3" fontId="6" fillId="0" borderId="99" xfId="0" applyNumberFormat="1" applyFont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 applyProtection="1">
      <alignment horizontal="center" vertical="center"/>
      <protection hidden="1"/>
    </xf>
    <xf numFmtId="3" fontId="3" fillId="0" borderId="115" xfId="0" applyNumberFormat="1" applyFont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 applyProtection="1">
      <alignment horizontal="center" vertical="center"/>
      <protection hidden="1"/>
    </xf>
    <xf numFmtId="0" fontId="85" fillId="13" borderId="9" xfId="0" applyFont="1" applyFill="1" applyBorder="1" applyAlignment="1" applyProtection="1">
      <alignment horizontal="center" vertical="center"/>
      <protection hidden="1"/>
    </xf>
    <xf numFmtId="49" fontId="85" fillId="13" borderId="27" xfId="0" applyNumberFormat="1" applyFont="1" applyFill="1" applyBorder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85" fillId="13" borderId="3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3" fontId="6" fillId="0" borderId="12" xfId="0" applyNumberFormat="1" applyFont="1" applyBorder="1" applyAlignment="1" applyProtection="1">
      <alignment horizontal="center" vertical="center"/>
      <protection hidden="1"/>
    </xf>
    <xf numFmtId="3" fontId="6" fillId="0" borderId="9" xfId="0" applyNumberFormat="1" applyFont="1" applyBorder="1" applyAlignment="1" applyProtection="1">
      <alignment horizontal="center" vertical="center"/>
      <protection hidden="1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27" xfId="0" applyFont="1" applyFill="1" applyBorder="1" applyAlignment="1">
      <alignment horizontal="center" vertical="center"/>
    </xf>
    <xf numFmtId="0" fontId="85" fillId="13" borderId="28" xfId="0" applyFont="1" applyFill="1" applyBorder="1" applyAlignment="1">
      <alignment horizontal="center" vertical="center"/>
    </xf>
    <xf numFmtId="3" fontId="6" fillId="7" borderId="68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15" xfId="0" applyNumberFormat="1" applyFont="1" applyBorder="1" applyAlignment="1" applyProtection="1">
      <alignment horizontal="center" vertical="center"/>
      <protection hidden="1"/>
    </xf>
    <xf numFmtId="3" fontId="3" fillId="0" borderId="98" xfId="0" applyNumberFormat="1" applyFont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>
      <alignment horizontal="center" vertical="center"/>
    </xf>
    <xf numFmtId="0" fontId="85" fillId="13" borderId="9" xfId="0" applyFont="1" applyFill="1" applyBorder="1" applyAlignment="1">
      <alignment horizontal="center" vertical="center"/>
    </xf>
    <xf numFmtId="3" fontId="3" fillId="0" borderId="68" xfId="0" applyNumberFormat="1" applyFont="1" applyBorder="1" applyAlignment="1" applyProtection="1">
      <alignment horizontal="center" vertical="center"/>
      <protection hidden="1"/>
    </xf>
    <xf numFmtId="3" fontId="3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>
      <alignment horizontal="center" vertical="center"/>
    </xf>
    <xf numFmtId="0" fontId="85" fillId="13" borderId="1" xfId="0" applyFont="1" applyFill="1" applyBorder="1" applyAlignment="1">
      <alignment horizontal="center" vertical="center"/>
    </xf>
    <xf numFmtId="0" fontId="82" fillId="13" borderId="19" xfId="0" applyFont="1" applyFill="1" applyBorder="1" applyAlignment="1">
      <alignment horizontal="center" vertical="center" wrapText="1"/>
    </xf>
    <xf numFmtId="0" fontId="82" fillId="13" borderId="60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6" fillId="7" borderId="99" xfId="0" applyNumberFormat="1" applyFont="1" applyFill="1" applyBorder="1" applyAlignment="1" applyProtection="1">
      <alignment horizontal="center" vertical="center"/>
      <protection locked="0"/>
    </xf>
    <xf numFmtId="3" fontId="6" fillId="7" borderId="9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6" fillId="7" borderId="9" xfId="0" applyNumberFormat="1" applyFont="1" applyFill="1" applyBorder="1" applyAlignment="1" applyProtection="1">
      <alignment horizontal="center" vertical="center"/>
      <protection locked="0"/>
    </xf>
    <xf numFmtId="0" fontId="85" fillId="13" borderId="1" xfId="0" applyFont="1" applyFill="1" applyBorder="1" applyAlignment="1" applyProtection="1">
      <alignment horizontal="center" vertical="center"/>
      <protection hidden="1"/>
    </xf>
    <xf numFmtId="14" fontId="5" fillId="0" borderId="16" xfId="0" applyNumberFormat="1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57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 applyProtection="1">
      <alignment horizontal="left"/>
      <protection hidden="1"/>
    </xf>
    <xf numFmtId="0" fontId="82" fillId="13" borderId="13" xfId="0" applyFont="1" applyFill="1" applyBorder="1" applyAlignment="1" applyProtection="1">
      <alignment horizontal="center"/>
      <protection hidden="1"/>
    </xf>
    <xf numFmtId="0" fontId="82" fillId="13" borderId="26" xfId="0" applyFont="1" applyFill="1" applyBorder="1" applyAlignment="1" applyProtection="1">
      <alignment horizontal="center"/>
      <protection hidden="1"/>
    </xf>
    <xf numFmtId="0" fontId="10" fillId="0" borderId="2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62" fillId="13" borderId="12" xfId="0" applyFont="1" applyFill="1" applyBorder="1" applyAlignment="1" applyProtection="1">
      <alignment horizontal="center" vertical="center"/>
      <protection hidden="1"/>
    </xf>
    <xf numFmtId="0" fontId="62" fillId="13" borderId="1" xfId="0" applyFont="1" applyFill="1" applyBorder="1" applyAlignment="1" applyProtection="1">
      <alignment horizontal="center" vertical="center"/>
      <protection hidden="1"/>
    </xf>
    <xf numFmtId="1" fontId="62" fillId="13" borderId="27" xfId="0" applyNumberFormat="1" applyFont="1" applyFill="1" applyBorder="1" applyAlignment="1" applyProtection="1">
      <alignment horizontal="center" vertical="center"/>
      <protection hidden="1"/>
    </xf>
    <xf numFmtId="1" fontId="62" fillId="13" borderId="2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top"/>
      <protection hidden="1"/>
    </xf>
    <xf numFmtId="0" fontId="81" fillId="13" borderId="12" xfId="0" applyFont="1" applyFill="1" applyBorder="1" applyAlignment="1">
      <alignment horizontal="center"/>
    </xf>
    <xf numFmtId="0" fontId="81" fillId="13" borderId="1" xfId="0" applyFont="1" applyFill="1" applyBorder="1" applyAlignment="1">
      <alignment horizontal="center"/>
    </xf>
    <xf numFmtId="0" fontId="87" fillId="13" borderId="27" xfId="0" applyFont="1" applyFill="1" applyBorder="1" applyAlignment="1">
      <alignment horizontal="center" vertical="center" wrapText="1"/>
    </xf>
    <xf numFmtId="0" fontId="87" fillId="13" borderId="28" xfId="0" applyFont="1" applyFill="1" applyBorder="1" applyAlignment="1">
      <alignment horizontal="center" vertical="center" wrapText="1"/>
    </xf>
    <xf numFmtId="0" fontId="87" fillId="13" borderId="41" xfId="0" applyFont="1" applyFill="1" applyBorder="1" applyAlignment="1">
      <alignment horizontal="center" vertical="center" wrapText="1"/>
    </xf>
    <xf numFmtId="0" fontId="87" fillId="13" borderId="6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0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2" fillId="13" borderId="0" xfId="0" applyFont="1" applyFill="1" applyAlignment="1">
      <alignment horizontal="center" vertical="center" wrapText="1"/>
    </xf>
    <xf numFmtId="0" fontId="80" fillId="13" borderId="0" xfId="0" applyFont="1" applyFill="1" applyAlignment="1">
      <alignment horizontal="center" vertical="center" wrapText="1"/>
    </xf>
    <xf numFmtId="0" fontId="82" fillId="13" borderId="0" xfId="0" applyFont="1" applyFill="1" applyAlignment="1">
      <alignment horizontal="right" vertical="center" wrapText="1" indent="1"/>
    </xf>
    <xf numFmtId="0" fontId="6" fillId="0" borderId="0" xfId="0" applyFont="1" applyAlignment="1" applyProtection="1">
      <alignment horizontal="right" vertical="center"/>
      <protection hidden="1"/>
    </xf>
    <xf numFmtId="0" fontId="5" fillId="0" borderId="16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118" xfId="0" applyFont="1" applyBorder="1" applyAlignment="1" applyProtection="1">
      <alignment horizontal="left" vertical="center"/>
      <protection hidden="1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43" fillId="0" borderId="118" xfId="0" applyFont="1" applyBorder="1" applyAlignment="1" applyProtection="1">
      <alignment horizontal="left" vertical="center"/>
      <protection hidden="1"/>
    </xf>
    <xf numFmtId="0" fontId="43" fillId="0" borderId="70" xfId="0" applyFont="1" applyBorder="1" applyAlignment="1" applyProtection="1">
      <alignment horizontal="left" vertical="center"/>
      <protection hidden="1"/>
    </xf>
    <xf numFmtId="0" fontId="43" fillId="0" borderId="71" xfId="0" applyFont="1" applyBorder="1" applyAlignment="1" applyProtection="1">
      <alignment horizontal="left" vertical="center"/>
      <protection hidden="1"/>
    </xf>
    <xf numFmtId="0" fontId="43" fillId="0" borderId="201" xfId="0" applyFont="1" applyBorder="1" applyAlignment="1" applyProtection="1">
      <alignment horizontal="left" vertical="center"/>
      <protection hidden="1"/>
    </xf>
    <xf numFmtId="0" fontId="95" fillId="0" borderId="72" xfId="0" applyFont="1" applyBorder="1" applyAlignment="1" applyProtection="1">
      <alignment horizontal="left" vertical="center"/>
      <protection hidden="1"/>
    </xf>
    <xf numFmtId="0" fontId="95" fillId="0" borderId="73" xfId="0" applyFont="1" applyBorder="1" applyAlignment="1" applyProtection="1">
      <alignment horizontal="left" vertical="center"/>
      <protection hidden="1"/>
    </xf>
    <xf numFmtId="0" fontId="95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horizontal="left" vertical="center"/>
      <protection hidden="1"/>
    </xf>
    <xf numFmtId="0" fontId="92" fillId="0" borderId="73" xfId="0" applyFont="1" applyBorder="1" applyAlignment="1" applyProtection="1">
      <alignment horizontal="left" vertical="center"/>
      <protection hidden="1"/>
    </xf>
    <xf numFmtId="0" fontId="92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vertical="center"/>
      <protection hidden="1"/>
    </xf>
    <xf numFmtId="0" fontId="92" fillId="0" borderId="73" xfId="0" applyFont="1" applyBorder="1" applyAlignment="1" applyProtection="1">
      <alignment vertical="center"/>
      <protection hidden="1"/>
    </xf>
    <xf numFmtId="0" fontId="92" fillId="0" borderId="118" xfId="0" applyFont="1" applyBorder="1" applyAlignment="1" applyProtection="1">
      <alignment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45" xfId="0" applyFont="1" applyBorder="1" applyAlignment="1">
      <alignment horizontal="left" vertical="center" wrapText="1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11" fillId="0" borderId="34" xfId="0" applyFont="1" applyBorder="1" applyAlignment="1">
      <alignment horizontal="left" vertical="center"/>
    </xf>
    <xf numFmtId="0" fontId="81" fillId="13" borderId="12" xfId="0" applyFont="1" applyFill="1" applyBorder="1" applyAlignment="1" applyProtection="1">
      <alignment horizontal="left" vertical="center" indent="1"/>
      <protection hidden="1"/>
    </xf>
    <xf numFmtId="0" fontId="81" fillId="13" borderId="2" xfId="0" applyFont="1" applyFill="1" applyBorder="1" applyAlignment="1" applyProtection="1">
      <alignment horizontal="left" vertical="center" indent="1"/>
      <protection hidden="1"/>
    </xf>
    <xf numFmtId="0" fontId="81" fillId="13" borderId="9" xfId="0" applyFont="1" applyFill="1" applyBorder="1" applyAlignment="1" applyProtection="1">
      <alignment horizontal="left" vertical="center" indent="1"/>
      <protection hidden="1"/>
    </xf>
    <xf numFmtId="0" fontId="81" fillId="13" borderId="13" xfId="0" applyFont="1" applyFill="1" applyBorder="1" applyAlignment="1" applyProtection="1">
      <alignment horizontal="left" vertical="center" indent="1"/>
      <protection hidden="1"/>
    </xf>
    <xf numFmtId="0" fontId="81" fillId="13" borderId="34" xfId="0" applyFont="1" applyFill="1" applyBorder="1" applyAlignment="1" applyProtection="1">
      <alignment horizontal="left" vertical="center" indent="1"/>
      <protection hidden="1"/>
    </xf>
    <xf numFmtId="0" fontId="81" fillId="13" borderId="43" xfId="0" applyFont="1" applyFill="1" applyBorder="1" applyAlignment="1" applyProtection="1">
      <alignment horizontal="left" vertical="center" indent="1"/>
      <protection hidden="1"/>
    </xf>
    <xf numFmtId="0" fontId="81" fillId="13" borderId="12" xfId="0" applyFont="1" applyFill="1" applyBorder="1" applyAlignment="1">
      <alignment horizontal="left" vertical="center" wrapText="1" indent="1"/>
    </xf>
    <xf numFmtId="0" fontId="81" fillId="13" borderId="2" xfId="0" applyFont="1" applyFill="1" applyBorder="1" applyAlignment="1">
      <alignment horizontal="left" vertical="center" wrapText="1" indent="1"/>
    </xf>
    <xf numFmtId="0" fontId="81" fillId="13" borderId="9" xfId="0" applyFont="1" applyFill="1" applyBorder="1" applyAlignment="1">
      <alignment horizontal="left" vertical="center" wrapText="1" indent="1"/>
    </xf>
    <xf numFmtId="0" fontId="81" fillId="13" borderId="27" xfId="0" applyFont="1" applyFill="1" applyBorder="1" applyAlignment="1">
      <alignment horizontal="left" vertical="center" wrapText="1" indent="1"/>
    </xf>
    <xf numFmtId="0" fontId="81" fillId="13" borderId="0" xfId="0" applyFont="1" applyFill="1" applyAlignment="1">
      <alignment horizontal="left" vertical="center" wrapText="1" indent="1"/>
    </xf>
    <xf numFmtId="0" fontId="81" fillId="13" borderId="31" xfId="0" applyFont="1" applyFill="1" applyBorder="1" applyAlignment="1">
      <alignment horizontal="left" vertical="center" wrapText="1" indent="1"/>
    </xf>
    <xf numFmtId="0" fontId="81" fillId="13" borderId="13" xfId="0" applyFont="1" applyFill="1" applyBorder="1" applyAlignment="1">
      <alignment horizontal="left" vertical="center" wrapText="1" indent="1"/>
    </xf>
    <xf numFmtId="0" fontId="81" fillId="13" borderId="34" xfId="0" applyFont="1" applyFill="1" applyBorder="1" applyAlignment="1">
      <alignment horizontal="left" vertical="center" wrapText="1" indent="1"/>
    </xf>
    <xf numFmtId="0" fontId="81" fillId="13" borderId="43" xfId="0" applyFont="1" applyFill="1" applyBorder="1" applyAlignment="1">
      <alignment horizontal="left" vertical="center" wrapText="1" indent="1"/>
    </xf>
    <xf numFmtId="0" fontId="92" fillId="0" borderId="74" xfId="0" applyFont="1" applyBorder="1" applyAlignment="1" applyProtection="1">
      <alignment horizontal="right" vertical="center"/>
      <protection hidden="1"/>
    </xf>
    <xf numFmtId="0" fontId="92" fillId="0" borderId="45" xfId="0" applyFont="1" applyBorder="1" applyAlignment="1" applyProtection="1">
      <alignment horizontal="right" vertical="center"/>
      <protection hidden="1"/>
    </xf>
    <xf numFmtId="0" fontId="11" fillId="0" borderId="45" xfId="0" quotePrefix="1" applyFont="1" applyBorder="1" applyAlignment="1">
      <alignment horizontal="left" vertical="center"/>
    </xf>
    <xf numFmtId="0" fontId="74" fillId="0" borderId="4" xfId="0" applyFont="1" applyBorder="1" applyAlignment="1" applyProtection="1">
      <alignment horizontal="right" vertical="center"/>
      <protection hidden="1"/>
    </xf>
    <xf numFmtId="0" fontId="74" fillId="0" borderId="98" xfId="0" applyFont="1" applyBorder="1" applyAlignment="1" applyProtection="1">
      <alignment horizontal="right" vertical="center"/>
      <protection hidden="1"/>
    </xf>
    <xf numFmtId="0" fontId="81" fillId="13" borderId="12" xfId="0" applyFont="1" applyFill="1" applyBorder="1" applyAlignment="1">
      <alignment horizontal="left" vertical="center" indent="1"/>
    </xf>
    <xf numFmtId="0" fontId="81" fillId="13" borderId="2" xfId="0" applyFont="1" applyFill="1" applyBorder="1" applyAlignment="1">
      <alignment horizontal="left" vertical="center" indent="1"/>
    </xf>
    <xf numFmtId="0" fontId="81" fillId="13" borderId="9" xfId="0" applyFont="1" applyFill="1" applyBorder="1" applyAlignment="1">
      <alignment horizontal="left" vertical="center" indent="1"/>
    </xf>
    <xf numFmtId="0" fontId="81" fillId="13" borderId="27" xfId="0" applyFont="1" applyFill="1" applyBorder="1" applyAlignment="1">
      <alignment horizontal="left" vertical="center" indent="1"/>
    </xf>
    <xf numFmtId="0" fontId="81" fillId="13" borderId="0" xfId="0" applyFont="1" applyFill="1" applyAlignment="1">
      <alignment horizontal="left" vertical="center" indent="1"/>
    </xf>
    <xf numFmtId="0" fontId="81" fillId="13" borderId="31" xfId="0" applyFont="1" applyFill="1" applyBorder="1" applyAlignment="1">
      <alignment horizontal="left" vertical="center" indent="1"/>
    </xf>
    <xf numFmtId="0" fontId="81" fillId="13" borderId="13" xfId="0" applyFont="1" applyFill="1" applyBorder="1" applyAlignment="1">
      <alignment horizontal="left" vertical="center" indent="1"/>
    </xf>
    <xf numFmtId="0" fontId="81" fillId="13" borderId="34" xfId="0" applyFont="1" applyFill="1" applyBorder="1" applyAlignment="1">
      <alignment horizontal="left" vertical="center" indent="1"/>
    </xf>
    <xf numFmtId="0" fontId="81" fillId="13" borderId="43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9" xfId="0" applyFont="1" applyBorder="1" applyAlignment="1">
      <alignment horizontal="left" vertical="center" indent="1"/>
    </xf>
    <xf numFmtId="0" fontId="5" fillId="0" borderId="27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2" fontId="5" fillId="0" borderId="16" xfId="0" applyNumberFormat="1" applyFont="1" applyBorder="1" applyAlignment="1" applyProtection="1">
      <alignment horizontal="left" vertical="center"/>
      <protection hidden="1"/>
    </xf>
    <xf numFmtId="0" fontId="11" fillId="0" borderId="263" xfId="0" applyFont="1" applyBorder="1" applyAlignment="1" applyProtection="1">
      <alignment horizontal="center" vertical="center"/>
      <protection hidden="1"/>
    </xf>
    <xf numFmtId="0" fontId="11" fillId="0" borderId="32" xfId="0" applyFont="1" applyBorder="1" applyAlignment="1" applyProtection="1">
      <alignment horizontal="center" vertical="center"/>
      <protection hidden="1"/>
    </xf>
    <xf numFmtId="0" fontId="3" fillId="0" borderId="17" xfId="0" applyFont="1" applyBorder="1" applyAlignment="1">
      <alignment horizontal="center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10" fontId="3" fillId="5" borderId="38" xfId="2" applyNumberFormat="1" applyFont="1" applyFill="1" applyBorder="1" applyAlignment="1" applyProtection="1">
      <alignment horizontal="right" vertical="center"/>
      <protection hidden="1"/>
    </xf>
    <xf numFmtId="10" fontId="3" fillId="5" borderId="17" xfId="2" applyNumberFormat="1" applyFont="1" applyFill="1" applyBorder="1" applyAlignment="1" applyProtection="1">
      <alignment horizontal="right" vertical="center"/>
      <protection hidden="1"/>
    </xf>
    <xf numFmtId="10" fontId="3" fillId="5" borderId="44" xfId="2" applyNumberFormat="1" applyFont="1" applyFill="1" applyBorder="1" applyAlignment="1" applyProtection="1">
      <alignment horizontal="right" vertical="center"/>
      <protection hidden="1"/>
    </xf>
    <xf numFmtId="0" fontId="11" fillId="0" borderId="2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11" fillId="0" borderId="20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11" fillId="0" borderId="0" xfId="0" applyNumberFormat="1" applyFont="1" applyAlignment="1">
      <alignment horizontal="center" vertical="center"/>
    </xf>
    <xf numFmtId="0" fontId="10" fillId="5" borderId="18" xfId="0" applyFont="1" applyFill="1" applyBorder="1" applyAlignment="1" applyProtection="1">
      <alignment horizontal="left" vertical="center"/>
      <protection hidden="1"/>
    </xf>
    <xf numFmtId="0" fontId="10" fillId="5" borderId="7" xfId="0" applyFont="1" applyFill="1" applyBorder="1" applyAlignment="1" applyProtection="1">
      <alignment horizontal="left" vertical="center"/>
      <protection hidden="1"/>
    </xf>
    <xf numFmtId="0" fontId="10" fillId="5" borderId="8" xfId="0" applyFont="1" applyFill="1" applyBorder="1" applyAlignment="1" applyProtection="1">
      <alignment horizontal="left" vertical="center"/>
      <protection hidden="1"/>
    </xf>
    <xf numFmtId="0" fontId="83" fillId="13" borderId="156" xfId="0" applyFont="1" applyFill="1" applyBorder="1" applyAlignment="1">
      <alignment horizontal="center" vertical="center" wrapText="1"/>
    </xf>
    <xf numFmtId="0" fontId="83" fillId="13" borderId="40" xfId="0" applyFont="1" applyFill="1" applyBorder="1" applyAlignment="1">
      <alignment horizontal="center" vertical="center" wrapText="1"/>
    </xf>
    <xf numFmtId="0" fontId="83" fillId="13" borderId="157" xfId="0" applyFont="1" applyFill="1" applyBorder="1" applyAlignment="1">
      <alignment horizontal="center" vertical="center" wrapText="1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44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1" fillId="7" borderId="90" xfId="0" applyFont="1" applyFill="1" applyBorder="1" applyAlignment="1" applyProtection="1">
      <alignment horizontal="left" vertical="center"/>
      <protection locked="0"/>
    </xf>
    <xf numFmtId="0" fontId="11" fillId="7" borderId="91" xfId="0" applyFont="1" applyFill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center" vertical="center"/>
      <protection hidden="1"/>
    </xf>
    <xf numFmtId="17" fontId="6" fillId="0" borderId="20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right"/>
    </xf>
    <xf numFmtId="0" fontId="43" fillId="0" borderId="20" xfId="0" applyFont="1" applyBorder="1" applyAlignment="1">
      <alignment horizontal="left" vertical="center"/>
    </xf>
    <xf numFmtId="0" fontId="43" fillId="0" borderId="10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52" fillId="0" borderId="124" xfId="0" applyFont="1" applyBorder="1" applyAlignment="1" applyProtection="1">
      <alignment horizontal="left" vertical="center"/>
      <protection hidden="1"/>
    </xf>
    <xf numFmtId="0" fontId="52" fillId="0" borderId="125" xfId="0" applyFont="1" applyBorder="1" applyAlignment="1" applyProtection="1">
      <alignment horizontal="left" vertical="center"/>
      <protection hidden="1"/>
    </xf>
    <xf numFmtId="0" fontId="11" fillId="0" borderId="2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43" fillId="0" borderId="89" xfId="0" applyFont="1" applyBorder="1" applyAlignment="1">
      <alignment horizontal="left" vertical="center"/>
    </xf>
    <xf numFmtId="0" fontId="53" fillId="0" borderId="90" xfId="0" applyFont="1" applyBorder="1" applyAlignment="1">
      <alignment horizontal="left" vertical="center"/>
    </xf>
    <xf numFmtId="0" fontId="53" fillId="0" borderId="91" xfId="0" applyFont="1" applyBorder="1" applyAlignment="1">
      <alignment horizontal="left" vertical="center"/>
    </xf>
    <xf numFmtId="0" fontId="43" fillId="7" borderId="20" xfId="0" applyFont="1" applyFill="1" applyBorder="1" applyAlignment="1" applyProtection="1">
      <alignment horizontal="left" vertical="center"/>
      <protection locked="0"/>
    </xf>
    <xf numFmtId="0" fontId="43" fillId="7" borderId="10" xfId="0" applyFont="1" applyFill="1" applyBorder="1" applyAlignment="1" applyProtection="1">
      <alignment horizontal="left" vertical="center"/>
      <protection locked="0"/>
    </xf>
    <xf numFmtId="0" fontId="43" fillId="7" borderId="44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6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5" fillId="0" borderId="34" xfId="0" applyFont="1" applyBorder="1" applyAlignment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  <protection hidden="1"/>
    </xf>
    <xf numFmtId="0" fontId="5" fillId="5" borderId="9" xfId="0" applyFont="1" applyFill="1" applyBorder="1" applyAlignment="1" applyProtection="1">
      <alignment horizontal="left" vertical="center"/>
      <protection hidden="1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82" fillId="13" borderId="165" xfId="0" applyFont="1" applyFill="1" applyBorder="1" applyAlignment="1">
      <alignment horizontal="left" vertical="center"/>
    </xf>
    <xf numFmtId="0" fontId="82" fillId="13" borderId="166" xfId="0" applyFont="1" applyFill="1" applyBorder="1" applyAlignment="1">
      <alignment horizontal="left" vertical="center"/>
    </xf>
    <xf numFmtId="0" fontId="82" fillId="13" borderId="167" xfId="0" applyFont="1" applyFill="1" applyBorder="1" applyAlignment="1">
      <alignment horizontal="left" vertical="center"/>
    </xf>
    <xf numFmtId="0" fontId="10" fillId="5" borderId="23" xfId="0" applyFont="1" applyFill="1" applyBorder="1" applyAlignment="1" applyProtection="1">
      <alignment horizontal="left" vertical="center"/>
      <protection hidden="1"/>
    </xf>
    <xf numFmtId="0" fontId="10" fillId="5" borderId="16" xfId="0" applyFont="1" applyFill="1" applyBorder="1" applyAlignment="1" applyProtection="1">
      <alignment horizontal="left" vertical="center"/>
      <protection hidden="1"/>
    </xf>
    <xf numFmtId="0" fontId="10" fillId="5" borderId="59" xfId="0" applyFont="1" applyFill="1" applyBorder="1" applyAlignment="1" applyProtection="1">
      <alignment horizontal="left" vertical="center"/>
      <protection hidden="1"/>
    </xf>
    <xf numFmtId="0" fontId="5" fillId="5" borderId="16" xfId="0" applyFont="1" applyFill="1" applyBorder="1" applyAlignment="1" applyProtection="1">
      <alignment horizontal="left" vertical="center"/>
      <protection hidden="1"/>
    </xf>
    <xf numFmtId="0" fontId="5" fillId="5" borderId="59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horizontal="center" vertical="center"/>
      <protection locked="0"/>
    </xf>
    <xf numFmtId="0" fontId="88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16" fontId="11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1" fillId="0" borderId="2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4" xfId="0" applyFont="1" applyBorder="1" applyAlignment="1">
      <alignment horizontal="left" vertical="top"/>
    </xf>
    <xf numFmtId="0" fontId="62" fillId="13" borderId="165" xfId="0" applyFont="1" applyFill="1" applyBorder="1" applyAlignment="1">
      <alignment horizontal="left" vertical="center"/>
    </xf>
    <xf numFmtId="0" fontId="62" fillId="13" borderId="166" xfId="0" applyFont="1" applyFill="1" applyBorder="1" applyAlignment="1">
      <alignment horizontal="left" vertical="center"/>
    </xf>
    <xf numFmtId="0" fontId="62" fillId="13" borderId="167" xfId="0" applyFont="1" applyFill="1" applyBorder="1" applyAlignment="1">
      <alignment horizontal="left" vertical="center"/>
    </xf>
    <xf numFmtId="0" fontId="62" fillId="13" borderId="20" xfId="0" applyFont="1" applyFill="1" applyBorder="1" applyAlignment="1">
      <alignment horizontal="left" vertical="center"/>
    </xf>
    <xf numFmtId="0" fontId="62" fillId="13" borderId="10" xfId="0" applyFont="1" applyFill="1" applyBorder="1" applyAlignment="1">
      <alignment horizontal="left" vertical="center"/>
    </xf>
    <xf numFmtId="0" fontId="62" fillId="13" borderId="44" xfId="0" applyFont="1" applyFill="1" applyBorder="1" applyAlignment="1">
      <alignment horizontal="left" vertical="center"/>
    </xf>
    <xf numFmtId="0" fontId="56" fillId="0" borderId="124" xfId="0" applyFont="1" applyBorder="1" applyAlignment="1" applyProtection="1">
      <alignment horizontal="left"/>
      <protection hidden="1"/>
    </xf>
    <xf numFmtId="0" fontId="56" fillId="0" borderId="125" xfId="0" applyFont="1" applyBorder="1" applyAlignment="1" applyProtection="1">
      <alignment horizontal="left"/>
      <protection hidden="1"/>
    </xf>
    <xf numFmtId="0" fontId="56" fillId="0" borderId="126" xfId="0" applyFont="1" applyBorder="1" applyAlignment="1" applyProtection="1">
      <alignment horizontal="left"/>
      <protection hidden="1"/>
    </xf>
    <xf numFmtId="0" fontId="7" fillId="2" borderId="0" xfId="0" applyFont="1" applyFill="1" applyAlignment="1">
      <alignment horizontal="right" vertical="center"/>
    </xf>
    <xf numFmtId="0" fontId="43" fillId="0" borderId="23" xfId="0" applyFont="1" applyBorder="1" applyAlignment="1" applyProtection="1">
      <alignment horizontal="left" vertical="center"/>
      <protection hidden="1"/>
    </xf>
    <xf numFmtId="0" fontId="56" fillId="0" borderId="16" xfId="0" applyFont="1" applyBorder="1" applyAlignment="1" applyProtection="1">
      <alignment horizontal="left" vertical="center"/>
      <protection hidden="1"/>
    </xf>
    <xf numFmtId="0" fontId="56" fillId="0" borderId="59" xfId="0" applyFont="1" applyBorder="1" applyAlignment="1" applyProtection="1">
      <alignment horizontal="left" vertical="center"/>
      <protection hidden="1"/>
    </xf>
    <xf numFmtId="0" fontId="53" fillId="0" borderId="44" xfId="0" applyFont="1" applyBorder="1" applyAlignment="1">
      <alignment horizontal="left" vertical="center"/>
    </xf>
    <xf numFmtId="0" fontId="5" fillId="2" borderId="16" xfId="0" applyFont="1" applyFill="1" applyBorder="1" applyAlignment="1" applyProtection="1">
      <alignment horizontal="left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 applyProtection="1">
      <alignment horizontal="left" vertical="center"/>
      <protection hidden="1"/>
    </xf>
    <xf numFmtId="0" fontId="43" fillId="0" borderId="10" xfId="0" applyFont="1" applyBorder="1" applyAlignment="1" applyProtection="1">
      <alignment horizontal="left" vertical="center"/>
      <protection hidden="1"/>
    </xf>
    <xf numFmtId="0" fontId="43" fillId="0" borderId="44" xfId="0" applyFont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167" fontId="6" fillId="0" borderId="151" xfId="0" applyNumberFormat="1" applyFont="1" applyBorder="1" applyAlignment="1" applyProtection="1">
      <alignment horizontal="center" vertical="center"/>
      <protection hidden="1"/>
    </xf>
    <xf numFmtId="167" fontId="6" fillId="0" borderId="144" xfId="0" applyNumberFormat="1" applyFont="1" applyBorder="1" applyAlignment="1" applyProtection="1">
      <alignment horizontal="center" vertical="center"/>
      <protection hidden="1"/>
    </xf>
    <xf numFmtId="167" fontId="6" fillId="0" borderId="191" xfId="0" applyNumberFormat="1" applyFont="1" applyBorder="1" applyAlignment="1" applyProtection="1">
      <alignment horizontal="center" vertical="center"/>
      <protection hidden="1"/>
    </xf>
    <xf numFmtId="3" fontId="6" fillId="0" borderId="193" xfId="0" applyNumberFormat="1" applyFont="1" applyBorder="1" applyAlignment="1" applyProtection="1">
      <alignment horizontal="center" vertical="center"/>
      <protection hidden="1"/>
    </xf>
    <xf numFmtId="3" fontId="6" fillId="0" borderId="192" xfId="0" applyNumberFormat="1" applyFont="1" applyBorder="1" applyAlignment="1" applyProtection="1">
      <alignment horizontal="center" vertical="center"/>
      <protection hidden="1"/>
    </xf>
    <xf numFmtId="3" fontId="6" fillId="0" borderId="194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>
      <alignment horizontal="center" vertical="center"/>
    </xf>
    <xf numFmtId="164" fontId="59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6" fillId="7" borderId="133" xfId="0" applyFont="1" applyFill="1" applyBorder="1" applyAlignment="1" applyProtection="1">
      <alignment horizontal="left" vertical="center" wrapText="1"/>
      <protection locked="0"/>
    </xf>
    <xf numFmtId="0" fontId="0" fillId="0" borderId="129" xfId="0" applyBorder="1" applyAlignment="1" applyProtection="1">
      <alignment horizontal="left" vertical="center" wrapText="1"/>
      <protection locked="0"/>
    </xf>
    <xf numFmtId="0" fontId="0" fillId="0" borderId="182" xfId="0" applyBorder="1" applyAlignment="1" applyProtection="1">
      <alignment horizontal="left" vertical="center" wrapText="1"/>
      <protection locked="0"/>
    </xf>
    <xf numFmtId="0" fontId="0" fillId="0" borderId="134" xfId="0" applyBorder="1" applyAlignment="1" applyProtection="1">
      <alignment horizontal="left" vertical="center" wrapText="1"/>
      <protection locked="0"/>
    </xf>
    <xf numFmtId="0" fontId="0" fillId="0" borderId="128" xfId="0" applyBorder="1" applyAlignment="1" applyProtection="1">
      <alignment horizontal="left" vertical="center" wrapText="1"/>
      <protection locked="0"/>
    </xf>
    <xf numFmtId="0" fontId="0" fillId="0" borderId="183" xfId="0" applyBorder="1" applyAlignment="1" applyProtection="1">
      <alignment horizontal="left" vertical="center" wrapText="1"/>
      <protection locked="0"/>
    </xf>
    <xf numFmtId="0" fontId="0" fillId="0" borderId="187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0" fontId="0" fillId="0" borderId="179" xfId="0" applyBorder="1" applyAlignment="1" applyProtection="1">
      <alignment horizontal="left" vertical="center" wrapText="1"/>
      <protection locked="0"/>
    </xf>
    <xf numFmtId="164" fontId="6" fillId="7" borderId="1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0" xfId="0" applyBorder="1" applyAlignment="1" applyProtection="1">
      <alignment horizontal="center" vertical="center" wrapText="1"/>
      <protection locked="0"/>
    </xf>
    <xf numFmtId="0" fontId="0" fillId="0" borderId="261" xfId="0" applyBorder="1" applyAlignment="1" applyProtection="1">
      <alignment horizontal="center" vertical="center" wrapText="1"/>
      <protection locked="0"/>
    </xf>
    <xf numFmtId="0" fontId="6" fillId="7" borderId="132" xfId="0" applyFont="1" applyFill="1" applyBorder="1" applyAlignment="1" applyProtection="1">
      <alignment horizontal="center" vertical="center" wrapText="1"/>
      <protection locked="0"/>
    </xf>
    <xf numFmtId="0" fontId="85" fillId="13" borderId="172" xfId="0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center" vertical="center"/>
      <protection hidden="1"/>
    </xf>
    <xf numFmtId="167" fontId="3" fillId="0" borderId="216" xfId="0" applyNumberFormat="1" applyFont="1" applyBorder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167" fontId="3" fillId="0" borderId="218" xfId="0" applyNumberFormat="1" applyFont="1" applyBorder="1" applyAlignment="1" applyProtection="1">
      <alignment horizontal="center" vertical="center"/>
      <protection hidden="1"/>
    </xf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246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hidden="1"/>
    </xf>
    <xf numFmtId="167" fontId="14" fillId="5" borderId="139" xfId="0" applyNumberFormat="1" applyFont="1" applyFill="1" applyBorder="1" applyAlignment="1">
      <alignment horizontal="center" vertical="center"/>
    </xf>
    <xf numFmtId="164" fontId="14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 wrapText="1"/>
      <protection hidden="1"/>
    </xf>
    <xf numFmtId="0" fontId="6" fillId="0" borderId="144" xfId="0" applyFont="1" applyBorder="1" applyAlignment="1" applyProtection="1">
      <alignment horizontal="left" vertical="center" wrapText="1"/>
      <protection hidden="1"/>
    </xf>
    <xf numFmtId="167" fontId="6" fillId="0" borderId="0" xfId="0" applyNumberFormat="1" applyFont="1" applyAlignment="1" applyProtection="1">
      <alignment horizontal="right" vertical="center"/>
      <protection hidden="1"/>
    </xf>
    <xf numFmtId="0" fontId="85" fillId="13" borderId="237" xfId="0" applyFont="1" applyFill="1" applyBorder="1" applyAlignment="1" applyProtection="1">
      <alignment horizontal="center" vertical="center"/>
      <protection hidden="1"/>
    </xf>
    <xf numFmtId="0" fontId="3" fillId="0" borderId="138" xfId="0" applyFont="1" applyBorder="1" applyAlignment="1" applyProtection="1">
      <alignment horizontal="left" vertical="center" wrapText="1"/>
      <protection hidden="1"/>
    </xf>
    <xf numFmtId="0" fontId="3" fillId="0" borderId="191" xfId="0" applyFont="1" applyBorder="1" applyAlignment="1" applyProtection="1">
      <alignment horizontal="left" vertical="center" wrapText="1"/>
      <protection hidden="1"/>
    </xf>
    <xf numFmtId="0" fontId="3" fillId="0" borderId="146" xfId="0" applyFont="1" applyBorder="1" applyAlignment="1" applyProtection="1">
      <alignment horizontal="left" vertical="center" wrapText="1"/>
      <protection hidden="1"/>
    </xf>
    <xf numFmtId="0" fontId="3" fillId="0" borderId="143" xfId="0" applyFont="1" applyBorder="1" applyAlignment="1" applyProtection="1">
      <alignment horizontal="left" vertical="center" wrapText="1"/>
      <protection hidden="1"/>
    </xf>
    <xf numFmtId="0" fontId="6" fillId="0" borderId="190" xfId="0" applyFont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167" fontId="74" fillId="0" borderId="150" xfId="0" applyNumberFormat="1" applyFont="1" applyBorder="1" applyAlignment="1" applyProtection="1">
      <alignment horizontal="right" vertical="center"/>
      <protection hidden="1"/>
    </xf>
    <xf numFmtId="167" fontId="74" fillId="0" borderId="149" xfId="0" applyNumberFormat="1" applyFont="1" applyBorder="1" applyAlignment="1" applyProtection="1">
      <alignment horizontal="right" vertical="center"/>
      <protection hidden="1"/>
    </xf>
    <xf numFmtId="0" fontId="6" fillId="7" borderId="133" xfId="0" applyFont="1" applyFill="1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/>
      <protection locked="0"/>
    </xf>
    <xf numFmtId="0" fontId="0" fillId="0" borderId="134" xfId="0" applyBorder="1" applyAlignment="1" applyProtection="1">
      <alignment horizontal="left" vertical="center"/>
      <protection locked="0"/>
    </xf>
    <xf numFmtId="0" fontId="0" fillId="0" borderId="131" xfId="0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 wrapText="1"/>
      <protection locked="0"/>
    </xf>
    <xf numFmtId="0" fontId="0" fillId="0" borderId="131" xfId="0" applyBorder="1" applyAlignment="1" applyProtection="1">
      <alignment horizontal="left" vertical="center" wrapText="1"/>
      <protection locked="0"/>
    </xf>
    <xf numFmtId="0" fontId="0" fillId="0" borderId="262" xfId="0" applyBorder="1" applyAlignment="1" applyProtection="1">
      <alignment horizontal="left" vertical="center" wrapText="1"/>
      <protection locked="0"/>
    </xf>
    <xf numFmtId="1" fontId="85" fillId="13" borderId="0" xfId="0" applyNumberFormat="1" applyFont="1" applyFill="1" applyAlignment="1" applyProtection="1">
      <alignment horizontal="center"/>
      <protection hidden="1"/>
    </xf>
    <xf numFmtId="0" fontId="85" fillId="13" borderId="0" xfId="0" applyFont="1" applyFill="1" applyAlignment="1" applyProtection="1">
      <alignment horizontal="center"/>
      <protection hidden="1"/>
    </xf>
    <xf numFmtId="0" fontId="85" fillId="13" borderId="173" xfId="0" applyFont="1" applyFill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right" shrinkToFit="1"/>
      <protection hidden="1"/>
    </xf>
    <xf numFmtId="167" fontId="59" fillId="5" borderId="139" xfId="0" applyNumberFormat="1" applyFont="1" applyFill="1" applyBorder="1" applyAlignment="1">
      <alignment horizontal="center" vertical="center"/>
    </xf>
    <xf numFmtId="0" fontId="59" fillId="5" borderId="138" xfId="0" applyFont="1" applyFill="1" applyBorder="1" applyAlignment="1">
      <alignment horizontal="right" vertical="center"/>
    </xf>
    <xf numFmtId="0" fontId="59" fillId="5" borderId="144" xfId="0" applyFont="1" applyFill="1" applyBorder="1" applyAlignment="1">
      <alignment horizontal="right" vertical="center"/>
    </xf>
    <xf numFmtId="0" fontId="85" fillId="13" borderId="211" xfId="0" applyFont="1" applyFill="1" applyBorder="1" applyAlignment="1">
      <alignment horizontal="center" vertical="center"/>
    </xf>
    <xf numFmtId="167" fontId="3" fillId="0" borderId="143" xfId="0" applyNumberFormat="1" applyFont="1" applyBorder="1" applyAlignment="1" applyProtection="1">
      <alignment horizontal="center" vertical="center"/>
      <protection hidden="1"/>
    </xf>
    <xf numFmtId="167" fontId="6" fillId="0" borderId="204" xfId="0" applyNumberFormat="1" applyFont="1" applyBorder="1" applyAlignment="1" applyProtection="1">
      <alignment horizontal="center" vertical="center"/>
      <protection hidden="1"/>
    </xf>
    <xf numFmtId="167" fontId="6" fillId="6" borderId="144" xfId="0" applyNumberFormat="1" applyFont="1" applyFill="1" applyBorder="1" applyAlignment="1">
      <alignment horizontal="center" vertical="center"/>
    </xf>
    <xf numFmtId="167" fontId="6" fillId="6" borderId="139" xfId="0" applyNumberFormat="1" applyFont="1" applyFill="1" applyBorder="1" applyAlignment="1">
      <alignment horizontal="center" vertical="center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87" fillId="13" borderId="215" xfId="0" applyFont="1" applyFill="1" applyBorder="1" applyAlignment="1">
      <alignment horizontal="center" vertical="center" wrapText="1"/>
    </xf>
    <xf numFmtId="0" fontId="87" fillId="13" borderId="0" xfId="0" applyFont="1" applyFill="1" applyAlignment="1">
      <alignment horizontal="center" vertical="center" wrapText="1"/>
    </xf>
    <xf numFmtId="0" fontId="87" fillId="13" borderId="211" xfId="0" applyFont="1" applyFill="1" applyBorder="1" applyAlignment="1">
      <alignment horizontal="center" vertical="center" wrapText="1"/>
    </xf>
    <xf numFmtId="0" fontId="87" fillId="13" borderId="0" xfId="0" applyFont="1" applyFill="1" applyAlignment="1" applyProtection="1">
      <alignment horizontal="center" vertical="center" wrapText="1"/>
      <protection hidden="1"/>
    </xf>
    <xf numFmtId="0" fontId="87" fillId="13" borderId="16" xfId="0" applyFont="1" applyFill="1" applyBorder="1" applyAlignment="1" applyProtection="1">
      <alignment horizontal="center" vertical="center" wrapText="1"/>
      <protection hidden="1"/>
    </xf>
    <xf numFmtId="0" fontId="3" fillId="0" borderId="2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87" fillId="13" borderId="215" xfId="0" applyNumberFormat="1" applyFont="1" applyFill="1" applyBorder="1" applyAlignment="1" applyProtection="1">
      <alignment horizontal="center" vertical="center" wrapText="1"/>
      <protection hidden="1"/>
    </xf>
    <xf numFmtId="3" fontId="87" fillId="13" borderId="0" xfId="0" applyNumberFormat="1" applyFont="1" applyFill="1" applyAlignment="1" applyProtection="1">
      <alignment horizontal="center" vertical="center" wrapText="1"/>
      <protection hidden="1"/>
    </xf>
    <xf numFmtId="3" fontId="87" fillId="13" borderId="211" xfId="0" applyNumberFormat="1" applyFont="1" applyFill="1" applyBorder="1" applyAlignment="1" applyProtection="1">
      <alignment horizontal="center" vertical="center" wrapText="1"/>
      <protection hidden="1"/>
    </xf>
    <xf numFmtId="0" fontId="85" fillId="13" borderId="215" xfId="0" applyFont="1" applyFill="1" applyBorder="1" applyAlignment="1">
      <alignment horizontal="center" vertical="center"/>
    </xf>
    <xf numFmtId="0" fontId="85" fillId="13" borderId="247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87" fillId="13" borderId="173" xfId="0" applyFont="1" applyFill="1" applyBorder="1" applyAlignment="1" applyProtection="1">
      <alignment horizontal="center" vertical="center" wrapText="1"/>
      <protection hidden="1"/>
    </xf>
    <xf numFmtId="0" fontId="87" fillId="13" borderId="24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0" fillId="0" borderId="0" xfId="0" applyFont="1" applyAlignment="1">
      <alignment horizontal="center" vertical="center"/>
    </xf>
    <xf numFmtId="164" fontId="59" fillId="5" borderId="139" xfId="0" applyNumberFormat="1" applyFont="1" applyFill="1" applyBorder="1" applyAlignment="1">
      <alignment horizontal="center" vertical="center"/>
    </xf>
    <xf numFmtId="0" fontId="6" fillId="0" borderId="137" xfId="0" applyFont="1" applyBorder="1" applyAlignment="1" applyProtection="1">
      <alignment horizontal="left" vertical="center"/>
      <protection hidden="1"/>
    </xf>
    <xf numFmtId="0" fontId="6" fillId="0" borderId="143" xfId="0" applyFont="1" applyBorder="1" applyAlignment="1" applyProtection="1">
      <alignment horizontal="left" vertical="center"/>
      <protection hidden="1"/>
    </xf>
    <xf numFmtId="1" fontId="10" fillId="0" borderId="245" xfId="0" applyNumberFormat="1" applyFont="1" applyBorder="1" applyAlignment="1" applyProtection="1">
      <alignment horizontal="left" vertical="center"/>
      <protection hidden="1"/>
    </xf>
    <xf numFmtId="0" fontId="10" fillId="0" borderId="245" xfId="0" applyFont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 vertical="center"/>
      <protection hidden="1"/>
    </xf>
    <xf numFmtId="169" fontId="10" fillId="0" borderId="168" xfId="0" applyNumberFormat="1" applyFont="1" applyBorder="1" applyAlignment="1" applyProtection="1">
      <alignment horizontal="left" vertical="center"/>
      <protection hidden="1"/>
    </xf>
    <xf numFmtId="0" fontId="51" fillId="5" borderId="145" xfId="0" applyFont="1" applyFill="1" applyBorder="1" applyAlignment="1">
      <alignment horizontal="right" vertical="center"/>
    </xf>
    <xf numFmtId="0" fontId="51" fillId="5" borderId="146" xfId="0" applyFont="1" applyFill="1" applyBorder="1" applyAlignment="1">
      <alignment horizontal="right" vertical="center"/>
    </xf>
    <xf numFmtId="0" fontId="51" fillId="5" borderId="138" xfId="0" applyFont="1" applyFill="1" applyBorder="1" applyAlignment="1">
      <alignment horizontal="right" vertical="center"/>
    </xf>
    <xf numFmtId="0" fontId="51" fillId="5" borderId="144" xfId="0" applyFont="1" applyFill="1" applyBorder="1" applyAlignment="1">
      <alignment horizontal="right" vertical="center"/>
    </xf>
    <xf numFmtId="169" fontId="10" fillId="0" borderId="246" xfId="0" applyNumberFormat="1" applyFont="1" applyBorder="1" applyAlignment="1" applyProtection="1">
      <alignment horizontal="left" vertical="center"/>
      <protection hidden="1"/>
    </xf>
    <xf numFmtId="0" fontId="85" fillId="13" borderId="170" xfId="0" applyFont="1" applyFill="1" applyBorder="1" applyAlignment="1" applyProtection="1">
      <alignment horizont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85" fillId="13" borderId="211" xfId="0" applyFont="1" applyFill="1" applyBorder="1" applyAlignment="1" applyProtection="1">
      <alignment horizontal="left" vertical="center" indent="1"/>
      <protection hidden="1"/>
    </xf>
    <xf numFmtId="0" fontId="62" fillId="13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right" indent="1"/>
      <protection hidden="1"/>
    </xf>
    <xf numFmtId="0" fontId="3" fillId="0" borderId="145" xfId="0" applyFont="1" applyBorder="1" applyAlignment="1" applyProtection="1">
      <alignment horizontal="right" indent="1"/>
      <protection hidden="1"/>
    </xf>
    <xf numFmtId="0" fontId="85" fillId="13" borderId="0" xfId="0" applyFont="1" applyFill="1" applyAlignment="1">
      <alignment horizontal="left" vertical="center" wrapText="1" indent="1"/>
    </xf>
    <xf numFmtId="0" fontId="3" fillId="0" borderId="145" xfId="0" applyFont="1" applyBorder="1" applyAlignment="1" applyProtection="1">
      <alignment horizontal="right" vertical="center" indent="1"/>
      <protection hidden="1"/>
    </xf>
    <xf numFmtId="0" fontId="3" fillId="0" borderId="146" xfId="0" applyFont="1" applyBorder="1" applyAlignment="1" applyProtection="1">
      <alignment horizontal="right" vertical="center" indent="1"/>
      <protection hidden="1"/>
    </xf>
    <xf numFmtId="0" fontId="85" fillId="13" borderId="0" xfId="0" applyFont="1" applyFill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left" vertical="center"/>
      <protection hidden="1"/>
    </xf>
    <xf numFmtId="0" fontId="85" fillId="13" borderId="171" xfId="0" applyFont="1" applyFill="1" applyBorder="1" applyAlignment="1" applyProtection="1">
      <alignment horizontal="left" vertical="center"/>
      <protection hidden="1"/>
    </xf>
    <xf numFmtId="0" fontId="85" fillId="13" borderId="0" xfId="0" applyFont="1" applyFill="1" applyAlignment="1" applyProtection="1">
      <alignment horizontal="left" vertical="center"/>
      <protection hidden="1"/>
    </xf>
    <xf numFmtId="0" fontId="85" fillId="13" borderId="173" xfId="0" applyFont="1" applyFill="1" applyBorder="1" applyAlignment="1" applyProtection="1">
      <alignment horizontal="left" vertical="center"/>
      <protection hidden="1"/>
    </xf>
    <xf numFmtId="14" fontId="10" fillId="0" borderId="245" xfId="0" applyNumberFormat="1" applyFont="1" applyBorder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245" xfId="0" applyNumberFormat="1" applyFont="1" applyBorder="1" applyAlignment="1" applyProtection="1">
      <alignment horizontal="left" vertical="center"/>
      <protection hidden="1"/>
    </xf>
    <xf numFmtId="0" fontId="62" fillId="13" borderId="169" xfId="0" applyFont="1" applyFill="1" applyBorder="1" applyAlignment="1" applyProtection="1">
      <alignment horizontal="left" vertical="center"/>
      <protection hidden="1"/>
    </xf>
    <xf numFmtId="0" fontId="62" fillId="13" borderId="170" xfId="0" applyFont="1" applyFill="1" applyBorder="1" applyAlignment="1" applyProtection="1">
      <alignment horizontal="left" vertical="center"/>
      <protection hidden="1"/>
    </xf>
    <xf numFmtId="0" fontId="62" fillId="13" borderId="172" xfId="0" applyFont="1" applyFill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62" fillId="13" borderId="0" xfId="0" applyFont="1" applyFill="1" applyAlignment="1" applyProtection="1">
      <alignment horizontal="left" vertical="center" wrapText="1" indent="2"/>
      <protection hidden="1"/>
    </xf>
    <xf numFmtId="0" fontId="62" fillId="13" borderId="0" xfId="0" applyFont="1" applyFill="1" applyAlignment="1" applyProtection="1">
      <alignment horizontal="left" vertical="center" wrapText="1" indent="1"/>
      <protection hidden="1"/>
    </xf>
    <xf numFmtId="0" fontId="62" fillId="13" borderId="169" xfId="0" applyFont="1" applyFill="1" applyBorder="1" applyAlignment="1" applyProtection="1">
      <alignment horizontal="center" vertical="center"/>
      <protection hidden="1"/>
    </xf>
    <xf numFmtId="0" fontId="62" fillId="13" borderId="170" xfId="0" applyFont="1" applyFill="1" applyBorder="1" applyAlignment="1" applyProtection="1">
      <alignment horizontal="center" vertical="center"/>
      <protection hidden="1"/>
    </xf>
    <xf numFmtId="0" fontId="62" fillId="13" borderId="17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center" vertical="center"/>
      <protection hidden="1"/>
    </xf>
    <xf numFmtId="0" fontId="3" fillId="0" borderId="128" xfId="0" applyFont="1" applyBorder="1" applyAlignment="1">
      <alignment horizontal="center" vertical="center"/>
    </xf>
    <xf numFmtId="0" fontId="3" fillId="0" borderId="18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/>
    </xf>
    <xf numFmtId="0" fontId="3" fillId="0" borderId="135" xfId="0" applyFont="1" applyBorder="1" applyAlignment="1">
      <alignment horizontal="left" vertical="center"/>
    </xf>
    <xf numFmtId="0" fontId="85" fillId="13" borderId="171" xfId="0" applyFont="1" applyFill="1" applyBorder="1" applyAlignment="1" applyProtection="1">
      <alignment horizontal="center"/>
      <protection hidden="1"/>
    </xf>
    <xf numFmtId="0" fontId="10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167" fontId="0" fillId="0" borderId="0" xfId="0" applyNumberFormat="1"/>
    <xf numFmtId="167" fontId="11" fillId="0" borderId="0" xfId="0" applyNumberFormat="1" applyFont="1" applyAlignment="1">
      <alignment horizontal="center"/>
    </xf>
    <xf numFmtId="1" fontId="5" fillId="0" borderId="0" xfId="0" applyNumberFormat="1" applyFont="1" applyAlignment="1" applyProtection="1">
      <alignment horizontal="right"/>
      <protection hidden="1"/>
    </xf>
    <xf numFmtId="3" fontId="11" fillId="0" borderId="23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3" fontId="11" fillId="0" borderId="0" xfId="0" applyNumberFormat="1" applyFont="1" applyAlignment="1" applyProtection="1">
      <alignment horizontal="center" vertical="center"/>
      <protection hidden="1"/>
    </xf>
    <xf numFmtId="2" fontId="5" fillId="3" borderId="41" xfId="0" applyNumberFormat="1" applyFont="1" applyFill="1" applyBorder="1" applyAlignment="1">
      <alignment horizontal="center"/>
    </xf>
    <xf numFmtId="2" fontId="5" fillId="3" borderId="69" xfId="0" applyNumberFormat="1" applyFont="1" applyFill="1" applyBorder="1" applyAlignment="1">
      <alignment horizontal="center"/>
    </xf>
    <xf numFmtId="0" fontId="5" fillId="3" borderId="12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85" fillId="13" borderId="49" xfId="0" applyFont="1" applyFill="1" applyBorder="1" applyAlignment="1" applyProtection="1">
      <alignment horizontal="left" vertical="center"/>
    </xf>
    <xf numFmtId="3" fontId="87" fillId="13" borderId="64" xfId="0" applyNumberFormat="1" applyFont="1" applyFill="1" applyBorder="1" applyAlignment="1" applyProtection="1">
      <alignment horizontal="center" vertical="center"/>
    </xf>
    <xf numFmtId="1" fontId="87" fillId="13" borderId="64" xfId="0" applyNumberFormat="1" applyFont="1" applyFill="1" applyBorder="1" applyAlignment="1" applyProtection="1">
      <alignment horizontal="center" vertical="center"/>
    </xf>
    <xf numFmtId="164" fontId="87" fillId="13" borderId="64" xfId="0" applyNumberFormat="1" applyFont="1" applyFill="1" applyBorder="1" applyAlignment="1" applyProtection="1">
      <alignment horizontal="center" vertical="center"/>
    </xf>
    <xf numFmtId="0" fontId="87" fillId="13" borderId="49" xfId="0" applyFont="1" applyFill="1" applyBorder="1" applyAlignment="1" applyProtection="1">
      <alignment vertical="center"/>
    </xf>
    <xf numFmtId="0" fontId="87" fillId="13" borderId="32" xfId="0" applyFont="1" applyFill="1" applyBorder="1" applyAlignment="1" applyProtection="1">
      <alignment horizontal="left" vertical="center"/>
    </xf>
    <xf numFmtId="3" fontId="87" fillId="13" borderId="32" xfId="0" applyNumberFormat="1" applyFont="1" applyFill="1" applyBorder="1" applyAlignment="1" applyProtection="1">
      <alignment horizontal="center" vertical="center"/>
    </xf>
    <xf numFmtId="1" fontId="87" fillId="13" borderId="32" xfId="0" applyNumberFormat="1" applyFont="1" applyFill="1" applyBorder="1" applyAlignment="1" applyProtection="1">
      <alignment horizontal="center" vertical="center"/>
    </xf>
    <xf numFmtId="164" fontId="87" fillId="13" borderId="23" xfId="0" applyNumberFormat="1" applyFont="1" applyFill="1" applyBorder="1" applyAlignment="1" applyProtection="1">
      <alignment horizontal="center" vertical="center"/>
    </xf>
    <xf numFmtId="3" fontId="87" fillId="13" borderId="16" xfId="0" applyNumberFormat="1" applyFont="1" applyFill="1" applyBorder="1" applyAlignment="1" applyProtection="1">
      <alignment horizontal="center" vertical="center"/>
    </xf>
    <xf numFmtId="3" fontId="87" fillId="13" borderId="23" xfId="0" applyNumberFormat="1" applyFont="1" applyFill="1" applyBorder="1" applyAlignment="1" applyProtection="1">
      <alignment horizontal="center" vertical="center"/>
    </xf>
    <xf numFmtId="3" fontId="87" fillId="13" borderId="53" xfId="0" applyNumberFormat="1" applyFont="1" applyFill="1" applyBorder="1" applyAlignment="1" applyProtection="1">
      <alignment horizontal="center" vertical="center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33CC33"/>
      <color rgb="FF0152A1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'!$C$55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'!$C$56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jp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11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20.png"/><Relationship Id="rId26" Type="http://schemas.openxmlformats.org/officeDocument/2006/relationships/image" Target="../media/image126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2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6.png"/><Relationship Id="rId17" Type="http://schemas.openxmlformats.org/officeDocument/2006/relationships/image" Target="../media/image119.png"/><Relationship Id="rId25" Type="http://schemas.openxmlformats.org/officeDocument/2006/relationships/image" Target="../media/image125.jpeg"/><Relationship Id="rId2" Type="http://schemas.openxmlformats.org/officeDocument/2006/relationships/chart" Target="../charts/chart5.xml"/><Relationship Id="rId16" Type="http://schemas.openxmlformats.org/officeDocument/2006/relationships/image" Target="../media/image118.png"/><Relationship Id="rId20" Type="http://schemas.openxmlformats.org/officeDocument/2006/relationships/image" Target="../media/image121.png"/><Relationship Id="rId1" Type="http://schemas.openxmlformats.org/officeDocument/2006/relationships/chart" Target="../charts/chart4.xml"/><Relationship Id="rId6" Type="http://schemas.openxmlformats.org/officeDocument/2006/relationships/image" Target="../media/image113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4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28" Type="http://schemas.openxmlformats.org/officeDocument/2006/relationships/image" Target="../media/image128.jpeg"/><Relationship Id="rId10" Type="http://schemas.openxmlformats.org/officeDocument/2006/relationships/image" Target="../media/image115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2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7.png"/><Relationship Id="rId22" Type="http://schemas.openxmlformats.org/officeDocument/2006/relationships/image" Target="../media/image123.svg"/><Relationship Id="rId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6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2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5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1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8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7.png"/><Relationship Id="rId30" Type="http://schemas.openxmlformats.org/officeDocument/2006/relationships/image" Target="../media/image79.png"/><Relationship Id="rId35" Type="http://schemas.openxmlformats.org/officeDocument/2006/relationships/image" Target="../media/image83.jpe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5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3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2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170406</xdr:colOff>
      <xdr:row>22</xdr:row>
      <xdr:rowOff>94617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169497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476223</xdr:colOff>
      <xdr:row>6</xdr:row>
      <xdr:rowOff>136063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55136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57586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19734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96490</xdr:colOff>
      <xdr:row>20</xdr:row>
      <xdr:rowOff>362787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515102</xdr:colOff>
      <xdr:row>20</xdr:row>
      <xdr:rowOff>398382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93075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54943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18995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oneCellAnchor>
    <xdr:from>
      <xdr:col>7</xdr:col>
      <xdr:colOff>10887</xdr:colOff>
      <xdr:row>10</xdr:row>
      <xdr:rowOff>130628</xdr:rowOff>
    </xdr:from>
    <xdr:ext cx="2906484" cy="3143157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146473" y="2416628"/>
          <a:ext cx="2906484" cy="3143157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yrityksen arvon, kunnon ja 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kriisitilanteessa arvioidaan yrityksen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aloita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161923</xdr:colOff>
      <xdr:row>0</xdr:row>
      <xdr:rowOff>38101</xdr:rowOff>
    </xdr:from>
    <xdr:to>
      <xdr:col>12</xdr:col>
      <xdr:colOff>19186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391932</xdr:colOff>
      <xdr:row>0</xdr:row>
      <xdr:rowOff>107364</xdr:rowOff>
    </xdr:from>
    <xdr:to>
      <xdr:col>10</xdr:col>
      <xdr:colOff>208144</xdr:colOff>
      <xdr:row>3</xdr:row>
      <xdr:rowOff>20321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803" y="107364"/>
          <a:ext cx="992413" cy="405536"/>
        </a:xfrm>
        <a:prstGeom prst="rect">
          <a:avLst/>
        </a:prstGeom>
      </xdr:spPr>
    </xdr:pic>
    <xdr:clientData/>
  </xdr:twoCellAnchor>
  <xdr:twoCellAnchor editAs="oneCell">
    <xdr:from>
      <xdr:col>7</xdr:col>
      <xdr:colOff>370115</xdr:colOff>
      <xdr:row>6</xdr:row>
      <xdr:rowOff>16328</xdr:rowOff>
    </xdr:from>
    <xdr:to>
      <xdr:col>10</xdr:col>
      <xdr:colOff>621846</xdr:colOff>
      <xdr:row>7</xdr:row>
      <xdr:rowOff>114299</xdr:rowOff>
    </xdr:to>
    <xdr:pic>
      <xdr:nvPicPr>
        <xdr:cNvPr id="24" name="Kuva 23">
          <a:extLst>
            <a:ext uri="{FF2B5EF4-FFF2-40B4-BE49-F238E27FC236}">
              <a16:creationId xmlns:a16="http://schemas.microsoft.com/office/drawing/2014/main" id="{4E5D87A4-C1F8-2166-D3BD-BA1A17210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1" y="1213757"/>
          <a:ext cx="1939016" cy="5170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65</xdr:row>
      <xdr:rowOff>62865</xdr:rowOff>
    </xdr:from>
    <xdr:to>
      <xdr:col>18</xdr:col>
      <xdr:colOff>217169</xdr:colOff>
      <xdr:row>92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104584</xdr:colOff>
      <xdr:row>43</xdr:row>
      <xdr:rowOff>163431</xdr:rowOff>
    </xdr:from>
    <xdr:to>
      <xdr:col>0</xdr:col>
      <xdr:colOff>525184</xdr:colOff>
      <xdr:row>47</xdr:row>
      <xdr:rowOff>30925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584" y="7116681"/>
          <a:ext cx="420600" cy="458044"/>
        </a:xfrm>
        <a:prstGeom prst="rect">
          <a:avLst/>
        </a:prstGeom>
      </xdr:spPr>
    </xdr:pic>
    <xdr:clientData/>
  </xdr:twoCellAnchor>
  <xdr:twoCellAnchor>
    <xdr:from>
      <xdr:col>0</xdr:col>
      <xdr:colOff>162164</xdr:colOff>
      <xdr:row>38</xdr:row>
      <xdr:rowOff>151844</xdr:rowOff>
    </xdr:from>
    <xdr:to>
      <xdr:col>0</xdr:col>
      <xdr:colOff>524885</xdr:colOff>
      <xdr:row>41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64" y="6295469"/>
          <a:ext cx="362721" cy="37243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36</xdr:row>
      <xdr:rowOff>59249</xdr:rowOff>
    </xdr:from>
    <xdr:to>
      <xdr:col>0</xdr:col>
      <xdr:colOff>528673</xdr:colOff>
      <xdr:row>38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31</xdr:row>
      <xdr:rowOff>41217</xdr:rowOff>
    </xdr:from>
    <xdr:to>
      <xdr:col>0</xdr:col>
      <xdr:colOff>526958</xdr:colOff>
      <xdr:row>33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28</xdr:row>
      <xdr:rowOff>110802</xdr:rowOff>
    </xdr:from>
    <xdr:to>
      <xdr:col>0</xdr:col>
      <xdr:colOff>520696</xdr:colOff>
      <xdr:row>30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26</xdr:row>
      <xdr:rowOff>24007</xdr:rowOff>
    </xdr:from>
    <xdr:to>
      <xdr:col>0</xdr:col>
      <xdr:colOff>513031</xdr:colOff>
      <xdr:row>28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23</xdr:row>
      <xdr:rowOff>99225</xdr:rowOff>
    </xdr:from>
    <xdr:to>
      <xdr:col>0</xdr:col>
      <xdr:colOff>512752</xdr:colOff>
      <xdr:row>25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140672</xdr:colOff>
      <xdr:row>21</xdr:row>
      <xdr:rowOff>22860</xdr:rowOff>
    </xdr:from>
    <xdr:to>
      <xdr:col>0</xdr:col>
      <xdr:colOff>503393</xdr:colOff>
      <xdr:row>23</xdr:row>
      <xdr:rowOff>62820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2" y="3573780"/>
          <a:ext cx="362721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33</xdr:row>
      <xdr:rowOff>130769</xdr:rowOff>
    </xdr:from>
    <xdr:to>
      <xdr:col>0</xdr:col>
      <xdr:colOff>521970</xdr:colOff>
      <xdr:row>36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630131</xdr:colOff>
      <xdr:row>6</xdr:row>
      <xdr:rowOff>98851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59</xdr:row>
      <xdr:rowOff>157370</xdr:rowOff>
    </xdr:from>
    <xdr:to>
      <xdr:col>18</xdr:col>
      <xdr:colOff>494299</xdr:colOff>
      <xdr:row>62</xdr:row>
      <xdr:rowOff>135131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145313</xdr:colOff>
      <xdr:row>41</xdr:row>
      <xdr:rowOff>73571</xdr:rowOff>
    </xdr:from>
    <xdr:to>
      <xdr:col>0</xdr:col>
      <xdr:colOff>502592</xdr:colOff>
      <xdr:row>43</xdr:row>
      <xdr:rowOff>122155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3" y="6702971"/>
          <a:ext cx="357279" cy="37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138793</xdr:colOff>
      <xdr:row>43</xdr:row>
      <xdr:rowOff>84369</xdr:rowOff>
    </xdr:from>
    <xdr:to>
      <xdr:col>0</xdr:col>
      <xdr:colOff>553951</xdr:colOff>
      <xdr:row>46</xdr:row>
      <xdr:rowOff>70245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8793" y="6294669"/>
          <a:ext cx="415158" cy="410419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705071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743171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  <xdr:twoCellAnchor editAs="oneCell">
    <xdr:from>
      <xdr:col>1</xdr:col>
      <xdr:colOff>32658</xdr:colOff>
      <xdr:row>1</xdr:row>
      <xdr:rowOff>21773</xdr:rowOff>
    </xdr:from>
    <xdr:to>
      <xdr:col>2</xdr:col>
      <xdr:colOff>1216478</xdr:colOff>
      <xdr:row>2</xdr:row>
      <xdr:rowOff>168730</xdr:rowOff>
    </xdr:to>
    <xdr:pic>
      <xdr:nvPicPr>
        <xdr:cNvPr id="11" name="Kuva 10">
          <a:extLst>
            <a:ext uri="{FF2B5EF4-FFF2-40B4-BE49-F238E27FC236}">
              <a16:creationId xmlns:a16="http://schemas.microsoft.com/office/drawing/2014/main" id="{046DD98B-6F69-4185-B95B-3AA525B36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29" y="179616"/>
          <a:ext cx="1347106" cy="3592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514894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129319</xdr:colOff>
      <xdr:row>8</xdr:row>
      <xdr:rowOff>60905</xdr:rowOff>
    </xdr:from>
    <xdr:to>
      <xdr:col>0</xdr:col>
      <xdr:colOff>516108</xdr:colOff>
      <xdr:row>32</xdr:row>
      <xdr:rowOff>120956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295B6735-2D1D-262A-ED47-9179995133FB}"/>
            </a:ext>
          </a:extLst>
        </xdr:cNvPr>
        <xdr:cNvGrpSpPr/>
      </xdr:nvGrpSpPr>
      <xdr:grpSpPr>
        <a:xfrm>
          <a:off x="129319" y="1759076"/>
          <a:ext cx="386789" cy="4468766"/>
          <a:chOff x="129319" y="1659979"/>
          <a:chExt cx="386789" cy="3956386"/>
        </a:xfrm>
      </xdr:grpSpPr>
      <xdr:pic>
        <xdr:nvPicPr>
          <xdr:cNvPr id="38" name="Kuva 3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CDA4AC5-09EB-4755-9E5E-313C6C5BBE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430" y="4869820"/>
            <a:ext cx="360000" cy="343324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7023383-F677-4E10-BDA4-0CD5E6098CD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419" y="4471574"/>
            <a:ext cx="377689" cy="350178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598AE97-62FD-4696-9F1D-8984F23CDD47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49" y="4066247"/>
            <a:ext cx="360000" cy="357211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DEAF475-59CA-4357-B7AF-666F0F088BC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52" y="3679752"/>
            <a:ext cx="360000" cy="358564"/>
          </a:xfrm>
          <a:prstGeom prst="rect">
            <a:avLst/>
          </a:prstGeom>
        </xdr:spPr>
      </xdr:pic>
      <xdr:pic>
        <xdr:nvPicPr>
          <xdr:cNvPr id="42" name="Kuva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1741777-29E6-402E-9259-1239412CA8F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474" y="3277562"/>
            <a:ext cx="366531" cy="355668"/>
          </a:xfrm>
          <a:prstGeom prst="rect">
            <a:avLst/>
          </a:prstGeom>
        </xdr:spPr>
      </xdr:pic>
      <xdr:pic>
        <xdr:nvPicPr>
          <xdr:cNvPr id="43" name="Kuva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DAC6E65-FABE-4627-98B3-378D297D9B1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4" y="2876916"/>
            <a:ext cx="360000" cy="345139"/>
          </a:xfrm>
          <a:prstGeom prst="rect">
            <a:avLst/>
          </a:prstGeom>
        </xdr:spPr>
      </xdr:pic>
      <xdr:pic>
        <xdr:nvPicPr>
          <xdr:cNvPr id="44" name="Kuva 4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3F2462C-70D7-4E65-BB71-C43F83D22E7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185" y="2473315"/>
            <a:ext cx="372246" cy="357122"/>
          </a:xfrm>
          <a:prstGeom prst="rect">
            <a:avLst/>
          </a:prstGeom>
        </xdr:spPr>
      </xdr:pic>
      <xdr:pic>
        <xdr:nvPicPr>
          <xdr:cNvPr id="45" name="Kuva 44">
            <a:extLst>
              <a:ext uri="{FF2B5EF4-FFF2-40B4-BE49-F238E27FC236}">
                <a16:creationId xmlns:a16="http://schemas.microsoft.com/office/drawing/2014/main" id="{510A1423-29AE-495D-902D-2A4F8656C03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319" y="2069740"/>
            <a:ext cx="370341" cy="358743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8D66CE-BEC9-4027-9F4B-5B40D66C2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830" y="1659979"/>
            <a:ext cx="364416" cy="360974"/>
          </a:xfrm>
          <a:prstGeom prst="rect">
            <a:avLst/>
          </a:prstGeom>
        </xdr:spPr>
      </xdr:pic>
      <xdr:pic>
        <xdr:nvPicPr>
          <xdr:cNvPr id="47" name="Kuva 46" descr="Tulostin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657EF89-353F-4334-BE7B-D32E30EC58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29821" y="5240403"/>
            <a:ext cx="381377" cy="375962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18822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20636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73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81</xdr:row>
      <xdr:rowOff>134860</xdr:rowOff>
    </xdr:from>
    <xdr:to>
      <xdr:col>0</xdr:col>
      <xdr:colOff>584135</xdr:colOff>
      <xdr:row>83</xdr:row>
      <xdr:rowOff>161925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87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79</xdr:row>
      <xdr:rowOff>1903</xdr:rowOff>
    </xdr:from>
    <xdr:to>
      <xdr:col>0</xdr:col>
      <xdr:colOff>592213</xdr:colOff>
      <xdr:row>81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76</xdr:row>
      <xdr:rowOff>59054</xdr:rowOff>
    </xdr:from>
    <xdr:to>
      <xdr:col>0</xdr:col>
      <xdr:colOff>601431</xdr:colOff>
      <xdr:row>78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592138</xdr:colOff>
      <xdr:row>30</xdr:row>
      <xdr:rowOff>58318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435428</xdr:colOff>
      <xdr:row>0</xdr:row>
      <xdr:rowOff>137433</xdr:rowOff>
    </xdr:from>
    <xdr:to>
      <xdr:col>17</xdr:col>
      <xdr:colOff>3773</xdr:colOff>
      <xdr:row>3</xdr:row>
      <xdr:rowOff>20440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137433"/>
          <a:ext cx="811493" cy="310816"/>
        </a:xfrm>
        <a:prstGeom prst="rect">
          <a:avLst/>
        </a:prstGeom>
      </xdr:spPr>
    </xdr:pic>
    <xdr:clientData/>
  </xdr:twoCellAnchor>
  <xdr:twoCellAnchor>
    <xdr:from>
      <xdr:col>0</xdr:col>
      <xdr:colOff>157691</xdr:colOff>
      <xdr:row>40</xdr:row>
      <xdr:rowOff>7901</xdr:rowOff>
    </xdr:from>
    <xdr:to>
      <xdr:col>0</xdr:col>
      <xdr:colOff>517691</xdr:colOff>
      <xdr:row>42</xdr:row>
      <xdr:rowOff>76917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7691" y="6365158"/>
          <a:ext cx="360000" cy="362930"/>
        </a:xfrm>
        <a:prstGeom prst="rect">
          <a:avLst/>
        </a:prstGeom>
      </xdr:spPr>
    </xdr:pic>
    <xdr:clientData/>
  </xdr:twoCellAnchor>
  <xdr:twoCellAnchor>
    <xdr:from>
      <xdr:col>0</xdr:col>
      <xdr:colOff>163288</xdr:colOff>
      <xdr:row>38</xdr:row>
      <xdr:rowOff>28707</xdr:rowOff>
    </xdr:from>
    <xdr:to>
      <xdr:col>0</xdr:col>
      <xdr:colOff>523288</xdr:colOff>
      <xdr:row>39</xdr:row>
      <xdr:rowOff>198207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8" y="596686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165858</xdr:colOff>
      <xdr:row>35</xdr:row>
      <xdr:rowOff>93577</xdr:rowOff>
    </xdr:from>
    <xdr:to>
      <xdr:col>0</xdr:col>
      <xdr:colOff>525858</xdr:colOff>
      <xdr:row>38</xdr:row>
      <xdr:rowOff>15217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8" y="5666225"/>
          <a:ext cx="360000" cy="361256"/>
        </a:xfrm>
        <a:prstGeom prst="rect">
          <a:avLst/>
        </a:prstGeom>
      </xdr:spPr>
    </xdr:pic>
    <xdr:clientData/>
  </xdr:twoCellAnchor>
  <xdr:twoCellAnchor>
    <xdr:from>
      <xdr:col>0</xdr:col>
      <xdr:colOff>161729</xdr:colOff>
      <xdr:row>32</xdr:row>
      <xdr:rowOff>144696</xdr:rowOff>
    </xdr:from>
    <xdr:to>
      <xdr:col>0</xdr:col>
      <xdr:colOff>521729</xdr:colOff>
      <xdr:row>35</xdr:row>
      <xdr:rowOff>76963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29" y="5277729"/>
          <a:ext cx="360000" cy="371882"/>
        </a:xfrm>
        <a:prstGeom prst="rect">
          <a:avLst/>
        </a:prstGeom>
      </xdr:spPr>
    </xdr:pic>
    <xdr:clientData/>
  </xdr:twoCellAnchor>
  <xdr:twoCellAnchor>
    <xdr:from>
      <xdr:col>0</xdr:col>
      <xdr:colOff>167130</xdr:colOff>
      <xdr:row>30</xdr:row>
      <xdr:rowOff>67406</xdr:rowOff>
    </xdr:from>
    <xdr:to>
      <xdr:col>0</xdr:col>
      <xdr:colOff>527130</xdr:colOff>
      <xdr:row>32</xdr:row>
      <xdr:rowOff>145319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0" y="4907362"/>
          <a:ext cx="360000" cy="370990"/>
        </a:xfrm>
        <a:prstGeom prst="rect">
          <a:avLst/>
        </a:prstGeom>
      </xdr:spPr>
    </xdr:pic>
    <xdr:clientData/>
  </xdr:twoCellAnchor>
  <xdr:twoCellAnchor>
    <xdr:from>
      <xdr:col>0</xdr:col>
      <xdr:colOff>167869</xdr:colOff>
      <xdr:row>27</xdr:row>
      <xdr:rowOff>134685</xdr:rowOff>
    </xdr:from>
    <xdr:to>
      <xdr:col>0</xdr:col>
      <xdr:colOff>527869</xdr:colOff>
      <xdr:row>30</xdr:row>
      <xdr:rowOff>61978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" y="452707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160880</xdr:colOff>
      <xdr:row>25</xdr:row>
      <xdr:rowOff>58930</xdr:rowOff>
    </xdr:from>
    <xdr:to>
      <xdr:col>0</xdr:col>
      <xdr:colOff>520880</xdr:colOff>
      <xdr:row>27</xdr:row>
      <xdr:rowOff>133179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80" y="415740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168983</xdr:colOff>
      <xdr:row>22</xdr:row>
      <xdr:rowOff>146565</xdr:rowOff>
    </xdr:from>
    <xdr:to>
      <xdr:col>0</xdr:col>
      <xdr:colOff>528983</xdr:colOff>
      <xdr:row>25</xdr:row>
      <xdr:rowOff>54808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83" y="379327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167370</xdr:colOff>
      <xdr:row>21</xdr:row>
      <xdr:rowOff>5733</xdr:rowOff>
    </xdr:from>
    <xdr:to>
      <xdr:col>0</xdr:col>
      <xdr:colOff>527370</xdr:colOff>
      <xdr:row>22</xdr:row>
      <xdr:rowOff>137133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0" y="3423847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174690</xdr:colOff>
      <xdr:row>18</xdr:row>
      <xdr:rowOff>166008</xdr:rowOff>
    </xdr:from>
    <xdr:to>
      <xdr:col>0</xdr:col>
      <xdr:colOff>534690</xdr:colOff>
      <xdr:row>20</xdr:row>
      <xdr:rowOff>145008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90" y="3056165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30933</xdr:rowOff>
    </xdr:from>
    <xdr:to>
      <xdr:col>5</xdr:col>
      <xdr:colOff>517071</xdr:colOff>
      <xdr:row>126</xdr:row>
      <xdr:rowOff>138157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8841" y="22058176"/>
          <a:ext cx="4478201" cy="265067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364349</xdr:colOff>
      <xdr:row>3</xdr:row>
      <xdr:rowOff>59689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5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56</xdr:row>
      <xdr:rowOff>29357</xdr:rowOff>
    </xdr:from>
    <xdr:to>
      <xdr:col>0</xdr:col>
      <xdr:colOff>536257</xdr:colOff>
      <xdr:row>58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53</xdr:row>
      <xdr:rowOff>99234</xdr:rowOff>
    </xdr:from>
    <xdr:to>
      <xdr:col>0</xdr:col>
      <xdr:colOff>526006</xdr:colOff>
      <xdr:row>56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51</xdr:row>
      <xdr:rowOff>9579</xdr:rowOff>
    </xdr:from>
    <xdr:to>
      <xdr:col>0</xdr:col>
      <xdr:colOff>529349</xdr:colOff>
      <xdr:row>53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48</xdr:row>
      <xdr:rowOff>64947</xdr:rowOff>
    </xdr:from>
    <xdr:to>
      <xdr:col>0</xdr:col>
      <xdr:colOff>524256</xdr:colOff>
      <xdr:row>50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45</xdr:row>
      <xdr:rowOff>123954</xdr:rowOff>
    </xdr:from>
    <xdr:to>
      <xdr:col>0</xdr:col>
      <xdr:colOff>544161</xdr:colOff>
      <xdr:row>48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43</xdr:row>
      <xdr:rowOff>28356</xdr:rowOff>
    </xdr:from>
    <xdr:to>
      <xdr:col>0</xdr:col>
      <xdr:colOff>529010</xdr:colOff>
      <xdr:row>45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40</xdr:row>
      <xdr:rowOff>84151</xdr:rowOff>
    </xdr:from>
    <xdr:to>
      <xdr:col>0</xdr:col>
      <xdr:colOff>529806</xdr:colOff>
      <xdr:row>42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37</xdr:row>
      <xdr:rowOff>136796</xdr:rowOff>
    </xdr:from>
    <xdr:to>
      <xdr:col>0</xdr:col>
      <xdr:colOff>531384</xdr:colOff>
      <xdr:row>40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35</xdr:row>
      <xdr:rowOff>38682</xdr:rowOff>
    </xdr:from>
    <xdr:to>
      <xdr:col>0</xdr:col>
      <xdr:colOff>533880</xdr:colOff>
      <xdr:row>37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32</xdr:row>
      <xdr:rowOff>97971</xdr:rowOff>
    </xdr:from>
    <xdr:to>
      <xdr:col>0</xdr:col>
      <xdr:colOff>536212</xdr:colOff>
      <xdr:row>34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820251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134891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Q11" sqref="Q11"/>
    </sheetView>
  </sheetViews>
  <sheetFormatPr defaultRowHeight="12.45"/>
  <cols>
    <col min="1" max="1" width="3.69140625" customWidth="1"/>
    <col min="2" max="2" width="9.07421875" style="38" customWidth="1"/>
    <col min="3" max="3" width="2.53515625" style="38" customWidth="1"/>
    <col min="4" max="4" width="36.53515625" customWidth="1"/>
    <col min="5" max="5" width="2.84375" customWidth="1"/>
    <col min="6" max="6" width="41.84375" customWidth="1"/>
    <col min="7" max="7" width="4.3046875" customWidth="1"/>
    <col min="8" max="9" width="7.3046875" customWidth="1"/>
    <col min="12" max="12" width="10" customWidth="1"/>
  </cols>
  <sheetData>
    <row r="1" spans="2:17" ht="12.75" customHeight="1">
      <c r="I1" s="83"/>
    </row>
    <row r="2" spans="2:17" ht="12.75" customHeight="1">
      <c r="H2" s="1727"/>
      <c r="I2" s="1727"/>
    </row>
    <row r="3" spans="2:17" ht="14.15">
      <c r="D3" s="1736" t="s">
        <v>443</v>
      </c>
      <c r="E3" s="1737"/>
      <c r="F3" s="1737"/>
      <c r="H3" s="1727"/>
      <c r="I3" s="1727"/>
    </row>
    <row r="4" spans="2:17">
      <c r="B4" s="40"/>
      <c r="C4" s="40"/>
      <c r="D4" s="1"/>
    </row>
    <row r="5" spans="2:17" ht="33" customHeight="1">
      <c r="F5" s="517"/>
      <c r="H5" s="980"/>
      <c r="I5" s="1738" t="s">
        <v>759</v>
      </c>
      <c r="J5" s="1738"/>
      <c r="K5" s="1738"/>
      <c r="L5" s="1738"/>
    </row>
    <row r="6" spans="2:17" ht="10.199999999999999" customHeight="1">
      <c r="H6" s="1179"/>
      <c r="I6" s="445"/>
      <c r="J6" s="1179"/>
      <c r="K6" s="1179"/>
      <c r="L6" s="1179"/>
    </row>
    <row r="7" spans="2:17" ht="33" customHeight="1">
      <c r="B7" s="40" t="s">
        <v>0</v>
      </c>
      <c r="F7" s="517"/>
      <c r="H7" s="1731" t="s">
        <v>764</v>
      </c>
      <c r="I7" s="1731"/>
      <c r="J7" s="1731"/>
      <c r="K7" s="1731"/>
      <c r="L7" s="1731"/>
    </row>
    <row r="8" spans="2:17" ht="10.199999999999999" customHeight="1"/>
    <row r="9" spans="2:17" ht="33" customHeight="1">
      <c r="F9" s="517"/>
      <c r="N9" s="249"/>
    </row>
    <row r="10" spans="2:17" ht="10.199999999999999" customHeight="1"/>
    <row r="11" spans="2:17" ht="33" customHeight="1">
      <c r="F11" s="517"/>
      <c r="I11" s="1724"/>
      <c r="J11" s="1725"/>
      <c r="L11" s="249"/>
    </row>
    <row r="12" spans="2:17" ht="10.199999999999999" customHeight="1"/>
    <row r="13" spans="2:17" ht="33" customHeight="1">
      <c r="F13" s="517"/>
    </row>
    <row r="14" spans="2:17" ht="10.199999999999999" customHeight="1">
      <c r="I14" s="1733"/>
      <c r="J14" s="1733"/>
      <c r="K14" s="1733"/>
      <c r="L14" s="1733"/>
      <c r="Q14" t="s">
        <v>0</v>
      </c>
    </row>
    <row r="15" spans="2:17" ht="33" customHeight="1">
      <c r="F15" s="517"/>
      <c r="I15" s="1733"/>
      <c r="J15" s="1733"/>
      <c r="K15" s="1733"/>
      <c r="L15" s="1733"/>
      <c r="N15" s="1" t="s">
        <v>0</v>
      </c>
    </row>
    <row r="16" spans="2:17" ht="10.199999999999999" customHeight="1">
      <c r="H16" s="1"/>
      <c r="I16" s="1733"/>
      <c r="J16" s="1733"/>
      <c r="K16" s="1733"/>
      <c r="L16" s="1733"/>
    </row>
    <row r="17" spans="2:13" ht="33" customHeight="1">
      <c r="F17" s="517"/>
      <c r="I17" s="1733"/>
      <c r="J17" s="1733"/>
      <c r="K17" s="1733"/>
      <c r="L17" s="1733"/>
      <c r="M17" s="249"/>
    </row>
    <row r="18" spans="2:13" ht="10.199999999999999" customHeight="1">
      <c r="F18" s="442"/>
      <c r="I18" s="1733"/>
      <c r="J18" s="1733"/>
      <c r="K18" s="1733"/>
      <c r="L18" s="1733"/>
      <c r="M18" s="249"/>
    </row>
    <row r="19" spans="2:13" ht="33" customHeight="1">
      <c r="F19" s="517"/>
      <c r="I19" s="1733"/>
      <c r="J19" s="1733"/>
      <c r="K19" s="1733"/>
      <c r="L19" s="1733"/>
    </row>
    <row r="20" spans="2:13" ht="10.199999999999999" customHeight="1"/>
    <row r="21" spans="2:13" ht="33" customHeight="1">
      <c r="F21" s="517"/>
      <c r="I21" s="1726"/>
      <c r="J21" s="1726"/>
    </row>
    <row r="22" spans="2:13" ht="10.199999999999999" customHeight="1"/>
    <row r="23" spans="2:13" ht="18" customHeight="1">
      <c r="F23" s="517"/>
      <c r="H23" s="493"/>
      <c r="I23" s="190"/>
      <c r="J23" s="1730"/>
      <c r="K23" s="1730"/>
    </row>
    <row r="24" spans="2:13" ht="12" customHeight="1">
      <c r="B24" s="40"/>
      <c r="C24" s="40"/>
      <c r="G24" s="1735" t="s">
        <v>519</v>
      </c>
      <c r="H24" s="1735"/>
      <c r="I24" s="1735"/>
      <c r="J24" s="1735"/>
      <c r="K24" s="1735"/>
      <c r="L24" s="1735"/>
    </row>
    <row r="25" spans="2:13" ht="12" customHeight="1">
      <c r="F25" s="517"/>
      <c r="H25" s="493"/>
      <c r="I25" s="1734">
        <v>45355</v>
      </c>
      <c r="J25" s="1735"/>
      <c r="K25" s="1735"/>
      <c r="L25" s="1735"/>
    </row>
    <row r="26" spans="2:13" ht="12" customHeight="1">
      <c r="D26" s="74"/>
      <c r="E26" s="50"/>
      <c r="F26" s="85"/>
      <c r="G26" s="50"/>
      <c r="H26" s="50"/>
      <c r="I26" s="50"/>
      <c r="J26" s="1732"/>
      <c r="K26" s="1732"/>
      <c r="L26" s="1732"/>
    </row>
    <row r="27" spans="2:13">
      <c r="D27" s="74"/>
      <c r="F27" s="1728"/>
    </row>
    <row r="28" spans="2:13">
      <c r="F28" s="1728"/>
    </row>
    <row r="29" spans="2:13">
      <c r="D29" s="1727"/>
      <c r="E29" s="1729"/>
    </row>
    <row r="40" spans="4:6">
      <c r="D40" s="15"/>
      <c r="F40" s="15"/>
    </row>
    <row r="51" spans="4:4">
      <c r="D51" s="15"/>
    </row>
    <row r="61" spans="4:4">
      <c r="D61" s="488"/>
    </row>
  </sheetData>
  <sheetProtection algorithmName="SHA-512" hashValue="EtsN6eStLo0yILjgS9BWz8lWC5bQOC1V48G6OSyMNH1N8Qln3N4NSFsr5eI2zAmTmFkI4srNhgiUmHuYPxBL5w==" saltValue="ij9rSp6BI5KQfogCH94IDg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workbookViewId="0">
      <selection activeCell="S7" sqref="S7"/>
    </sheetView>
  </sheetViews>
  <sheetFormatPr defaultRowHeight="12.45"/>
  <cols>
    <col min="1" max="1" width="10.07421875" customWidth="1"/>
    <col min="2" max="2" width="23.69140625" customWidth="1"/>
    <col min="3" max="12" width="9.3046875" customWidth="1"/>
    <col min="13" max="13" width="9.69140625" customWidth="1"/>
    <col min="14" max="14" width="9.3046875" customWidth="1"/>
    <col min="16" max="16" width="32.23046875" customWidth="1"/>
    <col min="25" max="25" width="9.69140625" bestFit="1" customWidth="1"/>
  </cols>
  <sheetData>
    <row r="1" spans="1:26" ht="12.9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>
      <c r="A2" s="478"/>
      <c r="B2" s="49" t="s">
        <v>398</v>
      </c>
      <c r="C2" s="479">
        <f>'9. T5 KASSABUDJETTI  '!G9</f>
        <v>45658</v>
      </c>
      <c r="D2" s="479">
        <f>'9. T5 KASSABUDJETTI  '!H9</f>
        <v>45689</v>
      </c>
      <c r="E2" s="479">
        <f>'9. T5 KASSABUDJETTI  '!I9</f>
        <v>45720</v>
      </c>
      <c r="F2" s="479">
        <f>'9. T5 KASSABUDJETTI  '!J9</f>
        <v>45751</v>
      </c>
      <c r="G2" s="479">
        <f>'9. T5 KASSABUDJETTI  '!K9</f>
        <v>45782</v>
      </c>
      <c r="H2" s="479">
        <f>'9. T5 KASSABUDJETTI  '!L9</f>
        <v>45813</v>
      </c>
      <c r="I2" s="479">
        <f>'9. T5 KASSABUDJETTI  '!M9</f>
        <v>45844</v>
      </c>
      <c r="J2" s="479">
        <f>'9. T5 KASSABUDJETTI  '!N9</f>
        <v>45875</v>
      </c>
      <c r="K2" s="479">
        <f>'9. T5 KASSABUDJETTI  '!O9</f>
        <v>45906</v>
      </c>
      <c r="L2" s="479">
        <f>'9. T5 KASSABUDJETTI  '!P9</f>
        <v>45937</v>
      </c>
      <c r="M2" s="479">
        <f>'9. T5 KASSABUDJETTI  '!Q9</f>
        <v>45968</v>
      </c>
      <c r="N2" s="480">
        <f>'9. T5 KASSABUDJETTI  '!R9</f>
        <v>45999</v>
      </c>
      <c r="O2" s="470"/>
      <c r="P2" s="478" t="s">
        <v>761</v>
      </c>
      <c r="Q2" s="479">
        <f>C2</f>
        <v>45658</v>
      </c>
      <c r="R2" s="479">
        <f t="shared" ref="R2:S2" si="0">D2</f>
        <v>45689</v>
      </c>
      <c r="S2" s="480">
        <f t="shared" si="0"/>
        <v>45720</v>
      </c>
      <c r="T2" s="470"/>
      <c r="U2" s="470"/>
      <c r="V2" s="470"/>
      <c r="W2" s="470"/>
      <c r="X2" s="470"/>
      <c r="Y2" s="470"/>
      <c r="Z2" s="470"/>
    </row>
    <row r="3" spans="1:26" s="2" customFormat="1">
      <c r="A3" s="481"/>
      <c r="B3" s="28" t="s">
        <v>397</v>
      </c>
      <c r="C3" s="472">
        <f>IF('9. T5 KASSABUDJETTI  '!H5=1,'8. T4 RAHOITUSSUUN. '!G52,'8. T4 RAHOITUSSUUN. '!H52)</f>
        <v>0</v>
      </c>
      <c r="D3" s="472">
        <f>C3</f>
        <v>0</v>
      </c>
      <c r="E3" s="472">
        <f t="shared" ref="E3:N3" si="1">D3</f>
        <v>0</v>
      </c>
      <c r="F3" s="472">
        <f t="shared" si="1"/>
        <v>0</v>
      </c>
      <c r="G3" s="472">
        <f t="shared" si="1"/>
        <v>0</v>
      </c>
      <c r="H3" s="472">
        <f t="shared" si="1"/>
        <v>0</v>
      </c>
      <c r="I3" s="472">
        <f t="shared" si="1"/>
        <v>0</v>
      </c>
      <c r="J3" s="472">
        <f t="shared" si="1"/>
        <v>0</v>
      </c>
      <c r="K3" s="472">
        <f t="shared" si="1"/>
        <v>0</v>
      </c>
      <c r="L3" s="472">
        <f t="shared" si="1"/>
        <v>0</v>
      </c>
      <c r="M3" s="472">
        <f t="shared" si="1"/>
        <v>0</v>
      </c>
      <c r="N3" s="482">
        <f t="shared" si="1"/>
        <v>0</v>
      </c>
      <c r="P3" s="1716" t="s">
        <v>397</v>
      </c>
      <c r="Q3" s="472">
        <f>IF('9. T5 KASSABUDJETTI  '!H5=1,'8. T4 RAHOITUSSUUN. '!G57,'8. T4 RAHOITUSSUUN. '!H57)</f>
        <v>0</v>
      </c>
      <c r="R3" s="472">
        <f>Q3</f>
        <v>0</v>
      </c>
      <c r="S3" s="482">
        <f t="shared" ref="S3" si="2">R3</f>
        <v>0</v>
      </c>
    </row>
    <row r="4" spans="1:26" s="2" customFormat="1">
      <c r="A4" s="481"/>
      <c r="B4" s="28" t="s">
        <v>399</v>
      </c>
      <c r="C4" s="473">
        <f>IF(C3=0,0,IF('9. T5 KASSABUDJETTI  '!H5=1,'3. T3 TASE '!G42/C3,'3. T3 TASE '!H42/C3))</f>
        <v>0</v>
      </c>
      <c r="D4" s="473"/>
      <c r="E4" s="473"/>
      <c r="F4" s="473"/>
      <c r="G4" s="473"/>
      <c r="H4" s="473"/>
      <c r="I4" s="28"/>
      <c r="J4" s="28"/>
      <c r="K4" s="28"/>
      <c r="L4" s="28"/>
      <c r="M4" s="28"/>
      <c r="N4" s="483"/>
      <c r="P4" s="1716" t="s">
        <v>762</v>
      </c>
      <c r="Q4" s="473">
        <f>IF(Q3=0,0,IF('9. T5 KASSABUDJETTI  '!H5=1,'3. T3 TASE '!G80/Q3,'3. T3 TASE '!H80/Q3))</f>
        <v>0</v>
      </c>
      <c r="R4" s="473"/>
      <c r="S4" s="1717"/>
    </row>
    <row r="5" spans="1:26">
      <c r="A5" s="377"/>
      <c r="B5" s="4" t="s">
        <v>384</v>
      </c>
      <c r="C5" s="30">
        <f>IF(C3&lt;31,C4*C3,0)</f>
        <v>0</v>
      </c>
      <c r="D5" s="30"/>
      <c r="E5" s="30"/>
      <c r="F5" s="30"/>
      <c r="G5" s="30"/>
      <c r="H5" s="30"/>
      <c r="I5" s="4"/>
      <c r="J5" s="4"/>
      <c r="K5" s="4"/>
      <c r="L5" s="4"/>
      <c r="M5" s="4"/>
      <c r="N5" s="484"/>
      <c r="P5" s="377" t="s">
        <v>384</v>
      </c>
      <c r="Q5" s="30">
        <f>IF(Q3&lt;31,Q4*Q3,0)</f>
        <v>0</v>
      </c>
      <c r="R5" s="30"/>
      <c r="S5" s="1718"/>
    </row>
    <row r="6" spans="1:26">
      <c r="A6" s="377"/>
      <c r="B6" s="4" t="s">
        <v>385</v>
      </c>
      <c r="C6" s="30">
        <f>IF(C$3&lt;31,0,IF(C$3&lt;61,30*C$4,0))</f>
        <v>0</v>
      </c>
      <c r="D6" s="30">
        <f>IF(D$3&lt;31,0,IF(D$3&lt;61,$C$4*(30-(60-$C$3)),0))</f>
        <v>0</v>
      </c>
      <c r="E6" s="30"/>
      <c r="F6" s="30"/>
      <c r="G6" s="30"/>
      <c r="H6" s="30"/>
      <c r="I6" s="4"/>
      <c r="J6" s="4"/>
      <c r="K6" s="4"/>
      <c r="L6" s="4"/>
      <c r="M6" s="4"/>
      <c r="N6" s="484"/>
      <c r="P6" s="377" t="s">
        <v>385</v>
      </c>
      <c r="Q6" s="30">
        <f>IF(Q$3&lt;31,0,IF(Q$3&lt;61,30*Q$4,0))</f>
        <v>0</v>
      </c>
      <c r="R6" s="30">
        <f>IF(R$3&lt;31,0,IF(R$3&lt;61,$Q$4*(30-(60-$Q$3)),0))</f>
        <v>0</v>
      </c>
      <c r="S6" s="1718"/>
    </row>
    <row r="7" spans="1:26">
      <c r="A7" s="377"/>
      <c r="B7" s="4" t="s">
        <v>386</v>
      </c>
      <c r="C7" s="30">
        <f>IF(C$3&lt;61,0,IF(C$3&lt;91,30*C$4,0))</f>
        <v>0</v>
      </c>
      <c r="D7" s="30">
        <f t="shared" ref="D7:D16" si="3">C7</f>
        <v>0</v>
      </c>
      <c r="E7" s="30">
        <f>IF(E$3&lt;61,0,IF(E$3&lt;91,$C$4*(30-(90-$C$3)),0))</f>
        <v>0</v>
      </c>
      <c r="F7" s="30"/>
      <c r="G7" s="30"/>
      <c r="H7" s="30"/>
      <c r="I7" s="4"/>
      <c r="J7" s="4"/>
      <c r="K7" s="4"/>
      <c r="L7" s="4"/>
      <c r="M7" s="4"/>
      <c r="N7" s="484"/>
      <c r="P7" s="377" t="s">
        <v>386</v>
      </c>
      <c r="Q7" s="30">
        <f>IF(Q$3&lt;61,0,IF(Q$3&lt;91,30*Q$4,0))</f>
        <v>0</v>
      </c>
      <c r="R7" s="30">
        <f t="shared" ref="R7" si="4">Q7</f>
        <v>0</v>
      </c>
      <c r="S7" s="1718">
        <f>IF(S$3&lt;61,0,IF(S$3&lt;91,$Q$4*(30-(90-$Q$3)),0))</f>
        <v>0</v>
      </c>
    </row>
    <row r="8" spans="1:26" ht="12.9" thickBot="1">
      <c r="A8" s="377"/>
      <c r="B8" s="4" t="s">
        <v>387</v>
      </c>
      <c r="C8" s="30">
        <f>IF(C$3&lt;91,0,IF(C$3&lt;121,30*C$4,0))</f>
        <v>0</v>
      </c>
      <c r="D8" s="30">
        <f t="shared" si="3"/>
        <v>0</v>
      </c>
      <c r="E8" s="30">
        <f t="shared" ref="E8:F16" si="5">D8</f>
        <v>0</v>
      </c>
      <c r="F8" s="30">
        <f>IF(F$3&lt;91,0,IF(F$3&lt;121,$C$4*(30-(120-$C$3)),0))</f>
        <v>0</v>
      </c>
      <c r="G8" s="30"/>
      <c r="H8" s="30"/>
      <c r="I8" s="4"/>
      <c r="J8" s="4"/>
      <c r="K8" s="4"/>
      <c r="L8" s="4"/>
      <c r="M8" s="4"/>
      <c r="N8" s="484"/>
      <c r="P8" s="1719"/>
      <c r="Q8" s="271">
        <f>SUM(Q5:Q7)</f>
        <v>0</v>
      </c>
      <c r="R8" s="271">
        <f t="shared" ref="R8:S8" si="6">SUM(R5:R7)</f>
        <v>0</v>
      </c>
      <c r="S8" s="1720">
        <f t="shared" si="6"/>
        <v>0</v>
      </c>
    </row>
    <row r="9" spans="1:26">
      <c r="A9" s="377"/>
      <c r="B9" s="4" t="s">
        <v>388</v>
      </c>
      <c r="C9" s="30">
        <f>IF(C$3&lt;121,0,IF(C$3&lt;151,30*C$4,0))</f>
        <v>0</v>
      </c>
      <c r="D9" s="30">
        <f t="shared" si="3"/>
        <v>0</v>
      </c>
      <c r="E9" s="30">
        <f t="shared" si="5"/>
        <v>0</v>
      </c>
      <c r="F9" s="30">
        <f t="shared" si="5"/>
        <v>0</v>
      </c>
      <c r="G9" s="30">
        <f>IF(G$3&lt;121,0,IF(G$3&lt;151,$C$4*(30-(150-$C$3)),0))</f>
        <v>0</v>
      </c>
      <c r="H9" s="30"/>
      <c r="I9" s="4"/>
      <c r="J9" s="4"/>
      <c r="K9" s="4"/>
      <c r="L9" s="4"/>
      <c r="M9" s="4"/>
      <c r="N9" s="484"/>
    </row>
    <row r="10" spans="1:26">
      <c r="A10" s="377"/>
      <c r="B10" s="4" t="s">
        <v>389</v>
      </c>
      <c r="C10" s="30">
        <f>IF(C$3&lt;151,0,IF(C$3&lt;181,30*C$4,0))</f>
        <v>0</v>
      </c>
      <c r="D10" s="30">
        <f t="shared" si="3"/>
        <v>0</v>
      </c>
      <c r="E10" s="30">
        <f t="shared" si="5"/>
        <v>0</v>
      </c>
      <c r="F10" s="30">
        <f t="shared" si="5"/>
        <v>0</v>
      </c>
      <c r="G10" s="30">
        <f t="shared" ref="G10:G16" si="7">F10</f>
        <v>0</v>
      </c>
      <c r="H10" s="30">
        <f>IF(H$3&lt;151,0,IF(H$3&lt;181,$C$4*(30-(180-$C$3)),0))</f>
        <v>0</v>
      </c>
      <c r="I10" s="4"/>
      <c r="J10" s="4"/>
      <c r="K10" s="4"/>
      <c r="L10" s="4"/>
      <c r="M10" s="4"/>
      <c r="N10" s="484"/>
    </row>
    <row r="11" spans="1:26">
      <c r="A11" s="377"/>
      <c r="B11" s="4" t="s">
        <v>401</v>
      </c>
      <c r="C11" s="30">
        <f>IF(C$3&lt;181,0,IF(C$3&lt;211,30*C$4,0))</f>
        <v>0</v>
      </c>
      <c r="D11" s="30">
        <f t="shared" si="3"/>
        <v>0</v>
      </c>
      <c r="E11" s="30">
        <f t="shared" si="5"/>
        <v>0</v>
      </c>
      <c r="F11" s="30">
        <f t="shared" si="5"/>
        <v>0</v>
      </c>
      <c r="G11" s="30">
        <f t="shared" si="7"/>
        <v>0</v>
      </c>
      <c r="H11" s="30">
        <f t="shared" ref="H11:H16" si="8">G11</f>
        <v>0</v>
      </c>
      <c r="I11" s="30">
        <f>IF(I$3&lt;181,0,IF(I$3&lt;211,$C$4*(30-(210-$C$3)),0))</f>
        <v>0</v>
      </c>
      <c r="J11" s="4"/>
      <c r="K11" s="4"/>
      <c r="L11" s="4"/>
      <c r="M11" s="4"/>
      <c r="N11" s="484"/>
    </row>
    <row r="12" spans="1:26">
      <c r="A12" s="377"/>
      <c r="B12" s="4" t="s">
        <v>402</v>
      </c>
      <c r="C12" s="30">
        <f>IF(C$3&lt;211,0,IF(C$3&lt;241,30*C$4,0))</f>
        <v>0</v>
      </c>
      <c r="D12" s="30">
        <f t="shared" si="3"/>
        <v>0</v>
      </c>
      <c r="E12" s="30">
        <f t="shared" si="5"/>
        <v>0</v>
      </c>
      <c r="F12" s="30">
        <f t="shared" si="5"/>
        <v>0</v>
      </c>
      <c r="G12" s="30">
        <f t="shared" si="7"/>
        <v>0</v>
      </c>
      <c r="H12" s="30">
        <f t="shared" si="8"/>
        <v>0</v>
      </c>
      <c r="I12" s="30">
        <f>H12</f>
        <v>0</v>
      </c>
      <c r="J12" s="30">
        <f>IF(J$3&lt;211,0,IF(J$3&lt;241,$C$4*(30-(240-$C$3)),0))</f>
        <v>0</v>
      </c>
      <c r="K12" s="4"/>
      <c r="L12" s="4"/>
      <c r="M12" s="4"/>
      <c r="N12" s="484"/>
    </row>
    <row r="13" spans="1:26">
      <c r="A13" s="377"/>
      <c r="B13" s="4" t="s">
        <v>403</v>
      </c>
      <c r="C13" s="30">
        <f>IF(C$3&lt;241,0,IF(C$3&lt;271,30*C$4,0))</f>
        <v>0</v>
      </c>
      <c r="D13" s="30">
        <f t="shared" si="3"/>
        <v>0</v>
      </c>
      <c r="E13" s="30">
        <f t="shared" si="5"/>
        <v>0</v>
      </c>
      <c r="F13" s="30">
        <f t="shared" si="5"/>
        <v>0</v>
      </c>
      <c r="G13" s="30">
        <f t="shared" si="7"/>
        <v>0</v>
      </c>
      <c r="H13" s="30">
        <f t="shared" si="8"/>
        <v>0</v>
      </c>
      <c r="I13" s="30">
        <f>H13</f>
        <v>0</v>
      </c>
      <c r="J13" s="30">
        <f>I13</f>
        <v>0</v>
      </c>
      <c r="K13" s="30">
        <f>IF(K$3&lt;241,0,IF(K$3&lt;271,$C$4*(30-(270-$C$3)),0))</f>
        <v>0</v>
      </c>
      <c r="L13" s="4"/>
      <c r="M13" s="4"/>
      <c r="N13" s="484"/>
    </row>
    <row r="14" spans="1:26">
      <c r="A14" s="377"/>
      <c r="B14" s="4" t="s">
        <v>404</v>
      </c>
      <c r="C14" s="30">
        <f>IF(C$3&lt;271,0,IF(C$3&lt;301,30*C$4,0))</f>
        <v>0</v>
      </c>
      <c r="D14" s="30">
        <f t="shared" si="3"/>
        <v>0</v>
      </c>
      <c r="E14" s="30">
        <f t="shared" si="5"/>
        <v>0</v>
      </c>
      <c r="F14" s="30">
        <f t="shared" si="5"/>
        <v>0</v>
      </c>
      <c r="G14" s="30">
        <f t="shared" si="7"/>
        <v>0</v>
      </c>
      <c r="H14" s="30">
        <f t="shared" si="8"/>
        <v>0</v>
      </c>
      <c r="I14" s="30">
        <f>H14</f>
        <v>0</v>
      </c>
      <c r="J14" s="30">
        <f>I14</f>
        <v>0</v>
      </c>
      <c r="K14" s="30">
        <f>J14</f>
        <v>0</v>
      </c>
      <c r="L14" s="30">
        <f>IF(L$3&lt;271,0,IF(L$3&lt;301,$C$4*(30-(300-$C$3)),0))</f>
        <v>0</v>
      </c>
      <c r="M14" s="4"/>
      <c r="N14" s="484"/>
    </row>
    <row r="15" spans="1:26">
      <c r="A15" s="377"/>
      <c r="B15" s="4" t="s">
        <v>405</v>
      </c>
      <c r="C15" s="30">
        <f>IF(C$3&lt;301,0,IF(C$3&lt;331,30*C$4,0))</f>
        <v>0</v>
      </c>
      <c r="D15" s="30">
        <f t="shared" si="3"/>
        <v>0</v>
      </c>
      <c r="E15" s="30">
        <f t="shared" si="5"/>
        <v>0</v>
      </c>
      <c r="F15" s="30">
        <f t="shared" si="5"/>
        <v>0</v>
      </c>
      <c r="G15" s="30">
        <f t="shared" si="7"/>
        <v>0</v>
      </c>
      <c r="H15" s="30">
        <f t="shared" si="8"/>
        <v>0</v>
      </c>
      <c r="I15" s="30">
        <f>H15</f>
        <v>0</v>
      </c>
      <c r="J15" s="30">
        <f>I15</f>
        <v>0</v>
      </c>
      <c r="K15" s="30">
        <f>J15</f>
        <v>0</v>
      </c>
      <c r="L15" s="30">
        <f>K15</f>
        <v>0</v>
      </c>
      <c r="M15" s="30">
        <f>IF(M$3&lt;301,0,IF(M$3&lt;331,$C$4*(30-(330-$C$3)),0))</f>
        <v>0</v>
      </c>
      <c r="N15" s="484"/>
    </row>
    <row r="16" spans="1:26">
      <c r="A16" s="377"/>
      <c r="B16" s="4" t="s">
        <v>406</v>
      </c>
      <c r="C16" s="30">
        <f>IF(C$3&lt;331,0,IF(C$3&lt;361,30*C$4,0))</f>
        <v>0</v>
      </c>
      <c r="D16" s="30">
        <f t="shared" si="3"/>
        <v>0</v>
      </c>
      <c r="E16" s="30">
        <f t="shared" si="5"/>
        <v>0</v>
      </c>
      <c r="F16" s="30">
        <f t="shared" si="5"/>
        <v>0</v>
      </c>
      <c r="G16" s="30">
        <f t="shared" si="7"/>
        <v>0</v>
      </c>
      <c r="H16" s="30">
        <f t="shared" si="8"/>
        <v>0</v>
      </c>
      <c r="I16" s="30">
        <f>H16</f>
        <v>0</v>
      </c>
      <c r="J16" s="30">
        <f>I16</f>
        <v>0</v>
      </c>
      <c r="K16" s="30">
        <f>J16</f>
        <v>0</v>
      </c>
      <c r="L16" s="30">
        <f>K16</f>
        <v>0</v>
      </c>
      <c r="M16" s="30">
        <f>IF(M$3&lt;151,0,IF(M$3&lt;181,30*M$4,0))</f>
        <v>0</v>
      </c>
      <c r="N16" s="30">
        <f>IF(N$3&lt;331,0,IF(N$3&lt;361,$C$4*(30-(360-$C$3)),0))</f>
        <v>0</v>
      </c>
    </row>
    <row r="17" spans="1:26">
      <c r="A17" s="377"/>
      <c r="B17" s="4"/>
      <c r="C17" s="30"/>
      <c r="D17" s="30"/>
      <c r="E17" s="30"/>
      <c r="F17" s="30"/>
      <c r="G17" s="30"/>
      <c r="H17" s="30"/>
      <c r="I17" s="4"/>
      <c r="J17" s="4"/>
      <c r="K17" s="4"/>
      <c r="L17" s="4"/>
      <c r="M17" s="4"/>
      <c r="N17" s="484"/>
    </row>
    <row r="18" spans="1:26" ht="12.9" thickBot="1">
      <c r="A18" s="485"/>
      <c r="B18" s="486" t="s">
        <v>190</v>
      </c>
      <c r="C18" s="487">
        <f>SUM(C5:C17)</f>
        <v>0</v>
      </c>
      <c r="D18" s="487">
        <f t="shared" ref="D18:N18" si="9">SUM(D5:D17)</f>
        <v>0</v>
      </c>
      <c r="E18" s="487">
        <f t="shared" si="9"/>
        <v>0</v>
      </c>
      <c r="F18" s="487">
        <f t="shared" si="9"/>
        <v>0</v>
      </c>
      <c r="G18" s="487">
        <f t="shared" si="9"/>
        <v>0</v>
      </c>
      <c r="H18" s="487">
        <f t="shared" si="9"/>
        <v>0</v>
      </c>
      <c r="I18" s="487">
        <f t="shared" si="9"/>
        <v>0</v>
      </c>
      <c r="J18" s="487">
        <f t="shared" si="9"/>
        <v>0</v>
      </c>
      <c r="K18" s="487">
        <f t="shared" si="9"/>
        <v>0</v>
      </c>
      <c r="L18" s="487">
        <f t="shared" si="9"/>
        <v>0</v>
      </c>
      <c r="M18" s="487">
        <f t="shared" si="9"/>
        <v>0</v>
      </c>
      <c r="N18" s="487">
        <f t="shared" si="9"/>
        <v>0</v>
      </c>
    </row>
    <row r="19" spans="1:26" s="2" customFormat="1">
      <c r="A19" s="28"/>
      <c r="B19" s="28" t="s">
        <v>400</v>
      </c>
      <c r="C19" s="471">
        <f>C2</f>
        <v>45658</v>
      </c>
      <c r="D19" s="471">
        <f t="shared" ref="D19:N19" si="10">D2</f>
        <v>45689</v>
      </c>
      <c r="E19" s="471">
        <f t="shared" si="10"/>
        <v>45720</v>
      </c>
      <c r="F19" s="471">
        <f t="shared" si="10"/>
        <v>45751</v>
      </c>
      <c r="G19" s="471">
        <f t="shared" si="10"/>
        <v>45782</v>
      </c>
      <c r="H19" s="471">
        <f t="shared" si="10"/>
        <v>45813</v>
      </c>
      <c r="I19" s="471">
        <f t="shared" si="10"/>
        <v>45844</v>
      </c>
      <c r="J19" s="471">
        <f t="shared" si="10"/>
        <v>45875</v>
      </c>
      <c r="K19" s="471">
        <f t="shared" si="10"/>
        <v>45906</v>
      </c>
      <c r="L19" s="471">
        <f t="shared" si="10"/>
        <v>45937</v>
      </c>
      <c r="M19" s="471">
        <f t="shared" si="10"/>
        <v>45968</v>
      </c>
      <c r="N19" s="471">
        <f t="shared" si="10"/>
        <v>45999</v>
      </c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s="2" customFormat="1">
      <c r="A20" s="477" t="s">
        <v>394</v>
      </c>
      <c r="B20" s="28" t="s">
        <v>395</v>
      </c>
      <c r="C20" s="472">
        <f>'9. T5 KASSABUDJETTI  '!E16</f>
        <v>0</v>
      </c>
      <c r="D20" s="472">
        <f t="shared" ref="D20:N20" si="11">C20</f>
        <v>0</v>
      </c>
      <c r="E20" s="472">
        <f t="shared" si="11"/>
        <v>0</v>
      </c>
      <c r="F20" s="472">
        <f t="shared" si="11"/>
        <v>0</v>
      </c>
      <c r="G20" s="472">
        <f t="shared" si="11"/>
        <v>0</v>
      </c>
      <c r="H20" s="472">
        <f t="shared" si="11"/>
        <v>0</v>
      </c>
      <c r="I20" s="472">
        <f t="shared" si="11"/>
        <v>0</v>
      </c>
      <c r="J20" s="472">
        <f t="shared" si="11"/>
        <v>0</v>
      </c>
      <c r="K20" s="472">
        <f t="shared" si="11"/>
        <v>0</v>
      </c>
      <c r="L20" s="472">
        <f t="shared" si="11"/>
        <v>0</v>
      </c>
      <c r="M20" s="472">
        <f t="shared" si="11"/>
        <v>0</v>
      </c>
      <c r="N20" s="472">
        <f t="shared" si="11"/>
        <v>0</v>
      </c>
    </row>
    <row r="21" spans="1:26" s="2" customFormat="1">
      <c r="A21" s="28" t="s">
        <v>0</v>
      </c>
      <c r="B21" s="28" t="s">
        <v>368</v>
      </c>
      <c r="C21" s="473">
        <f>'9. T5 KASSABUDJETTI  '!G14</f>
        <v>0</v>
      </c>
      <c r="D21" s="473">
        <f>'9. T5 KASSABUDJETTI  '!H14</f>
        <v>0</v>
      </c>
      <c r="E21" s="473">
        <f>'9. T5 KASSABUDJETTI  '!I14</f>
        <v>0</v>
      </c>
      <c r="F21" s="473">
        <f>'9. T5 KASSABUDJETTI  '!J14</f>
        <v>0</v>
      </c>
      <c r="G21" s="473">
        <f>'9. T5 KASSABUDJETTI  '!K14</f>
        <v>0</v>
      </c>
      <c r="H21" s="473">
        <f>'9. T5 KASSABUDJETTI  '!L14</f>
        <v>0</v>
      </c>
      <c r="I21" s="473">
        <f>'9. T5 KASSABUDJETTI  '!M14</f>
        <v>0</v>
      </c>
      <c r="J21" s="473">
        <f>'9. T5 KASSABUDJETTI  '!N14</f>
        <v>0</v>
      </c>
      <c r="K21" s="473">
        <f>'9. T5 KASSABUDJETTI  '!O14</f>
        <v>0</v>
      </c>
      <c r="L21" s="473">
        <f>'9. T5 KASSABUDJETTI  '!P14</f>
        <v>0</v>
      </c>
      <c r="M21" s="473">
        <f>'9. T5 KASSABUDJETTI  '!Q14</f>
        <v>0</v>
      </c>
      <c r="N21" s="473">
        <f>'9. T5 KASSABUDJETTI  '!R14</f>
        <v>0</v>
      </c>
      <c r="Q21" s="2">
        <v>0</v>
      </c>
    </row>
    <row r="22" spans="1:26" s="476" customFormat="1">
      <c r="A22" s="474" t="s">
        <v>375</v>
      </c>
      <c r="B22" s="474" t="s">
        <v>369</v>
      </c>
      <c r="C22" s="475">
        <f>IF(C$20&lt;31,C21*(30-C20)/30,0)</f>
        <v>0</v>
      </c>
      <c r="D22" s="475">
        <f t="shared" ref="D22:N22" si="12">IF(D$20&lt;31,D21*(30-D20)/30,0)</f>
        <v>0</v>
      </c>
      <c r="E22" s="475">
        <f t="shared" si="12"/>
        <v>0</v>
      </c>
      <c r="F22" s="475">
        <f t="shared" si="12"/>
        <v>0</v>
      </c>
      <c r="G22" s="475">
        <f t="shared" si="12"/>
        <v>0</v>
      </c>
      <c r="H22" s="475">
        <f t="shared" si="12"/>
        <v>0</v>
      </c>
      <c r="I22" s="475">
        <f t="shared" si="12"/>
        <v>0</v>
      </c>
      <c r="J22" s="475">
        <f t="shared" si="12"/>
        <v>0</v>
      </c>
      <c r="K22" s="475">
        <f t="shared" si="12"/>
        <v>0</v>
      </c>
      <c r="L22" s="475">
        <f t="shared" si="12"/>
        <v>0</v>
      </c>
      <c r="M22" s="475">
        <f t="shared" si="12"/>
        <v>0</v>
      </c>
      <c r="N22" s="475">
        <f t="shared" si="12"/>
        <v>0</v>
      </c>
    </row>
    <row r="23" spans="1:26">
      <c r="A23" s="4" t="s">
        <v>379</v>
      </c>
      <c r="B23" s="4" t="s">
        <v>370</v>
      </c>
      <c r="C23" s="30">
        <f t="shared" ref="C23:N23" si="13">IF(C20&gt;30,0,C21-C22)</f>
        <v>0</v>
      </c>
      <c r="D23" s="30">
        <f t="shared" si="13"/>
        <v>0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</row>
    <row r="24" spans="1:26">
      <c r="A24" s="474" t="s">
        <v>379</v>
      </c>
      <c r="B24" s="474" t="s">
        <v>370</v>
      </c>
      <c r="C24" s="475">
        <f t="shared" ref="C24:N24" si="14">IF(C$20&lt;31,0,IF(C$20&gt;60,0,C$21*(60-C$20))/30)</f>
        <v>0</v>
      </c>
      <c r="D24" s="475">
        <f t="shared" si="14"/>
        <v>0</v>
      </c>
      <c r="E24" s="475">
        <f t="shared" si="14"/>
        <v>0</v>
      </c>
      <c r="F24" s="475">
        <f t="shared" si="14"/>
        <v>0</v>
      </c>
      <c r="G24" s="475">
        <f t="shared" si="14"/>
        <v>0</v>
      </c>
      <c r="H24" s="475">
        <f t="shared" si="14"/>
        <v>0</v>
      </c>
      <c r="I24" s="475">
        <f t="shared" si="14"/>
        <v>0</v>
      </c>
      <c r="J24" s="475">
        <f t="shared" si="14"/>
        <v>0</v>
      </c>
      <c r="K24" s="475">
        <f t="shared" si="14"/>
        <v>0</v>
      </c>
      <c r="L24" s="475">
        <f t="shared" si="14"/>
        <v>0</v>
      </c>
      <c r="M24" s="475">
        <f t="shared" si="14"/>
        <v>0</v>
      </c>
      <c r="N24" s="475">
        <f t="shared" si="14"/>
        <v>0</v>
      </c>
      <c r="Q24" s="4" t="s">
        <v>0</v>
      </c>
    </row>
    <row r="25" spans="1:26">
      <c r="A25" s="4" t="s">
        <v>380</v>
      </c>
      <c r="B25" s="4" t="s">
        <v>371</v>
      </c>
      <c r="C25" s="30">
        <f>IF(C$20&lt;31,0,IF(C$20&gt;60,0,C21-C24))</f>
        <v>0</v>
      </c>
      <c r="D25" s="30">
        <f t="shared" ref="D25:M25" si="15">IF(D$20&lt;31,0,IF(D$20&gt;60,0,D21-D24))</f>
        <v>0</v>
      </c>
      <c r="E25" s="30">
        <f t="shared" si="15"/>
        <v>0</v>
      </c>
      <c r="F25" s="30">
        <f t="shared" si="15"/>
        <v>0</v>
      </c>
      <c r="G25" s="30">
        <f t="shared" si="15"/>
        <v>0</v>
      </c>
      <c r="H25" s="30">
        <f t="shared" si="15"/>
        <v>0</v>
      </c>
      <c r="I25" s="30">
        <f t="shared" si="15"/>
        <v>0</v>
      </c>
      <c r="J25" s="30">
        <f t="shared" si="15"/>
        <v>0</v>
      </c>
      <c r="K25" s="30">
        <f t="shared" si="15"/>
        <v>0</v>
      </c>
      <c r="L25" s="30">
        <f t="shared" si="15"/>
        <v>0</v>
      </c>
      <c r="M25" s="30">
        <f t="shared" si="15"/>
        <v>0</v>
      </c>
      <c r="N25" s="30">
        <f>IF(N$20&lt;31,0,IF(N$20&gt;60,0,N21-N24))</f>
        <v>0</v>
      </c>
      <c r="Q25" s="4"/>
    </row>
    <row r="26" spans="1:26">
      <c r="A26" s="474" t="s">
        <v>380</v>
      </c>
      <c r="B26" s="474" t="s">
        <v>371</v>
      </c>
      <c r="C26" s="475">
        <f t="shared" ref="C26:N26" si="16">IF(C$20&lt;61,0,IF(C$20&gt;90,0,C$21*(90-C$20))/30)</f>
        <v>0</v>
      </c>
      <c r="D26" s="475">
        <f t="shared" si="16"/>
        <v>0</v>
      </c>
      <c r="E26" s="475">
        <f t="shared" si="16"/>
        <v>0</v>
      </c>
      <c r="F26" s="475">
        <f t="shared" si="16"/>
        <v>0</v>
      </c>
      <c r="G26" s="475">
        <f t="shared" si="16"/>
        <v>0</v>
      </c>
      <c r="H26" s="475">
        <f t="shared" si="16"/>
        <v>0</v>
      </c>
      <c r="I26" s="475">
        <f t="shared" si="16"/>
        <v>0</v>
      </c>
      <c r="J26" s="475">
        <f t="shared" si="16"/>
        <v>0</v>
      </c>
      <c r="K26" s="475">
        <f t="shared" si="16"/>
        <v>0</v>
      </c>
      <c r="L26" s="475">
        <f t="shared" si="16"/>
        <v>0</v>
      </c>
      <c r="M26" s="475">
        <f t="shared" si="16"/>
        <v>0</v>
      </c>
      <c r="N26" s="475">
        <f t="shared" si="16"/>
        <v>0</v>
      </c>
      <c r="Q26" s="4"/>
    </row>
    <row r="27" spans="1:26">
      <c r="A27" s="4" t="s">
        <v>381</v>
      </c>
      <c r="B27" s="4" t="s">
        <v>372</v>
      </c>
      <c r="C27" s="30">
        <f>IF(C$20&lt;61,0,IF(C$20&gt;90,0,C21-C26))</f>
        <v>0</v>
      </c>
      <c r="D27" s="30">
        <f t="shared" ref="D27:N27" si="17">IF(D$20&lt;61,0,IF(D$20&gt;90,0,D21-D26))</f>
        <v>0</v>
      </c>
      <c r="E27" s="30">
        <f t="shared" si="17"/>
        <v>0</v>
      </c>
      <c r="F27" s="30">
        <f t="shared" si="17"/>
        <v>0</v>
      </c>
      <c r="G27" s="30">
        <f t="shared" si="17"/>
        <v>0</v>
      </c>
      <c r="H27" s="30">
        <f t="shared" si="17"/>
        <v>0</v>
      </c>
      <c r="I27" s="30">
        <f t="shared" si="17"/>
        <v>0</v>
      </c>
      <c r="J27" s="30">
        <f t="shared" si="17"/>
        <v>0</v>
      </c>
      <c r="K27" s="30">
        <f t="shared" si="17"/>
        <v>0</v>
      </c>
      <c r="L27" s="30">
        <f t="shared" si="17"/>
        <v>0</v>
      </c>
      <c r="M27" s="30">
        <f t="shared" si="17"/>
        <v>0</v>
      </c>
      <c r="N27" s="30">
        <f t="shared" si="17"/>
        <v>0</v>
      </c>
      <c r="Q27" s="4"/>
    </row>
    <row r="28" spans="1:26">
      <c r="A28" s="474" t="s">
        <v>381</v>
      </c>
      <c r="B28" s="474" t="s">
        <v>372</v>
      </c>
      <c r="C28" s="475">
        <f t="shared" ref="C28:N28" si="18">IF(C$20&lt;91,0,IF(C$20&gt;120,0,C$21*(120-C$20))/30)</f>
        <v>0</v>
      </c>
      <c r="D28" s="475">
        <f t="shared" si="18"/>
        <v>0</v>
      </c>
      <c r="E28" s="475">
        <f t="shared" si="18"/>
        <v>0</v>
      </c>
      <c r="F28" s="475">
        <f t="shared" si="18"/>
        <v>0</v>
      </c>
      <c r="G28" s="475">
        <f t="shared" si="18"/>
        <v>0</v>
      </c>
      <c r="H28" s="475">
        <f t="shared" si="18"/>
        <v>0</v>
      </c>
      <c r="I28" s="475">
        <f t="shared" si="18"/>
        <v>0</v>
      </c>
      <c r="J28" s="475">
        <f t="shared" si="18"/>
        <v>0</v>
      </c>
      <c r="K28" s="475">
        <f t="shared" si="18"/>
        <v>0</v>
      </c>
      <c r="L28" s="475">
        <f t="shared" si="18"/>
        <v>0</v>
      </c>
      <c r="M28" s="475">
        <f t="shared" si="18"/>
        <v>0</v>
      </c>
      <c r="N28" s="475">
        <f t="shared" si="18"/>
        <v>0</v>
      </c>
      <c r="Q28" s="4"/>
    </row>
    <row r="29" spans="1:26">
      <c r="A29" s="4" t="s">
        <v>382</v>
      </c>
      <c r="B29" s="4" t="s">
        <v>373</v>
      </c>
      <c r="C29" s="30">
        <f>IF(C$20&lt;91,0,IF(C$20&gt;120,0,C21-C28))</f>
        <v>0</v>
      </c>
      <c r="D29" s="30">
        <f t="shared" ref="D29:N29" si="19">IF(D$20&lt;91,0,IF(D$20&gt;120,0,D21-D28))</f>
        <v>0</v>
      </c>
      <c r="E29" s="30">
        <f t="shared" si="19"/>
        <v>0</v>
      </c>
      <c r="F29" s="30">
        <f t="shared" si="19"/>
        <v>0</v>
      </c>
      <c r="G29" s="30">
        <f t="shared" si="19"/>
        <v>0</v>
      </c>
      <c r="H29" s="30">
        <f t="shared" si="19"/>
        <v>0</v>
      </c>
      <c r="I29" s="30">
        <f t="shared" si="19"/>
        <v>0</v>
      </c>
      <c r="J29" s="30">
        <f t="shared" si="19"/>
        <v>0</v>
      </c>
      <c r="K29" s="30">
        <f t="shared" si="19"/>
        <v>0</v>
      </c>
      <c r="L29" s="30">
        <f t="shared" si="19"/>
        <v>0</v>
      </c>
      <c r="M29" s="30">
        <f t="shared" si="19"/>
        <v>0</v>
      </c>
      <c r="N29" s="30">
        <f t="shared" si="19"/>
        <v>0</v>
      </c>
      <c r="Q29" s="4"/>
    </row>
    <row r="30" spans="1:26">
      <c r="A30" s="474" t="s">
        <v>382</v>
      </c>
      <c r="B30" s="474" t="s">
        <v>373</v>
      </c>
      <c r="C30" s="475">
        <f t="shared" ref="C30:N30" si="20">IF(C$20&lt;121,0,IF(C$20&gt;150,0,C$21*(150-C$20))/30)</f>
        <v>0</v>
      </c>
      <c r="D30" s="475">
        <f t="shared" si="20"/>
        <v>0</v>
      </c>
      <c r="E30" s="475">
        <f t="shared" si="20"/>
        <v>0</v>
      </c>
      <c r="F30" s="475">
        <f t="shared" si="20"/>
        <v>0</v>
      </c>
      <c r="G30" s="475">
        <f t="shared" si="20"/>
        <v>0</v>
      </c>
      <c r="H30" s="475">
        <f t="shared" si="20"/>
        <v>0</v>
      </c>
      <c r="I30" s="475">
        <f t="shared" si="20"/>
        <v>0</v>
      </c>
      <c r="J30" s="475">
        <f t="shared" si="20"/>
        <v>0</v>
      </c>
      <c r="K30" s="475">
        <f t="shared" si="20"/>
        <v>0</v>
      </c>
      <c r="L30" s="475">
        <f t="shared" si="20"/>
        <v>0</v>
      </c>
      <c r="M30" s="475">
        <f t="shared" si="20"/>
        <v>0</v>
      </c>
      <c r="N30" s="475">
        <f t="shared" si="20"/>
        <v>0</v>
      </c>
      <c r="Q30" s="4"/>
    </row>
    <row r="31" spans="1:26">
      <c r="A31" s="4" t="s">
        <v>383</v>
      </c>
      <c r="B31" s="4" t="s">
        <v>374</v>
      </c>
      <c r="C31" s="30">
        <f>IF(C$20&lt;121,0,IF(C$20&gt;150,0,C21-C30))</f>
        <v>0</v>
      </c>
      <c r="D31" s="30">
        <f t="shared" ref="D31:N31" si="21">IF(D$20&lt;121,0,IF(D$20&gt;150,0,D21-D30))</f>
        <v>0</v>
      </c>
      <c r="E31" s="30">
        <f t="shared" si="21"/>
        <v>0</v>
      </c>
      <c r="F31" s="30">
        <f t="shared" si="21"/>
        <v>0</v>
      </c>
      <c r="G31" s="30">
        <f t="shared" si="21"/>
        <v>0</v>
      </c>
      <c r="H31" s="30">
        <f t="shared" si="21"/>
        <v>0</v>
      </c>
      <c r="I31" s="30">
        <f t="shared" si="21"/>
        <v>0</v>
      </c>
      <c r="J31" s="30">
        <f t="shared" si="21"/>
        <v>0</v>
      </c>
      <c r="K31" s="30">
        <f t="shared" si="21"/>
        <v>0</v>
      </c>
      <c r="L31" s="30">
        <f t="shared" si="21"/>
        <v>0</v>
      </c>
      <c r="M31" s="30">
        <f t="shared" si="21"/>
        <v>0</v>
      </c>
      <c r="N31" s="30">
        <f t="shared" si="21"/>
        <v>0</v>
      </c>
      <c r="Q31" s="4"/>
    </row>
    <row r="32" spans="1:26">
      <c r="A32" s="474" t="s">
        <v>383</v>
      </c>
      <c r="B32" s="474" t="s">
        <v>374</v>
      </c>
      <c r="C32" s="475">
        <f t="shared" ref="C32:N32" si="22">IF(C$20&lt;151,0,IF(C$20&gt;180,0,C$21*(180-C$20))/30)</f>
        <v>0</v>
      </c>
      <c r="D32" s="475">
        <f t="shared" si="22"/>
        <v>0</v>
      </c>
      <c r="E32" s="475">
        <f t="shared" si="22"/>
        <v>0</v>
      </c>
      <c r="F32" s="475">
        <f t="shared" si="22"/>
        <v>0</v>
      </c>
      <c r="G32" s="475">
        <f t="shared" si="22"/>
        <v>0</v>
      </c>
      <c r="H32" s="475">
        <f t="shared" si="22"/>
        <v>0</v>
      </c>
      <c r="I32" s="475">
        <f t="shared" si="22"/>
        <v>0</v>
      </c>
      <c r="J32" s="475">
        <f t="shared" si="22"/>
        <v>0</v>
      </c>
      <c r="K32" s="475">
        <f t="shared" si="22"/>
        <v>0</v>
      </c>
      <c r="L32" s="475">
        <f t="shared" si="22"/>
        <v>0</v>
      </c>
      <c r="M32" s="475">
        <f t="shared" si="22"/>
        <v>0</v>
      </c>
      <c r="N32" s="475">
        <f t="shared" si="22"/>
        <v>0</v>
      </c>
      <c r="Q32" s="4"/>
    </row>
    <row r="33" spans="1:17">
      <c r="A33" s="4"/>
      <c r="B33" s="4" t="s">
        <v>376</v>
      </c>
      <c r="C33" s="30">
        <f>IF(C$20&lt;151,0,IF(C$20&gt;180,0,C21-C32))</f>
        <v>0</v>
      </c>
      <c r="D33" s="30">
        <f t="shared" ref="D33:N33" si="23">IF(D$20&lt;151,0,IF(D$20&gt;180,0,D21-D32))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30">
        <f t="shared" si="23"/>
        <v>0</v>
      </c>
      <c r="J33" s="30">
        <f t="shared" si="23"/>
        <v>0</v>
      </c>
      <c r="K33" s="30">
        <f t="shared" si="23"/>
        <v>0</v>
      </c>
      <c r="L33" s="30">
        <f t="shared" si="23"/>
        <v>0</v>
      </c>
      <c r="M33" s="30">
        <f t="shared" si="23"/>
        <v>0</v>
      </c>
      <c r="N33" s="30">
        <f t="shared" si="23"/>
        <v>0</v>
      </c>
      <c r="Q33" s="4"/>
    </row>
    <row r="34" spans="1:17" s="2" customFormat="1">
      <c r="A34" s="28"/>
      <c r="B34" s="28" t="s">
        <v>377</v>
      </c>
      <c r="C34" s="471">
        <f t="shared" ref="C34:N34" si="24">C2</f>
        <v>45658</v>
      </c>
      <c r="D34" s="471">
        <f t="shared" si="24"/>
        <v>45689</v>
      </c>
      <c r="E34" s="471">
        <f t="shared" si="24"/>
        <v>45720</v>
      </c>
      <c r="F34" s="471">
        <f t="shared" si="24"/>
        <v>45751</v>
      </c>
      <c r="G34" s="471">
        <f t="shared" si="24"/>
        <v>45782</v>
      </c>
      <c r="H34" s="471">
        <f t="shared" si="24"/>
        <v>45813</v>
      </c>
      <c r="I34" s="471">
        <f t="shared" si="24"/>
        <v>45844</v>
      </c>
      <c r="J34" s="471">
        <f t="shared" si="24"/>
        <v>45875</v>
      </c>
      <c r="K34" s="471">
        <f t="shared" si="24"/>
        <v>45906</v>
      </c>
      <c r="L34" s="471">
        <f t="shared" si="24"/>
        <v>45937</v>
      </c>
      <c r="M34" s="471">
        <f t="shared" si="24"/>
        <v>45968</v>
      </c>
      <c r="N34" s="471">
        <f t="shared" si="24"/>
        <v>45999</v>
      </c>
      <c r="Q34" s="4"/>
    </row>
    <row r="35" spans="1:17">
      <c r="A35" s="4"/>
      <c r="B35" s="4" t="s">
        <v>396</v>
      </c>
      <c r="C35" s="30">
        <f t="shared" ref="C35:H35" si="25">C22</f>
        <v>0</v>
      </c>
      <c r="D35" s="30">
        <f t="shared" si="25"/>
        <v>0</v>
      </c>
      <c r="E35" s="30">
        <f t="shared" si="25"/>
        <v>0</v>
      </c>
      <c r="F35" s="30">
        <f t="shared" si="25"/>
        <v>0</v>
      </c>
      <c r="G35" s="30">
        <f t="shared" si="25"/>
        <v>0</v>
      </c>
      <c r="H35" s="30">
        <f t="shared" si="25"/>
        <v>0</v>
      </c>
      <c r="I35" s="30">
        <f t="shared" ref="I35:N35" si="26">I22</f>
        <v>0</v>
      </c>
      <c r="J35" s="30">
        <f t="shared" si="26"/>
        <v>0</v>
      </c>
      <c r="K35" s="30">
        <f t="shared" si="26"/>
        <v>0</v>
      </c>
      <c r="L35" s="30">
        <f t="shared" si="26"/>
        <v>0</v>
      </c>
      <c r="M35" s="30">
        <f t="shared" si="26"/>
        <v>0</v>
      </c>
      <c r="N35" s="30">
        <f t="shared" si="26"/>
        <v>0</v>
      </c>
    </row>
    <row r="36" spans="1:17">
      <c r="A36" s="4"/>
      <c r="B36" s="4" t="s">
        <v>370</v>
      </c>
      <c r="C36" s="30"/>
      <c r="D36" s="30">
        <f>C23+C24</f>
        <v>0</v>
      </c>
      <c r="E36" s="30">
        <f>D23+D24</f>
        <v>0</v>
      </c>
      <c r="F36" s="30">
        <f t="shared" ref="F36:M36" si="27">E23+E24</f>
        <v>0</v>
      </c>
      <c r="G36" s="30">
        <f t="shared" si="27"/>
        <v>0</v>
      </c>
      <c r="H36" s="30">
        <f t="shared" si="27"/>
        <v>0</v>
      </c>
      <c r="I36" s="30">
        <f t="shared" si="27"/>
        <v>0</v>
      </c>
      <c r="J36" s="30">
        <f t="shared" si="27"/>
        <v>0</v>
      </c>
      <c r="K36" s="30">
        <f t="shared" si="27"/>
        <v>0</v>
      </c>
      <c r="L36" s="30">
        <f t="shared" si="27"/>
        <v>0</v>
      </c>
      <c r="M36" s="30">
        <f t="shared" si="27"/>
        <v>0</v>
      </c>
      <c r="N36" s="30">
        <f>M23+M24</f>
        <v>0</v>
      </c>
    </row>
    <row r="37" spans="1:17">
      <c r="A37" s="4"/>
      <c r="B37" s="4" t="s">
        <v>371</v>
      </c>
      <c r="C37" s="30"/>
      <c r="D37" s="30"/>
      <c r="E37" s="30">
        <f>C25+C26</f>
        <v>0</v>
      </c>
      <c r="F37" s="30">
        <f t="shared" ref="F37:M37" si="28">D25+D26</f>
        <v>0</v>
      </c>
      <c r="G37" s="30">
        <f t="shared" si="28"/>
        <v>0</v>
      </c>
      <c r="H37" s="30">
        <f t="shared" si="28"/>
        <v>0</v>
      </c>
      <c r="I37" s="30">
        <f t="shared" si="28"/>
        <v>0</v>
      </c>
      <c r="J37" s="30">
        <f t="shared" si="28"/>
        <v>0</v>
      </c>
      <c r="K37" s="30">
        <f t="shared" si="28"/>
        <v>0</v>
      </c>
      <c r="L37" s="30">
        <f t="shared" si="28"/>
        <v>0</v>
      </c>
      <c r="M37" s="30">
        <f t="shared" si="28"/>
        <v>0</v>
      </c>
      <c r="N37" s="30">
        <f>L25+L26</f>
        <v>0</v>
      </c>
    </row>
    <row r="38" spans="1:17">
      <c r="A38" s="4"/>
      <c r="B38" s="4" t="s">
        <v>372</v>
      </c>
      <c r="C38" s="30"/>
      <c r="D38" s="30"/>
      <c r="E38" s="30"/>
      <c r="F38" s="30">
        <f>C27+C28</f>
        <v>0</v>
      </c>
      <c r="G38" s="30">
        <f t="shared" ref="G38:N38" si="29">D27+D28</f>
        <v>0</v>
      </c>
      <c r="H38" s="30">
        <f t="shared" si="29"/>
        <v>0</v>
      </c>
      <c r="I38" s="30">
        <f t="shared" si="29"/>
        <v>0</v>
      </c>
      <c r="J38" s="30">
        <f t="shared" si="29"/>
        <v>0</v>
      </c>
      <c r="K38" s="30">
        <f t="shared" si="29"/>
        <v>0</v>
      </c>
      <c r="L38" s="30">
        <f t="shared" si="29"/>
        <v>0</v>
      </c>
      <c r="M38" s="30">
        <f t="shared" si="29"/>
        <v>0</v>
      </c>
      <c r="N38" s="30">
        <f t="shared" si="29"/>
        <v>0</v>
      </c>
    </row>
    <row r="39" spans="1:17">
      <c r="A39" s="4"/>
      <c r="B39" s="4" t="s">
        <v>373</v>
      </c>
      <c r="C39" s="30"/>
      <c r="D39" s="30"/>
      <c r="E39" s="30"/>
      <c r="F39" s="30"/>
      <c r="G39" s="30">
        <f>C29+C30</f>
        <v>0</v>
      </c>
      <c r="H39" s="30">
        <f t="shared" ref="H39:N39" si="30">D29+D30</f>
        <v>0</v>
      </c>
      <c r="I39" s="30">
        <f t="shared" si="30"/>
        <v>0</v>
      </c>
      <c r="J39" s="30">
        <f t="shared" si="30"/>
        <v>0</v>
      </c>
      <c r="K39" s="30">
        <f t="shared" si="30"/>
        <v>0</v>
      </c>
      <c r="L39" s="30">
        <f t="shared" si="30"/>
        <v>0</v>
      </c>
      <c r="M39" s="30">
        <f t="shared" si="30"/>
        <v>0</v>
      </c>
      <c r="N39" s="30">
        <f t="shared" si="30"/>
        <v>0</v>
      </c>
    </row>
    <row r="40" spans="1:17">
      <c r="A40" s="4"/>
      <c r="B40" s="4" t="s">
        <v>374</v>
      </c>
      <c r="C40" s="30"/>
      <c r="D40" s="30"/>
      <c r="E40" s="30"/>
      <c r="F40" s="30"/>
      <c r="G40" s="30"/>
      <c r="H40" s="30">
        <f>C31+C32</f>
        <v>0</v>
      </c>
      <c r="I40" s="30">
        <f t="shared" ref="I40:N40" si="31">D31+D32</f>
        <v>0</v>
      </c>
      <c r="J40" s="30">
        <f t="shared" si="31"/>
        <v>0</v>
      </c>
      <c r="K40" s="30">
        <f t="shared" si="31"/>
        <v>0</v>
      </c>
      <c r="L40" s="30">
        <f t="shared" si="31"/>
        <v>0</v>
      </c>
      <c r="M40" s="30">
        <f t="shared" si="31"/>
        <v>0</v>
      </c>
      <c r="N40" s="30">
        <f t="shared" si="31"/>
        <v>0</v>
      </c>
    </row>
    <row r="41" spans="1:17">
      <c r="A41" s="4"/>
      <c r="B41" s="4" t="s">
        <v>376</v>
      </c>
      <c r="C41" s="30"/>
      <c r="D41" s="30"/>
      <c r="E41" s="30"/>
      <c r="F41" s="30"/>
      <c r="G41" s="30"/>
      <c r="H41" s="30"/>
      <c r="I41" s="30">
        <f t="shared" ref="I41:N41" si="32">C33</f>
        <v>0</v>
      </c>
      <c r="J41" s="30">
        <f t="shared" si="32"/>
        <v>0</v>
      </c>
      <c r="K41" s="30">
        <f t="shared" si="32"/>
        <v>0</v>
      </c>
      <c r="L41" s="30">
        <f t="shared" si="32"/>
        <v>0</v>
      </c>
      <c r="M41" s="30">
        <f t="shared" si="32"/>
        <v>0</v>
      </c>
      <c r="N41" s="30">
        <f t="shared" si="32"/>
        <v>0</v>
      </c>
    </row>
    <row r="42" spans="1:17" s="2" customFormat="1">
      <c r="A42" s="28"/>
      <c r="B42" s="28" t="s">
        <v>378</v>
      </c>
      <c r="C42" s="473">
        <f>SUM(C35:C41)</f>
        <v>0</v>
      </c>
      <c r="D42" s="473">
        <f t="shared" ref="D42:N42" si="33">SUM(D35:D41)</f>
        <v>0</v>
      </c>
      <c r="E42" s="473">
        <f t="shared" si="33"/>
        <v>0</v>
      </c>
      <c r="F42" s="473">
        <f t="shared" si="33"/>
        <v>0</v>
      </c>
      <c r="G42" s="473">
        <f t="shared" si="33"/>
        <v>0</v>
      </c>
      <c r="H42" s="473">
        <f t="shared" si="33"/>
        <v>0</v>
      </c>
      <c r="I42" s="473">
        <f t="shared" si="33"/>
        <v>0</v>
      </c>
      <c r="J42" s="473">
        <f t="shared" si="33"/>
        <v>0</v>
      </c>
      <c r="K42" s="473">
        <f t="shared" si="33"/>
        <v>0</v>
      </c>
      <c r="L42" s="473">
        <f t="shared" si="33"/>
        <v>0</v>
      </c>
      <c r="M42" s="473">
        <f t="shared" si="33"/>
        <v>0</v>
      </c>
      <c r="N42" s="473">
        <f t="shared" si="33"/>
        <v>0</v>
      </c>
    </row>
    <row r="43" spans="1:1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6loeM2erbdVopAAr5oJHogE3+at52pFeX5USeXQhYvPp3fv5+YIdHmrYnjY3QxTzxGOl7Vd1L7r+nVE8lfrdiQ==" saltValue="115JEDAnAyHmhMVRq7ie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4"/>
  <sheetViews>
    <sheetView showGridLines="0" showZeros="0" defaultGridColor="0" colorId="55" zoomScaleNormal="100" workbookViewId="0">
      <selection activeCell="E12" sqref="E12"/>
    </sheetView>
  </sheetViews>
  <sheetFormatPr defaultRowHeight="12.45"/>
  <cols>
    <col min="2" max="2" width="3.84375" customWidth="1"/>
    <col min="3" max="3" width="4.3046875" customWidth="1"/>
    <col min="4" max="4" width="30.3046875" customWidth="1"/>
    <col min="5" max="5" width="8.4609375" customWidth="1"/>
    <col min="6" max="6" width="5.3046875" style="38" customWidth="1"/>
    <col min="7" max="19" width="9.84375" customWidth="1"/>
    <col min="20" max="20" width="10.69140625" customWidth="1"/>
    <col min="21" max="21" width="10.3046875" style="245" customWidth="1"/>
    <col min="22" max="22" width="9.69140625" style="245" hidden="1" customWidth="1"/>
    <col min="23" max="49" width="9.3046875" hidden="1" customWidth="1"/>
    <col min="50" max="50" width="9.69140625" hidden="1" customWidth="1"/>
  </cols>
  <sheetData>
    <row r="1" spans="1:25" ht="16.399999999999999" customHeight="1"/>
    <row r="2" spans="1:25" ht="15" customHeight="1"/>
    <row r="3" spans="1:25" ht="19.649999999999999" customHeight="1">
      <c r="A3" s="1527" t="s">
        <v>740</v>
      </c>
    </row>
    <row r="4" spans="1:25">
      <c r="I4" s="1767"/>
      <c r="J4" s="1767"/>
    </row>
    <row r="5" spans="1:25" ht="15.75" customHeight="1">
      <c r="B5" s="89" t="s">
        <v>178</v>
      </c>
      <c r="C5" s="98"/>
      <c r="D5" s="99"/>
      <c r="E5" s="2093" t="s">
        <v>328</v>
      </c>
      <c r="F5" s="2093"/>
      <c r="G5" s="2093"/>
      <c r="H5" s="1458">
        <v>1</v>
      </c>
      <c r="I5" s="384"/>
      <c r="J5" s="2103"/>
      <c r="K5" s="2103"/>
      <c r="L5" s="784"/>
      <c r="M5" s="784"/>
      <c r="O5" s="2075" t="s">
        <v>615</v>
      </c>
      <c r="P5" s="2075"/>
      <c r="Q5" s="2075"/>
      <c r="R5" s="98"/>
      <c r="S5" s="98"/>
    </row>
    <row r="6" spans="1:25" ht="10.5" customHeight="1">
      <c r="B6" s="161" t="s">
        <v>685</v>
      </c>
      <c r="C6" s="98"/>
      <c r="D6" s="99"/>
      <c r="E6" s="99"/>
      <c r="F6" s="127"/>
      <c r="G6" s="127"/>
      <c r="H6" s="159"/>
      <c r="I6" s="100"/>
      <c r="J6" s="785" t="s">
        <v>520</v>
      </c>
      <c r="K6" s="786"/>
      <c r="L6" s="786"/>
      <c r="M6" s="786"/>
      <c r="O6" s="160"/>
      <c r="P6" s="160"/>
      <c r="Q6" s="160"/>
      <c r="R6" s="98"/>
      <c r="S6" s="98"/>
    </row>
    <row r="7" spans="1:25" ht="14.15">
      <c r="B7" s="1943">
        <f>'1. T1 INVESTOINTISUUN.'!B7:D7</f>
        <v>0</v>
      </c>
      <c r="C7" s="1943"/>
      <c r="D7" s="1943"/>
      <c r="E7" s="1943"/>
      <c r="G7" s="101"/>
      <c r="H7" s="101"/>
      <c r="I7" s="101"/>
      <c r="J7" s="2098">
        <f>'1. T1 INVESTOINTISUUN.'!B9</f>
        <v>0</v>
      </c>
      <c r="K7" s="2098"/>
      <c r="L7" s="2098"/>
      <c r="M7" s="2098"/>
      <c r="O7" s="2076" t="s">
        <v>167</v>
      </c>
      <c r="P7" s="2076"/>
      <c r="Q7" s="2076"/>
      <c r="R7" s="101"/>
      <c r="S7" s="102"/>
      <c r="U7" s="1727"/>
      <c r="V7" s="1727"/>
      <c r="W7" s="2077"/>
      <c r="X7" s="2077"/>
    </row>
    <row r="8" spans="1:25" ht="10.199999999999999" customHeight="1">
      <c r="B8" s="101"/>
      <c r="C8" s="101"/>
      <c r="G8" s="101"/>
      <c r="H8" s="101"/>
      <c r="I8" s="101"/>
      <c r="J8" s="101"/>
      <c r="K8" s="101"/>
      <c r="L8" s="101"/>
      <c r="M8" s="101"/>
      <c r="N8" s="1255"/>
      <c r="O8" s="1255"/>
      <c r="P8" s="1255"/>
      <c r="Q8" s="101"/>
      <c r="R8" s="101"/>
      <c r="S8" s="102"/>
    </row>
    <row r="9" spans="1:25" ht="16.2" customHeight="1">
      <c r="B9" s="2087" t="s">
        <v>672</v>
      </c>
      <c r="C9" s="2088"/>
      <c r="D9" s="2088"/>
      <c r="E9" s="2089"/>
      <c r="F9" s="1252" t="s">
        <v>166</v>
      </c>
      <c r="G9" s="1268">
        <v>45658</v>
      </c>
      <c r="H9" s="1253">
        <f>G9+31</f>
        <v>45689</v>
      </c>
      <c r="I9" s="1253">
        <f t="shared" ref="I9:R9" si="0">H9+31</f>
        <v>45720</v>
      </c>
      <c r="J9" s="1253">
        <f t="shared" si="0"/>
        <v>45751</v>
      </c>
      <c r="K9" s="1253">
        <f t="shared" si="0"/>
        <v>45782</v>
      </c>
      <c r="L9" s="1253">
        <f t="shared" si="0"/>
        <v>45813</v>
      </c>
      <c r="M9" s="1253">
        <f t="shared" si="0"/>
        <v>45844</v>
      </c>
      <c r="N9" s="1253">
        <f t="shared" si="0"/>
        <v>45875</v>
      </c>
      <c r="O9" s="1253">
        <f t="shared" si="0"/>
        <v>45906</v>
      </c>
      <c r="P9" s="1253">
        <f t="shared" si="0"/>
        <v>45937</v>
      </c>
      <c r="Q9" s="1253">
        <f t="shared" si="0"/>
        <v>45968</v>
      </c>
      <c r="R9" s="1253">
        <f t="shared" si="0"/>
        <v>45999</v>
      </c>
      <c r="S9" s="1258" t="s">
        <v>148</v>
      </c>
    </row>
    <row r="10" spans="1:25" ht="12.65" customHeight="1">
      <c r="B10" s="2099">
        <v>1</v>
      </c>
      <c r="C10" s="2094" t="s">
        <v>726</v>
      </c>
      <c r="D10" s="2095"/>
      <c r="E10" s="2095"/>
      <c r="F10" s="2096"/>
      <c r="G10" s="1256">
        <f>IF(H5=1,'3. T3 TASE '!G49,'3. T3 TASE '!H49)</f>
        <v>0</v>
      </c>
      <c r="H10" s="1257">
        <f>G56</f>
        <v>0</v>
      </c>
      <c r="I10" s="1257">
        <f t="shared" ref="I10:R10" si="1">H56</f>
        <v>0</v>
      </c>
      <c r="J10" s="1257">
        <f t="shared" si="1"/>
        <v>0</v>
      </c>
      <c r="K10" s="1257">
        <f t="shared" si="1"/>
        <v>0</v>
      </c>
      <c r="L10" s="1257">
        <f t="shared" si="1"/>
        <v>0</v>
      </c>
      <c r="M10" s="1257">
        <f t="shared" si="1"/>
        <v>0</v>
      </c>
      <c r="N10" s="1257">
        <f t="shared" si="1"/>
        <v>0</v>
      </c>
      <c r="O10" s="1257">
        <f t="shared" si="1"/>
        <v>0</v>
      </c>
      <c r="P10" s="1257">
        <f t="shared" si="1"/>
        <v>0</v>
      </c>
      <c r="Q10" s="1257">
        <f t="shared" si="1"/>
        <v>0</v>
      </c>
      <c r="R10" s="1257">
        <f t="shared" si="1"/>
        <v>0</v>
      </c>
      <c r="S10" s="1257"/>
    </row>
    <row r="11" spans="1:25" ht="12.65" customHeight="1">
      <c r="B11" s="2012"/>
      <c r="C11" s="2100" t="s">
        <v>727</v>
      </c>
      <c r="D11" s="2101"/>
      <c r="E11" s="2101"/>
      <c r="F11" s="2102"/>
      <c r="G11" s="1475">
        <f>'AT T5 Kassa'!C18</f>
        <v>0</v>
      </c>
      <c r="H11" s="1475">
        <f>'AT T5 Kassa'!D18</f>
        <v>0</v>
      </c>
      <c r="I11" s="1475">
        <f>'AT T5 Kassa'!E18</f>
        <v>0</v>
      </c>
      <c r="J11" s="1475">
        <f>'AT T5 Kassa'!F18</f>
        <v>0</v>
      </c>
      <c r="K11" s="1475">
        <f>'AT T5 Kassa'!G18</f>
        <v>0</v>
      </c>
      <c r="L11" s="1475">
        <f>'AT T5 Kassa'!H18</f>
        <v>0</v>
      </c>
      <c r="M11" s="667"/>
      <c r="N11" s="667"/>
      <c r="O11" s="667"/>
      <c r="P11" s="667"/>
      <c r="Q11" s="667"/>
      <c r="R11" s="667"/>
      <c r="S11" s="668">
        <f>SUM(G11:R11)</f>
        <v>0</v>
      </c>
      <c r="U11" s="760"/>
      <c r="V11" s="760"/>
      <c r="W11" s="140"/>
      <c r="X11" s="140"/>
      <c r="Y11" s="140"/>
    </row>
    <row r="12" spans="1:25" ht="12.65" customHeight="1">
      <c r="A12" s="51"/>
      <c r="B12" s="787">
        <v>2</v>
      </c>
      <c r="C12" s="2044" t="s">
        <v>149</v>
      </c>
      <c r="D12" s="2097"/>
      <c r="E12" s="368">
        <v>0.5</v>
      </c>
      <c r="F12" s="369">
        <v>24</v>
      </c>
      <c r="G12" s="669">
        <f t="shared" ref="G12:R12" si="2">G13*$S12</f>
        <v>0</v>
      </c>
      <c r="H12" s="669">
        <f t="shared" si="2"/>
        <v>0</v>
      </c>
      <c r="I12" s="669">
        <f t="shared" si="2"/>
        <v>0</v>
      </c>
      <c r="J12" s="669">
        <f t="shared" si="2"/>
        <v>0</v>
      </c>
      <c r="K12" s="669">
        <f t="shared" si="2"/>
        <v>0</v>
      </c>
      <c r="L12" s="669">
        <f t="shared" si="2"/>
        <v>0</v>
      </c>
      <c r="M12" s="669">
        <f>M13*$S12</f>
        <v>0</v>
      </c>
      <c r="N12" s="669">
        <f t="shared" si="2"/>
        <v>0</v>
      </c>
      <c r="O12" s="669">
        <f t="shared" si="2"/>
        <v>0</v>
      </c>
      <c r="P12" s="669">
        <f t="shared" si="2"/>
        <v>0</v>
      </c>
      <c r="Q12" s="669">
        <f t="shared" si="2"/>
        <v>0</v>
      </c>
      <c r="R12" s="669">
        <f t="shared" si="2"/>
        <v>0</v>
      </c>
      <c r="S12" s="670">
        <f>IF(H5=2,E12*('6. E2 LIIKEVAIHTO '!$F$10+'6. E2 LIIKEVAIHTO '!$F$13),E12*('6. E2 LIIKEVAIHTO '!$E$10+'6. E2 LIIKEVAIHTO '!$E$13))</f>
        <v>0</v>
      </c>
      <c r="U12" s="142"/>
      <c r="V12" s="142"/>
      <c r="W12" s="140"/>
      <c r="X12" s="140"/>
      <c r="Y12" s="140"/>
    </row>
    <row r="13" spans="1:25" ht="12.65" customHeight="1">
      <c r="B13" s="788"/>
      <c r="C13" s="370"/>
      <c r="D13" s="2045" t="s">
        <v>150</v>
      </c>
      <c r="E13" s="2045"/>
      <c r="F13" s="2046"/>
      <c r="G13" s="671">
        <v>8.3000000000000004E-2</v>
      </c>
      <c r="H13" s="671">
        <f>G13</f>
        <v>8.3000000000000004E-2</v>
      </c>
      <c r="I13" s="671">
        <f t="shared" ref="I13:Q13" si="3">H13</f>
        <v>8.3000000000000004E-2</v>
      </c>
      <c r="J13" s="671">
        <f t="shared" si="3"/>
        <v>8.3000000000000004E-2</v>
      </c>
      <c r="K13" s="671">
        <f t="shared" si="3"/>
        <v>8.3000000000000004E-2</v>
      </c>
      <c r="L13" s="671">
        <f t="shared" si="3"/>
        <v>8.3000000000000004E-2</v>
      </c>
      <c r="M13" s="671">
        <f t="shared" si="3"/>
        <v>8.3000000000000004E-2</v>
      </c>
      <c r="N13" s="671">
        <f t="shared" si="3"/>
        <v>8.3000000000000004E-2</v>
      </c>
      <c r="O13" s="671">
        <f t="shared" si="3"/>
        <v>8.3000000000000004E-2</v>
      </c>
      <c r="P13" s="671">
        <f t="shared" si="3"/>
        <v>8.3000000000000004E-2</v>
      </c>
      <c r="Q13" s="671">
        <f t="shared" si="3"/>
        <v>8.3000000000000004E-2</v>
      </c>
      <c r="R13" s="671">
        <v>8.6999999999999994E-2</v>
      </c>
      <c r="S13" s="672">
        <f>SUM(G13:R13)</f>
        <v>0.99999999999999989</v>
      </c>
      <c r="T13" s="221" t="str">
        <f>IF(E12=0," ",IF(S13=100%," ","VIRHE!"))</f>
        <v xml:space="preserve"> </v>
      </c>
    </row>
    <row r="14" spans="1:25" ht="12.65" customHeight="1">
      <c r="A14" s="51"/>
      <c r="B14" s="788">
        <v>3</v>
      </c>
      <c r="C14" s="2044" t="s">
        <v>151</v>
      </c>
      <c r="D14" s="2045"/>
      <c r="E14" s="2046"/>
      <c r="F14" s="371">
        <v>24</v>
      </c>
      <c r="G14" s="669">
        <f>G15*$S14</f>
        <v>0</v>
      </c>
      <c r="H14" s="669">
        <f>H15*$S14</f>
        <v>0</v>
      </c>
      <c r="I14" s="669">
        <f t="shared" ref="I14:R14" si="4">I15*$S14</f>
        <v>0</v>
      </c>
      <c r="J14" s="669">
        <f t="shared" si="4"/>
        <v>0</v>
      </c>
      <c r="K14" s="669">
        <f t="shared" si="4"/>
        <v>0</v>
      </c>
      <c r="L14" s="669">
        <f t="shared" si="4"/>
        <v>0</v>
      </c>
      <c r="M14" s="669">
        <f t="shared" si="4"/>
        <v>0</v>
      </c>
      <c r="N14" s="669">
        <f t="shared" si="4"/>
        <v>0</v>
      </c>
      <c r="O14" s="669">
        <f t="shared" si="4"/>
        <v>0</v>
      </c>
      <c r="P14" s="669">
        <f t="shared" si="4"/>
        <v>0</v>
      </c>
      <c r="Q14" s="669">
        <f t="shared" si="4"/>
        <v>0</v>
      </c>
      <c r="R14" s="669">
        <f t="shared" si="4"/>
        <v>0</v>
      </c>
      <c r="S14" s="669">
        <f>IF(H5=2,('6. E2 LIIKEVAIHTO '!F10+'6. E2 LIIKEVAIHTO '!F13)-S12,'6. E2 LIIKEVAIHTO '!E10+'6. E2 LIIKEVAIHTO '!E13-S12)</f>
        <v>0</v>
      </c>
      <c r="U14" s="256"/>
      <c r="V14" s="256"/>
    </row>
    <row r="15" spans="1:25" ht="12.65" customHeight="1">
      <c r="A15" s="2"/>
      <c r="B15" s="788"/>
      <c r="C15" s="370"/>
      <c r="D15" s="2045" t="s">
        <v>152</v>
      </c>
      <c r="E15" s="2045"/>
      <c r="F15" s="2046"/>
      <c r="G15" s="673">
        <v>8.3000000000000004E-2</v>
      </c>
      <c r="H15" s="671">
        <f>G15</f>
        <v>8.3000000000000004E-2</v>
      </c>
      <c r="I15" s="671">
        <f t="shared" ref="I15:Q15" si="5">H15</f>
        <v>8.3000000000000004E-2</v>
      </c>
      <c r="J15" s="671">
        <f t="shared" si="5"/>
        <v>8.3000000000000004E-2</v>
      </c>
      <c r="K15" s="671">
        <f t="shared" si="5"/>
        <v>8.3000000000000004E-2</v>
      </c>
      <c r="L15" s="671">
        <f t="shared" si="5"/>
        <v>8.3000000000000004E-2</v>
      </c>
      <c r="M15" s="671">
        <f t="shared" si="5"/>
        <v>8.3000000000000004E-2</v>
      </c>
      <c r="N15" s="671">
        <f t="shared" si="5"/>
        <v>8.3000000000000004E-2</v>
      </c>
      <c r="O15" s="671">
        <f t="shared" si="5"/>
        <v>8.3000000000000004E-2</v>
      </c>
      <c r="P15" s="671">
        <f t="shared" si="5"/>
        <v>8.3000000000000004E-2</v>
      </c>
      <c r="Q15" s="671">
        <f t="shared" si="5"/>
        <v>8.3000000000000004E-2</v>
      </c>
      <c r="R15" s="671">
        <v>8.6999999999999994E-2</v>
      </c>
      <c r="S15" s="672">
        <f>SUM(G15:R15)</f>
        <v>0.99999999999999989</v>
      </c>
      <c r="T15" s="221" t="str">
        <f>IF(E12=100%," ",IF(S15=100%," ","VIRHE!"))</f>
        <v xml:space="preserve"> </v>
      </c>
    </row>
    <row r="16" spans="1:25" ht="12.65" customHeight="1" thickBot="1">
      <c r="A16" s="51"/>
      <c r="B16" s="788"/>
      <c r="C16" s="370"/>
      <c r="D16" s="372" t="s">
        <v>153</v>
      </c>
      <c r="E16" s="373">
        <f>'8. T4 RAHOITUSSUUN. '!H52</f>
        <v>0</v>
      </c>
      <c r="F16" s="374" t="s">
        <v>154</v>
      </c>
      <c r="G16" s="669">
        <f>'AT T5 Kassa'!C42</f>
        <v>0</v>
      </c>
      <c r="H16" s="669">
        <f>'AT T5 Kassa'!D42</f>
        <v>0</v>
      </c>
      <c r="I16" s="669">
        <f>'AT T5 Kassa'!E42</f>
        <v>0</v>
      </c>
      <c r="J16" s="669">
        <f>'AT T5 Kassa'!F42</f>
        <v>0</v>
      </c>
      <c r="K16" s="669">
        <f>'AT T5 Kassa'!G42</f>
        <v>0</v>
      </c>
      <c r="L16" s="669">
        <f>'AT T5 Kassa'!H42</f>
        <v>0</v>
      </c>
      <c r="M16" s="669">
        <f>'AT T5 Kassa'!I42</f>
        <v>0</v>
      </c>
      <c r="N16" s="669">
        <f>'AT T5 Kassa'!J42</f>
        <v>0</v>
      </c>
      <c r="O16" s="669">
        <f>'AT T5 Kassa'!K42</f>
        <v>0</v>
      </c>
      <c r="P16" s="669">
        <f>'AT T5 Kassa'!L42</f>
        <v>0</v>
      </c>
      <c r="Q16" s="669">
        <f>'AT T5 Kassa'!M42</f>
        <v>0</v>
      </c>
      <c r="R16" s="669">
        <f>'AT T5 Kassa'!N42</f>
        <v>0</v>
      </c>
      <c r="S16" s="670">
        <f>SUM(G16:R16)</f>
        <v>0</v>
      </c>
    </row>
    <row r="17" spans="1:49" ht="12.65" customHeight="1">
      <c r="A17" s="51"/>
      <c r="B17" s="788">
        <v>4</v>
      </c>
      <c r="C17" s="2055" t="s">
        <v>442</v>
      </c>
      <c r="D17" s="2056"/>
      <c r="E17" s="2057"/>
      <c r="F17" s="371">
        <v>24</v>
      </c>
      <c r="G17" s="1476">
        <v>0</v>
      </c>
      <c r="H17" s="1476"/>
      <c r="I17" s="1476">
        <v>0</v>
      </c>
      <c r="J17" s="1476">
        <v>0</v>
      </c>
      <c r="K17" s="1476"/>
      <c r="L17" s="1476"/>
      <c r="M17" s="1476"/>
      <c r="N17" s="1476"/>
      <c r="O17" s="1476"/>
      <c r="P17" s="1476">
        <v>0</v>
      </c>
      <c r="Q17" s="1476">
        <v>0</v>
      </c>
      <c r="R17" s="1476">
        <v>0</v>
      </c>
      <c r="S17" s="670">
        <f>SUM(G17:R17)</f>
        <v>0</v>
      </c>
      <c r="U17" s="2031" t="s">
        <v>668</v>
      </c>
      <c r="V17" s="1154"/>
    </row>
    <row r="18" spans="1:49" ht="12.65" customHeight="1" thickBot="1">
      <c r="B18" s="789">
        <v>5</v>
      </c>
      <c r="C18" s="2052" t="s">
        <v>512</v>
      </c>
      <c r="D18" s="2053"/>
      <c r="E18" s="2054"/>
      <c r="F18" s="375"/>
      <c r="G18" s="1477">
        <f>IF($H5=1,'2. &amp; 7. T2 TULOSSUUN. '!$I12/12+'3. T3 TASE '!H36,'2. &amp; 7. T2 TULOSSUUN. '!$K12/12+'3. T3 TASE '!I36)</f>
        <v>0</v>
      </c>
      <c r="H18" s="1477">
        <f>IF($H5=1,'2. &amp; 7. T2 TULOSSUUN. '!$I12/12,'2. &amp; 7. T2 TULOSSUUN. '!$K12/12)</f>
        <v>0</v>
      </c>
      <c r="I18" s="1477">
        <f>IF($H5=1,'2. &amp; 7. T2 TULOSSUUN. '!$I12/12,'2. &amp; 7. T2 TULOSSUUN. '!$K12/12)</f>
        <v>0</v>
      </c>
      <c r="J18" s="1477">
        <f>IF($H5=1,'2. &amp; 7. T2 TULOSSUUN. '!$I12/12,'2. &amp; 7. T2 TULOSSUUN. '!$K12/12)</f>
        <v>0</v>
      </c>
      <c r="K18" s="1477">
        <f>IF($H5=1,'2. &amp; 7. T2 TULOSSUUN. '!$I12/12,'2. &amp; 7. T2 TULOSSUUN. '!$K12/12)</f>
        <v>0</v>
      </c>
      <c r="L18" s="1477">
        <f>IF($H5=1,'2. &amp; 7. T2 TULOSSUUN. '!$I12/12,'2. &amp; 7. T2 TULOSSUUN. '!$K12/12)</f>
        <v>0</v>
      </c>
      <c r="M18" s="1477">
        <f>IF($H5=1,'2. &amp; 7. T2 TULOSSUUN. '!$I12/12+'1. T1 INVESTOINTISUUN.'!D61,'2. &amp; 7. T2 TULOSSUUN. '!$K12/12+'1. T1 INVESTOINTISUUN.'!E61)</f>
        <v>0</v>
      </c>
      <c r="N18" s="1477">
        <f>IF($H5=1,'2. &amp; 7. T2 TULOSSUUN. '!$I12/12,'2. &amp; 7. T2 TULOSSUUN. '!$K12/12)</f>
        <v>0</v>
      </c>
      <c r="O18" s="1477">
        <f>IF($H5=1,'2. &amp; 7. T2 TULOSSUUN. '!$I12/12,'2. &amp; 7. T2 TULOSSUUN. '!$K12/12)</f>
        <v>0</v>
      </c>
      <c r="P18" s="1477">
        <f>IF($H5=1,'2. &amp; 7. T2 TULOSSUUN. '!$I12/12,'2. &amp; 7. T2 TULOSSUUN. '!$K12/12)</f>
        <v>0</v>
      </c>
      <c r="Q18" s="1477">
        <f>IF($H5=1,'2. &amp; 7. T2 TULOSSUUN. '!$I12/12,'2. &amp; 7. T2 TULOSSUUN. '!$K12/12)</f>
        <v>0</v>
      </c>
      <c r="R18" s="1477">
        <f>IF($H5=1,'2. &amp; 7. T2 TULOSSUUN. '!$I12/12,'2. &amp; 7. T2 TULOSSUUN. '!$K12/12)</f>
        <v>0</v>
      </c>
      <c r="S18" s="670">
        <f>SUM(G18:R18)</f>
        <v>0</v>
      </c>
      <c r="U18" s="2032"/>
      <c r="V18" s="1154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</row>
    <row r="19" spans="1:49" ht="16.2" customHeight="1" thickTop="1" thickBot="1">
      <c r="A19" s="51"/>
      <c r="B19" s="774"/>
      <c r="C19" s="2047" t="s">
        <v>671</v>
      </c>
      <c r="D19" s="2048"/>
      <c r="E19" s="2048"/>
      <c r="F19" s="775"/>
      <c r="G19" s="776">
        <f>G12+G16+G18+G17</f>
        <v>0</v>
      </c>
      <c r="H19" s="776">
        <f t="shared" ref="H19:R19" si="6">H12+H16+H18+H17</f>
        <v>0</v>
      </c>
      <c r="I19" s="776">
        <f t="shared" si="6"/>
        <v>0</v>
      </c>
      <c r="J19" s="776">
        <f t="shared" si="6"/>
        <v>0</v>
      </c>
      <c r="K19" s="776">
        <f t="shared" si="6"/>
        <v>0</v>
      </c>
      <c r="L19" s="776">
        <f t="shared" si="6"/>
        <v>0</v>
      </c>
      <c r="M19" s="776">
        <f t="shared" si="6"/>
        <v>0</v>
      </c>
      <c r="N19" s="776">
        <f t="shared" si="6"/>
        <v>0</v>
      </c>
      <c r="O19" s="776">
        <f t="shared" si="6"/>
        <v>0</v>
      </c>
      <c r="P19" s="776">
        <f t="shared" si="6"/>
        <v>0</v>
      </c>
      <c r="Q19" s="776">
        <f t="shared" si="6"/>
        <v>0</v>
      </c>
      <c r="R19" s="776">
        <f t="shared" si="6"/>
        <v>0</v>
      </c>
      <c r="S19" s="777">
        <f>SUM(G19:R19)</f>
        <v>0</v>
      </c>
      <c r="U19" s="2032"/>
      <c r="V19" s="1154"/>
      <c r="W19" s="51"/>
      <c r="X19" s="2040" t="s">
        <v>192</v>
      </c>
      <c r="Y19" s="2040"/>
      <c r="Z19" s="2040"/>
      <c r="AA19" s="2040"/>
      <c r="AB19" s="2040"/>
      <c r="AC19" s="2040"/>
      <c r="AD19" s="2040"/>
      <c r="AE19" s="2040"/>
      <c r="AF19" s="2040"/>
      <c r="AG19" s="2040" t="s">
        <v>649</v>
      </c>
      <c r="AH19" s="2040"/>
      <c r="AI19" s="2040"/>
      <c r="AJ19" s="2040"/>
      <c r="AK19" s="2040"/>
      <c r="AL19" s="2040"/>
      <c r="AM19" s="2040"/>
      <c r="AN19" s="2040" t="s">
        <v>650</v>
      </c>
      <c r="AO19" s="2040"/>
      <c r="AP19" s="2040"/>
      <c r="AQ19" s="2040"/>
      <c r="AR19" s="2040"/>
      <c r="AS19" s="2040"/>
      <c r="AT19" s="2040"/>
      <c r="AU19" s="2013" t="s">
        <v>18</v>
      </c>
      <c r="AV19" s="2013"/>
      <c r="AW19" s="2013"/>
    </row>
    <row r="20" spans="1:49" ht="4.2" customHeight="1" thickTop="1">
      <c r="B20" s="790"/>
      <c r="C20" s="349"/>
      <c r="D20" s="349"/>
      <c r="E20" s="349"/>
      <c r="F20" s="350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5" t="s">
        <v>0</v>
      </c>
      <c r="U20" s="2032"/>
      <c r="V20" s="1154"/>
      <c r="W20" s="51"/>
      <c r="X20" s="539"/>
      <c r="Y20" s="539"/>
      <c r="Z20" s="539"/>
      <c r="AA20" s="539"/>
      <c r="AB20" s="539"/>
      <c r="AC20" s="539"/>
      <c r="AD20" s="1110"/>
      <c r="AE20" s="1110"/>
      <c r="AF20" s="1110"/>
      <c r="AG20" s="539"/>
      <c r="AH20" s="539"/>
      <c r="AI20" s="539"/>
      <c r="AJ20" s="539"/>
      <c r="AK20" s="1110"/>
      <c r="AL20" s="1110"/>
      <c r="AM20" s="1110"/>
      <c r="AN20" s="539"/>
      <c r="AO20" s="539"/>
      <c r="AP20" s="539"/>
      <c r="AQ20" s="539"/>
      <c r="AR20" s="1110"/>
      <c r="AS20" s="1110"/>
      <c r="AT20" s="1110"/>
    </row>
    <row r="21" spans="1:49" ht="16.2" customHeight="1">
      <c r="B21" s="2084" t="s">
        <v>673</v>
      </c>
      <c r="C21" s="2085"/>
      <c r="D21" s="2085"/>
      <c r="E21" s="2086"/>
      <c r="F21" s="1259" t="s">
        <v>165</v>
      </c>
      <c r="G21" s="1260">
        <f>G9</f>
        <v>45658</v>
      </c>
      <c r="H21" s="1260">
        <f t="shared" ref="H21:S21" si="7">+H9</f>
        <v>45689</v>
      </c>
      <c r="I21" s="1260">
        <f t="shared" si="7"/>
        <v>45720</v>
      </c>
      <c r="J21" s="1260">
        <f t="shared" si="7"/>
        <v>45751</v>
      </c>
      <c r="K21" s="1260">
        <f t="shared" si="7"/>
        <v>45782</v>
      </c>
      <c r="L21" s="1260">
        <f t="shared" si="7"/>
        <v>45813</v>
      </c>
      <c r="M21" s="1260">
        <f t="shared" si="7"/>
        <v>45844</v>
      </c>
      <c r="N21" s="1260">
        <f t="shared" si="7"/>
        <v>45875</v>
      </c>
      <c r="O21" s="1260">
        <f t="shared" si="7"/>
        <v>45906</v>
      </c>
      <c r="P21" s="1260">
        <f t="shared" si="7"/>
        <v>45937</v>
      </c>
      <c r="Q21" s="1260">
        <f t="shared" si="7"/>
        <v>45968</v>
      </c>
      <c r="R21" s="1260">
        <f t="shared" si="7"/>
        <v>45999</v>
      </c>
      <c r="S21" s="1261" t="str">
        <f t="shared" si="7"/>
        <v>YHT</v>
      </c>
      <c r="T21" s="1251" t="s">
        <v>635</v>
      </c>
      <c r="U21" s="2033"/>
      <c r="V21" s="1154"/>
      <c r="W21" s="51"/>
      <c r="X21" s="1115"/>
      <c r="Y21" s="1116"/>
      <c r="Z21" s="1117" t="s">
        <v>184</v>
      </c>
      <c r="AA21" s="1118" t="s">
        <v>651</v>
      </c>
      <c r="AB21" s="1118" t="s">
        <v>193</v>
      </c>
      <c r="AC21" s="2014" t="s">
        <v>164</v>
      </c>
      <c r="AD21" s="1119" t="s">
        <v>185</v>
      </c>
      <c r="AE21" s="1119" t="s">
        <v>728</v>
      </c>
      <c r="AF21" s="1120" t="s">
        <v>186</v>
      </c>
      <c r="AG21" s="1117" t="s">
        <v>184</v>
      </c>
      <c r="AH21" s="1118" t="s">
        <v>651</v>
      </c>
      <c r="AI21" s="1118" t="s">
        <v>193</v>
      </c>
      <c r="AJ21" s="2014" t="s">
        <v>164</v>
      </c>
      <c r="AK21" s="1119" t="s">
        <v>185</v>
      </c>
      <c r="AL21" s="1119" t="s">
        <v>728</v>
      </c>
      <c r="AM21" s="1120" t="s">
        <v>186</v>
      </c>
      <c r="AN21" s="1121" t="s">
        <v>184</v>
      </c>
      <c r="AO21" s="1118" t="s">
        <v>651</v>
      </c>
      <c r="AP21" s="1118" t="s">
        <v>193</v>
      </c>
      <c r="AQ21" s="2014" t="s">
        <v>164</v>
      </c>
      <c r="AR21" s="1119" t="s">
        <v>185</v>
      </c>
      <c r="AS21" s="1119" t="s">
        <v>728</v>
      </c>
      <c r="AT21" s="1122" t="s">
        <v>186</v>
      </c>
      <c r="AU21" s="1123" t="s">
        <v>185</v>
      </c>
      <c r="AV21" s="1119" t="s">
        <v>728</v>
      </c>
      <c r="AW21" s="1120" t="s">
        <v>186</v>
      </c>
    </row>
    <row r="22" spans="1:49" ht="12.65" customHeight="1">
      <c r="B22" s="2011">
        <v>6</v>
      </c>
      <c r="C22" s="2049" t="s">
        <v>751</v>
      </c>
      <c r="D22" s="2050"/>
      <c r="E22" s="2051"/>
      <c r="F22" s="1254">
        <v>24</v>
      </c>
      <c r="G22" s="1478">
        <f>IF(($S12+$S14)*$U22=0,0,(G12+G14)/($S12+$S14)*'9. T5 KASSABUDJETTI  '!$U22)</f>
        <v>0</v>
      </c>
      <c r="H22" s="1478">
        <f>IF(($S12+$S14)*$U22=0,0,(H12+H14)/($S12+$S14)*'9. T5 KASSABUDJETTI  '!$U22)</f>
        <v>0</v>
      </c>
      <c r="I22" s="1478">
        <f>IF(($S12+$S14)*$U22=0,0,(I12+I14)/($S12+$S14)*'9. T5 KASSABUDJETTI  '!$U22)</f>
        <v>0</v>
      </c>
      <c r="J22" s="1478">
        <f>IF(($S12+$S14)*$U22=0,0,(J12+J14)/($S12+$S14)*'9. T5 KASSABUDJETTI  '!$U22)</f>
        <v>0</v>
      </c>
      <c r="K22" s="1478">
        <f>IF(($S12+$S14)*$U22=0,0,(K12+K14)/($S12+$S14)*'9. T5 KASSABUDJETTI  '!$U22)</f>
        <v>0</v>
      </c>
      <c r="L22" s="1478">
        <f>IF(($S12+$S14)*$U22=0,0,(L12+L14)/($S12+$S14)*'9. T5 KASSABUDJETTI  '!$U22)</f>
        <v>0</v>
      </c>
      <c r="M22" s="1478">
        <f>IF(($S12+$S14)*$U22=0,0,(M12+M14)/($S12+$S14)*'9. T5 KASSABUDJETTI  '!$U22)</f>
        <v>0</v>
      </c>
      <c r="N22" s="1478">
        <f>IF(($S12+$S14)*$U22=0,0,(N12+N14)/($S12+$S14)*'9. T5 KASSABUDJETTI  '!$U22)</f>
        <v>0</v>
      </c>
      <c r="O22" s="1478">
        <f>IF(($S12+$S14)*$U22=0,0,(O12+O14)/($S12+$S14)*'9. T5 KASSABUDJETTI  '!$U22)</f>
        <v>0</v>
      </c>
      <c r="P22" s="1478">
        <f>IF(($S12+$S14)*$U22=0,0,(P12+P14)/($S12+$S14)*'9. T5 KASSABUDJETTI  '!$U22)</f>
        <v>0</v>
      </c>
      <c r="Q22" s="1478">
        <f>IF(($S12+$S14)*$U22=0,0,(Q12+Q14)/($S12+$S14)*'9. T5 KASSABUDJETTI  '!$U22)</f>
        <v>0</v>
      </c>
      <c r="R22" s="1478">
        <f>IF(($S12+$S14)*$U22=0,0,(R12+R14)/($S12+$S14)*'9. T5 KASSABUDJETTI  '!$U22)</f>
        <v>0</v>
      </c>
      <c r="S22" s="680">
        <f>SUM(G22:R22)</f>
        <v>0</v>
      </c>
      <c r="T22" s="1083">
        <f>U22-S22</f>
        <v>0</v>
      </c>
      <c r="U22" s="988">
        <f>IF(H$5=1,-'2. &amp; 7. T2 TULOSSUUN. '!I15-'2. &amp; 7. T2 TULOSSUUN. '!I15*'9. T5 KASSABUDJETTI  '!F22/100-'1. T1 INVESTOINTISUUN.'!D40,'6. E2 LIIKEVAIHTO '!F11+'6. E2 LIIKEVAIHTO '!F11*'9. T5 KASSABUDJETTI  '!F22/100)</f>
        <v>0</v>
      </c>
      <c r="V22" s="1089"/>
      <c r="W22" s="51"/>
      <c r="X22" s="1124"/>
      <c r="Y22" s="1125"/>
      <c r="Z22" s="1126" t="s">
        <v>187</v>
      </c>
      <c r="AA22" s="1127" t="s">
        <v>188</v>
      </c>
      <c r="AB22" s="1127" t="s">
        <v>194</v>
      </c>
      <c r="AC22" s="2015"/>
      <c r="AD22" s="1128" t="s">
        <v>189</v>
      </c>
      <c r="AE22" s="1128" t="s">
        <v>729</v>
      </c>
      <c r="AF22" s="1129" t="s">
        <v>187</v>
      </c>
      <c r="AG22" s="1126" t="s">
        <v>187</v>
      </c>
      <c r="AH22" s="1127" t="s">
        <v>188</v>
      </c>
      <c r="AI22" s="1127" t="s">
        <v>194</v>
      </c>
      <c r="AJ22" s="2015"/>
      <c r="AK22" s="1128" t="s">
        <v>189</v>
      </c>
      <c r="AL22" s="1128" t="s">
        <v>729</v>
      </c>
      <c r="AM22" s="1129" t="s">
        <v>187</v>
      </c>
      <c r="AN22" s="1130" t="s">
        <v>187</v>
      </c>
      <c r="AO22" s="1127" t="s">
        <v>188</v>
      </c>
      <c r="AP22" s="1127" t="s">
        <v>194</v>
      </c>
      <c r="AQ22" s="2015"/>
      <c r="AR22" s="1128" t="s">
        <v>189</v>
      </c>
      <c r="AS22" s="1128" t="s">
        <v>729</v>
      </c>
      <c r="AT22" s="399" t="s">
        <v>187</v>
      </c>
      <c r="AU22" s="1131" t="s">
        <v>189</v>
      </c>
      <c r="AV22" s="1128" t="s">
        <v>729</v>
      </c>
      <c r="AW22" s="1129" t="s">
        <v>187</v>
      </c>
    </row>
    <row r="23" spans="1:49" ht="12.65" customHeight="1">
      <c r="B23" s="2012"/>
      <c r="C23" s="1315" t="s">
        <v>760</v>
      </c>
      <c r="D23" s="1711"/>
      <c r="E23" s="369">
        <f>'8. T4 RAHOITUSSUUN. '!H57</f>
        <v>0</v>
      </c>
      <c r="F23" s="1715"/>
      <c r="G23" s="1714">
        <f>'AT T5 Kassa'!Q8</f>
        <v>0</v>
      </c>
      <c r="H23" s="1714">
        <f>'AT T5 Kassa'!R8</f>
        <v>0</v>
      </c>
      <c r="I23" s="1714">
        <f>'AT T5 Kassa'!S8</f>
        <v>0</v>
      </c>
      <c r="J23" s="668"/>
      <c r="K23" s="668"/>
      <c r="L23" s="668"/>
      <c r="M23" s="668"/>
      <c r="N23" s="668"/>
      <c r="O23" s="668"/>
      <c r="P23" s="668"/>
      <c r="Q23" s="668"/>
      <c r="R23" s="668"/>
      <c r="S23" s="680">
        <f>SUM(G23:R23)</f>
        <v>0</v>
      </c>
      <c r="T23" s="1723"/>
      <c r="U23" s="1514"/>
      <c r="V23" s="1089"/>
      <c r="W23" s="51"/>
      <c r="X23" s="1124"/>
      <c r="Y23" s="1125"/>
      <c r="Z23" s="1126"/>
      <c r="AA23" s="1127"/>
      <c r="AB23" s="1127"/>
      <c r="AC23" s="1712"/>
      <c r="AD23" s="1713"/>
      <c r="AE23" s="1713"/>
      <c r="AF23" s="1129"/>
      <c r="AG23" s="1126"/>
      <c r="AH23" s="1127"/>
      <c r="AI23" s="1127"/>
      <c r="AJ23" s="1710"/>
      <c r="AK23" s="1128"/>
      <c r="AL23" s="1128"/>
      <c r="AM23" s="1129"/>
      <c r="AN23" s="1130"/>
      <c r="AO23" s="1127"/>
      <c r="AP23" s="1127"/>
      <c r="AQ23" s="1710"/>
      <c r="AR23" s="1128"/>
      <c r="AS23" s="1128"/>
      <c r="AT23" s="399"/>
      <c r="AU23" s="1131"/>
      <c r="AV23" s="1128"/>
      <c r="AW23" s="1129"/>
    </row>
    <row r="24" spans="1:49" ht="12.65" customHeight="1">
      <c r="B24" s="791">
        <f>B22+1</f>
        <v>7</v>
      </c>
      <c r="C24" s="2081" t="s">
        <v>754</v>
      </c>
      <c r="D24" s="2082"/>
      <c r="E24" s="2083"/>
      <c r="F24" s="395">
        <v>0</v>
      </c>
      <c r="G24" s="676">
        <f>IF(H5=1,'1. T1 INVESTOINTISUUN.'!D40,'1. T1 INVESTOINTISUUN.'!E40)</f>
        <v>0</v>
      </c>
      <c r="H24" s="676">
        <v>0</v>
      </c>
      <c r="I24" s="676">
        <v>0</v>
      </c>
      <c r="J24" s="676">
        <v>0</v>
      </c>
      <c r="K24" s="676"/>
      <c r="L24" s="676"/>
      <c r="M24" s="676"/>
      <c r="N24" s="676">
        <v>0</v>
      </c>
      <c r="O24" s="676"/>
      <c r="P24" s="676"/>
      <c r="Q24" s="676"/>
      <c r="R24" s="676"/>
      <c r="S24" s="668">
        <f>SUM(G24:R24)</f>
        <v>0</v>
      </c>
      <c r="T24" s="1721" t="s">
        <v>0</v>
      </c>
      <c r="U24" s="1722"/>
      <c r="V24" s="1089"/>
      <c r="W24" s="51"/>
      <c r="X24" s="1132"/>
      <c r="Y24" s="1133"/>
      <c r="Z24" s="2016" t="s">
        <v>0</v>
      </c>
      <c r="AA24" s="2017"/>
      <c r="AB24" s="1134"/>
      <c r="AC24" s="1135"/>
      <c r="AD24" s="1136">
        <v>1.1599999999999999E-2</v>
      </c>
      <c r="AE24" s="1137">
        <v>0</v>
      </c>
      <c r="AF24" s="1138"/>
      <c r="AG24" s="2016" t="s">
        <v>0</v>
      </c>
      <c r="AH24" s="2017"/>
      <c r="AI24" s="1134">
        <v>0</v>
      </c>
      <c r="AJ24" s="1134"/>
      <c r="AK24" s="1139">
        <f>AD24</f>
        <v>1.1599999999999999E-2</v>
      </c>
      <c r="AL24" s="1140">
        <v>7.9399999999999998E-2</v>
      </c>
      <c r="AM24" s="1138"/>
      <c r="AN24" s="2018" t="s">
        <v>0</v>
      </c>
      <c r="AO24" s="2017"/>
      <c r="AP24" s="1134" t="s">
        <v>0</v>
      </c>
      <c r="AQ24" s="1134"/>
      <c r="AR24" s="1139">
        <f>AD24</f>
        <v>1.1599999999999999E-2</v>
      </c>
      <c r="AS24" s="1139">
        <f>AL24</f>
        <v>7.9399999999999998E-2</v>
      </c>
      <c r="AT24" s="1141"/>
      <c r="AU24" s="1142"/>
      <c r="AV24" s="1143">
        <f>AS24</f>
        <v>7.9399999999999998E-2</v>
      </c>
      <c r="AW24" s="1144"/>
    </row>
    <row r="25" spans="1:49" ht="12.65" customHeight="1">
      <c r="B25" s="791">
        <f t="shared" ref="B25:B43" si="8">B24+1</f>
        <v>8</v>
      </c>
      <c r="C25" s="519" t="s">
        <v>183</v>
      </c>
      <c r="D25" s="520"/>
      <c r="E25" s="521"/>
      <c r="F25" s="395">
        <v>24</v>
      </c>
      <c r="G25" s="676">
        <f>$U25/12</f>
        <v>0</v>
      </c>
      <c r="H25" s="676">
        <f t="shared" ref="H25:R25" si="9">$U25/12</f>
        <v>0</v>
      </c>
      <c r="I25" s="676">
        <f t="shared" si="9"/>
        <v>0</v>
      </c>
      <c r="J25" s="676">
        <f t="shared" si="9"/>
        <v>0</v>
      </c>
      <c r="K25" s="676">
        <f t="shared" si="9"/>
        <v>0</v>
      </c>
      <c r="L25" s="676">
        <f t="shared" si="9"/>
        <v>0</v>
      </c>
      <c r="M25" s="676">
        <f t="shared" si="9"/>
        <v>0</v>
      </c>
      <c r="N25" s="676">
        <f t="shared" si="9"/>
        <v>0</v>
      </c>
      <c r="O25" s="676">
        <f t="shared" si="9"/>
        <v>0</v>
      </c>
      <c r="P25" s="676">
        <f t="shared" si="9"/>
        <v>0</v>
      </c>
      <c r="Q25" s="676">
        <f t="shared" si="9"/>
        <v>0</v>
      </c>
      <c r="R25" s="676">
        <f t="shared" si="9"/>
        <v>0</v>
      </c>
      <c r="S25" s="668">
        <f>SUM(G25:R25)</f>
        <v>0</v>
      </c>
      <c r="T25" s="1083">
        <f t="shared" ref="T25:T41" si="10">U25-S25</f>
        <v>0</v>
      </c>
      <c r="U25" s="988">
        <f>-IF(H$5=1,'2. &amp; 7. T2 TULOSSUUN. '!I16+'2. &amp; 7. T2 TULOSSUUN. '!I16*'9. T5 KASSABUDJETTI  '!F25/100,'2. &amp; 7. T2 TULOSSUUN. '!K16+'2. &amp; 7. T2 TULOSSUUN. '!K16*'9. T5 KASSABUDJETTI  '!F25/100)</f>
        <v>0</v>
      </c>
      <c r="V25" s="1089"/>
      <c r="W25" s="51"/>
      <c r="X25" s="2041" t="s">
        <v>652</v>
      </c>
      <c r="Y25" s="2042"/>
      <c r="Z25" s="890">
        <f>'5. E1 KUSTANNUKSET '!F12</f>
        <v>0</v>
      </c>
      <c r="AA25" s="1145">
        <f>'5. E1 KUSTANNUKSET '!F14*'5. E1 KUSTANNUKSET '!F15</f>
        <v>0</v>
      </c>
      <c r="AB25" s="1145">
        <f>AA25+Z25</f>
        <v>0</v>
      </c>
      <c r="AC25" s="1146">
        <f>'5. E1 KUSTANNUKSET '!F16</f>
        <v>0.28999999999999998</v>
      </c>
      <c r="AD25" s="1147">
        <f>(AC25+AD$24)*AB25</f>
        <v>0</v>
      </c>
      <c r="AE25" s="1137">
        <v>0</v>
      </c>
      <c r="AF25" s="1148">
        <f>Z25-AB25*AC25</f>
        <v>0</v>
      </c>
      <c r="AG25" s="890">
        <f>'5. E1 KUSTANNUKSET '!F17</f>
        <v>0</v>
      </c>
      <c r="AH25" s="1145">
        <f>'5. E1 KUSTANNUKSET '!F22</f>
        <v>0</v>
      </c>
      <c r="AI25" s="1145">
        <f>AH25+AG25</f>
        <v>0</v>
      </c>
      <c r="AJ25" s="1146">
        <f>'5. E1 KUSTANNUKSET '!F23</f>
        <v>0.2</v>
      </c>
      <c r="AK25" s="1147">
        <f>(AJ25+AK$24)*AI25</f>
        <v>0</v>
      </c>
      <c r="AL25" s="1149">
        <f>AL24*AI25</f>
        <v>0</v>
      </c>
      <c r="AM25" s="1148">
        <f>AG25-AI25*AJ25-AL25</f>
        <v>0</v>
      </c>
      <c r="AN25" s="1098">
        <f>'5. E1 KUSTANNUKSET '!F24</f>
        <v>0</v>
      </c>
      <c r="AO25" s="1145">
        <f>'5. E1 KUSTANNUKSET '!F28</f>
        <v>0</v>
      </c>
      <c r="AP25" s="1145">
        <f>AO25+AN25</f>
        <v>0</v>
      </c>
      <c r="AQ25" s="1146">
        <f>'5. E1 KUSTANNUKSET '!F29</f>
        <v>0.27</v>
      </c>
      <c r="AR25" s="1147">
        <f>(AQ25+AR$24)*AP25</f>
        <v>0</v>
      </c>
      <c r="AS25" s="1149">
        <f>AS24*AP25</f>
        <v>0</v>
      </c>
      <c r="AT25" s="1148">
        <f>AN25-AP25*AQ25-AS25</f>
        <v>0</v>
      </c>
      <c r="AU25" s="621">
        <f t="shared" ref="AU25:AW26" si="11">AR25+AK25+AD25</f>
        <v>0</v>
      </c>
      <c r="AV25" s="1150">
        <f t="shared" si="11"/>
        <v>0</v>
      </c>
      <c r="AW25" s="1151">
        <f t="shared" si="11"/>
        <v>0</v>
      </c>
    </row>
    <row r="26" spans="1:49" ht="12.65" customHeight="1">
      <c r="B26" s="791">
        <f t="shared" si="8"/>
        <v>9</v>
      </c>
      <c r="C26" s="2022" t="s">
        <v>460</v>
      </c>
      <c r="D26" s="2065"/>
      <c r="E26" s="2066"/>
      <c r="F26" s="395">
        <v>24</v>
      </c>
      <c r="G26" s="676">
        <v>0</v>
      </c>
      <c r="H26" s="676">
        <v>0</v>
      </c>
      <c r="I26" s="676">
        <v>0</v>
      </c>
      <c r="J26" s="676">
        <v>0</v>
      </c>
      <c r="K26" s="676">
        <v>0</v>
      </c>
      <c r="L26" s="676">
        <v>0</v>
      </c>
      <c r="M26" s="676">
        <v>0</v>
      </c>
      <c r="N26" s="676">
        <v>0</v>
      </c>
      <c r="O26" s="676">
        <v>0</v>
      </c>
      <c r="P26" s="676">
        <v>0</v>
      </c>
      <c r="Q26" s="676">
        <v>0</v>
      </c>
      <c r="R26" s="676"/>
      <c r="S26" s="668">
        <f>SUM(G26:R26)</f>
        <v>0</v>
      </c>
      <c r="T26" s="1084" t="s">
        <v>0</v>
      </c>
      <c r="U26" s="1512"/>
      <c r="V26" s="1089"/>
      <c r="W26" s="51"/>
      <c r="X26" s="2041" t="s">
        <v>653</v>
      </c>
      <c r="Y26" s="2042"/>
      <c r="Z26" s="890">
        <f>'5. E1 KUSTANNUKSET '!H12</f>
        <v>0</v>
      </c>
      <c r="AA26" s="1145">
        <f>'5. E1 KUSTANNUKSET '!H14*'5. E1 KUSTANNUKSET '!H15</f>
        <v>0</v>
      </c>
      <c r="AB26" s="1145">
        <f>AA26+Z26</f>
        <v>0</v>
      </c>
      <c r="AC26" s="1146">
        <f>'5. E1 KUSTANNUKSET '!H16</f>
        <v>0.28999999999999998</v>
      </c>
      <c r="AD26" s="1152">
        <f>(AC26+AD$24)*AB26</f>
        <v>0</v>
      </c>
      <c r="AE26" s="1139">
        <v>0</v>
      </c>
      <c r="AF26" s="1148">
        <f>Z26-AB26*AC26</f>
        <v>0</v>
      </c>
      <c r="AG26" s="890">
        <f>'5. E1 KUSTANNUKSET '!H17</f>
        <v>0</v>
      </c>
      <c r="AH26" s="1145">
        <f>'5. E1 KUSTANNUKSET '!H22</f>
        <v>0</v>
      </c>
      <c r="AI26" s="1145">
        <f>AH26+AG26</f>
        <v>0</v>
      </c>
      <c r="AJ26" s="1146">
        <f>'5. E1 KUSTANNUKSET '!H23</f>
        <v>0.2</v>
      </c>
      <c r="AK26" s="1152">
        <f>(AJ26+AK$24)*AI26</f>
        <v>0</v>
      </c>
      <c r="AL26" s="1149">
        <f>AI26*AL24</f>
        <v>0</v>
      </c>
      <c r="AM26" s="1148">
        <f>AG26-AI26*AJ26-AL26</f>
        <v>0</v>
      </c>
      <c r="AN26" s="1098">
        <f>'5. E1 KUSTANNUKSET '!H24</f>
        <v>0</v>
      </c>
      <c r="AO26" s="1145">
        <f>'5. E1 KUSTANNUKSET '!H28</f>
        <v>0</v>
      </c>
      <c r="AP26" s="1145">
        <f>AO26+AN26</f>
        <v>0</v>
      </c>
      <c r="AQ26" s="1146">
        <f>'5. E1 KUSTANNUKSET '!H29</f>
        <v>0.27</v>
      </c>
      <c r="AR26" s="1152">
        <f>(AQ26+AR$24)*AP26</f>
        <v>0</v>
      </c>
      <c r="AS26" s="1149">
        <f>AP26*AS24</f>
        <v>0</v>
      </c>
      <c r="AT26" s="1148">
        <f>AN26-AP26*AQ26-AS26</f>
        <v>0</v>
      </c>
      <c r="AU26" s="621">
        <f t="shared" si="11"/>
        <v>0</v>
      </c>
      <c r="AV26" s="1150">
        <f t="shared" si="11"/>
        <v>0</v>
      </c>
      <c r="AW26" s="1151">
        <f t="shared" si="11"/>
        <v>0</v>
      </c>
    </row>
    <row r="27" spans="1:49" ht="12.65" customHeight="1">
      <c r="B27" s="791">
        <f t="shared" si="8"/>
        <v>10</v>
      </c>
      <c r="C27" s="2078" t="s">
        <v>511</v>
      </c>
      <c r="D27" s="2079"/>
      <c r="E27" s="2080"/>
      <c r="F27" s="395">
        <v>24</v>
      </c>
      <c r="G27" s="676">
        <f>$U27/12</f>
        <v>0</v>
      </c>
      <c r="H27" s="676">
        <f t="shared" ref="H27:R28" si="12">$U27/12</f>
        <v>0</v>
      </c>
      <c r="I27" s="676">
        <f t="shared" si="12"/>
        <v>0</v>
      </c>
      <c r="J27" s="676">
        <f t="shared" si="12"/>
        <v>0</v>
      </c>
      <c r="K27" s="676">
        <f t="shared" si="12"/>
        <v>0</v>
      </c>
      <c r="L27" s="676">
        <f t="shared" si="12"/>
        <v>0</v>
      </c>
      <c r="M27" s="676">
        <f t="shared" si="12"/>
        <v>0</v>
      </c>
      <c r="N27" s="676">
        <f t="shared" si="12"/>
        <v>0</v>
      </c>
      <c r="O27" s="676">
        <f t="shared" si="12"/>
        <v>0</v>
      </c>
      <c r="P27" s="676">
        <f t="shared" si="12"/>
        <v>0</v>
      </c>
      <c r="Q27" s="676">
        <f t="shared" si="12"/>
        <v>0</v>
      </c>
      <c r="R27" s="676">
        <f t="shared" si="12"/>
        <v>0</v>
      </c>
      <c r="S27" s="668">
        <f t="shared" ref="S27:S37" si="13">SUM(G27:R27)</f>
        <v>0</v>
      </c>
      <c r="T27" s="1083">
        <f t="shared" si="10"/>
        <v>0</v>
      </c>
      <c r="U27" s="988">
        <f>IF(H5=1,'5. E1 KUSTANNUKSET '!F53+'5. E1 KUSTANNUKSET '!F53*F27/100,'5. E1 KUSTANNUKSET '!H53+'5. E1 KUSTANNUKSET '!H53*'9. T5 KASSABUDJETTI  '!F27/100)</f>
        <v>0</v>
      </c>
      <c r="V27" s="1089"/>
      <c r="W27" s="51"/>
      <c r="X27" s="1112"/>
      <c r="Y27" s="168"/>
      <c r="Z27" s="183"/>
      <c r="AA27" s="183"/>
      <c r="AB27" s="183"/>
      <c r="AC27" s="183"/>
      <c r="AD27" s="183"/>
      <c r="AE27" s="183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9" ht="12.65" customHeight="1">
      <c r="B28" s="791">
        <f t="shared" si="8"/>
        <v>11</v>
      </c>
      <c r="C28" s="2022" t="s">
        <v>736</v>
      </c>
      <c r="D28" s="2065"/>
      <c r="E28" s="2066"/>
      <c r="F28" s="395">
        <v>24</v>
      </c>
      <c r="G28" s="676">
        <f>$U28/12</f>
        <v>0</v>
      </c>
      <c r="H28" s="676">
        <f t="shared" si="12"/>
        <v>0</v>
      </c>
      <c r="I28" s="676">
        <f t="shared" si="12"/>
        <v>0</v>
      </c>
      <c r="J28" s="676">
        <f t="shared" si="12"/>
        <v>0</v>
      </c>
      <c r="K28" s="676">
        <f t="shared" si="12"/>
        <v>0</v>
      </c>
      <c r="L28" s="676">
        <f t="shared" si="12"/>
        <v>0</v>
      </c>
      <c r="M28" s="676">
        <f t="shared" si="12"/>
        <v>0</v>
      </c>
      <c r="N28" s="676">
        <f t="shared" si="12"/>
        <v>0</v>
      </c>
      <c r="O28" s="676">
        <f t="shared" si="12"/>
        <v>0</v>
      </c>
      <c r="P28" s="676">
        <f t="shared" si="12"/>
        <v>0</v>
      </c>
      <c r="Q28" s="676">
        <f t="shared" si="12"/>
        <v>0</v>
      </c>
      <c r="R28" s="676">
        <f t="shared" si="12"/>
        <v>0</v>
      </c>
      <c r="S28" s="668">
        <f>SUM(G28:R28)</f>
        <v>0</v>
      </c>
      <c r="T28" s="1083">
        <f t="shared" si="10"/>
        <v>0</v>
      </c>
      <c r="U28" s="988">
        <f>IF(H5=1,'5. E1 KUSTANNUKSET '!F64+'5. E1 KUSTANNUKSET '!F64*'9. T5 KASSABUDJETTI  '!F28/100,'5. E1 KUSTANNUKSET '!H64+'5. E1 KUSTANNUKSET '!H64*'9. T5 KASSABUDJETTI  '!F28/100)</f>
        <v>0</v>
      </c>
      <c r="V28" s="1089"/>
      <c r="W28" s="51"/>
      <c r="X28" s="1112"/>
      <c r="Y28" s="168"/>
      <c r="Z28" s="183"/>
      <c r="AA28" s="183"/>
      <c r="AB28" s="183"/>
      <c r="AC28" s="183"/>
      <c r="AD28" s="183"/>
      <c r="AE28" s="183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9" ht="12.65" customHeight="1">
      <c r="B29" s="791">
        <f t="shared" si="8"/>
        <v>12</v>
      </c>
      <c r="C29" s="2022" t="s">
        <v>628</v>
      </c>
      <c r="D29" s="2065"/>
      <c r="E29" s="2066"/>
      <c r="F29" s="395">
        <v>24</v>
      </c>
      <c r="G29" s="676">
        <f>$U29/12</f>
        <v>0</v>
      </c>
      <c r="H29" s="676">
        <f t="shared" ref="H29:R29" si="14">$U29/12</f>
        <v>0</v>
      </c>
      <c r="I29" s="676">
        <f t="shared" si="14"/>
        <v>0</v>
      </c>
      <c r="J29" s="676">
        <f t="shared" si="14"/>
        <v>0</v>
      </c>
      <c r="K29" s="676">
        <f t="shared" si="14"/>
        <v>0</v>
      </c>
      <c r="L29" s="676">
        <f t="shared" si="14"/>
        <v>0</v>
      </c>
      <c r="M29" s="676">
        <f t="shared" si="14"/>
        <v>0</v>
      </c>
      <c r="N29" s="676">
        <f t="shared" si="14"/>
        <v>0</v>
      </c>
      <c r="O29" s="676">
        <f t="shared" si="14"/>
        <v>0</v>
      </c>
      <c r="P29" s="676">
        <f t="shared" si="14"/>
        <v>0</v>
      </c>
      <c r="Q29" s="676">
        <f t="shared" si="14"/>
        <v>0</v>
      </c>
      <c r="R29" s="676">
        <f t="shared" si="14"/>
        <v>0</v>
      </c>
      <c r="S29" s="668">
        <f t="shared" si="13"/>
        <v>0</v>
      </c>
      <c r="T29" s="1083">
        <f t="shared" si="10"/>
        <v>0</v>
      </c>
      <c r="U29" s="1513">
        <f>IF(H5=1,'AT2 Lainat,sotum., alv-osto'!B95+'AT2 Lainat,sotum., alv-osto'!B95*F29/100,'AT2 Lainat,sotum., alv-osto'!D95+'AT2 Lainat,sotum., alv-osto'!D95*'9. T5 KASSABUDJETTI  '!F29/100)</f>
        <v>0</v>
      </c>
      <c r="V29" s="1155"/>
      <c r="W29" s="51"/>
      <c r="X29" s="1112"/>
      <c r="Y29" s="168"/>
      <c r="Z29" s="183"/>
      <c r="AA29" s="183"/>
      <c r="AB29" s="183"/>
      <c r="AC29" s="183"/>
      <c r="AD29" s="183"/>
      <c r="AE29" s="183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9" ht="12.65" customHeight="1">
      <c r="B30" s="791">
        <f t="shared" si="8"/>
        <v>13</v>
      </c>
      <c r="C30" s="2022" t="s">
        <v>155</v>
      </c>
      <c r="D30" s="2023"/>
      <c r="E30" s="2024"/>
      <c r="F30" s="1503"/>
      <c r="G30" s="677">
        <f>IF(H5=1,'3. T3 TASE '!G88/2,'3. T3 TASE '!H88/2)</f>
        <v>0</v>
      </c>
      <c r="H30" s="677">
        <f>G30</f>
        <v>0</v>
      </c>
      <c r="I30" s="677">
        <f>'AT1 Avustus, alv-laskenta '!K26</f>
        <v>0</v>
      </c>
      <c r="J30" s="677">
        <f>'AT1 Avustus, alv-laskenta '!L26</f>
        <v>0</v>
      </c>
      <c r="K30" s="677">
        <f>'AT1 Avustus, alv-laskenta '!M26</f>
        <v>0</v>
      </c>
      <c r="L30" s="677">
        <f>'AT1 Avustus, alv-laskenta '!N26</f>
        <v>0</v>
      </c>
      <c r="M30" s="677">
        <f>'AT1 Avustus, alv-laskenta '!O26</f>
        <v>0</v>
      </c>
      <c r="N30" s="677">
        <f>'AT1 Avustus, alv-laskenta '!P26</f>
        <v>0</v>
      </c>
      <c r="O30" s="677">
        <f>'AT1 Avustus, alv-laskenta '!Q26</f>
        <v>0</v>
      </c>
      <c r="P30" s="677">
        <f>'AT1 Avustus, alv-laskenta '!R26</f>
        <v>0</v>
      </c>
      <c r="Q30" s="677">
        <f>'AT1 Avustus, alv-laskenta '!S26</f>
        <v>0</v>
      </c>
      <c r="R30" s="677">
        <f>'AT1 Avustus, alv-laskenta '!T26</f>
        <v>0</v>
      </c>
      <c r="S30" s="668">
        <f t="shared" si="13"/>
        <v>0</v>
      </c>
      <c r="T30" s="1085" t="s">
        <v>0</v>
      </c>
      <c r="U30" s="1514"/>
      <c r="V30" s="1089"/>
      <c r="W30" s="51"/>
      <c r="X30" s="1112"/>
      <c r="Y30" s="168"/>
      <c r="Z30" s="183"/>
      <c r="AA30" s="183"/>
      <c r="AB30" s="183"/>
      <c r="AC30" s="183"/>
      <c r="AD30" s="183"/>
      <c r="AE30" s="183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9" ht="12.65" customHeight="1">
      <c r="B31" s="791">
        <f t="shared" si="8"/>
        <v>14</v>
      </c>
      <c r="C31" s="519" t="s">
        <v>156</v>
      </c>
      <c r="D31" s="1317"/>
      <c r="E31" s="1317"/>
      <c r="F31" s="1503"/>
      <c r="G31" s="677">
        <f>IF(H5=1,AW25/12,AW26/12)</f>
        <v>0</v>
      </c>
      <c r="H31" s="677">
        <f>G31</f>
        <v>0</v>
      </c>
      <c r="I31" s="677">
        <f t="shared" ref="I31:R31" si="15">H31</f>
        <v>0</v>
      </c>
      <c r="J31" s="677">
        <f t="shared" si="15"/>
        <v>0</v>
      </c>
      <c r="K31" s="677">
        <f t="shared" si="15"/>
        <v>0</v>
      </c>
      <c r="L31" s="677">
        <f t="shared" si="15"/>
        <v>0</v>
      </c>
      <c r="M31" s="677">
        <f t="shared" si="15"/>
        <v>0</v>
      </c>
      <c r="N31" s="677">
        <f t="shared" si="15"/>
        <v>0</v>
      </c>
      <c r="O31" s="677">
        <f t="shared" si="15"/>
        <v>0</v>
      </c>
      <c r="P31" s="677">
        <f t="shared" si="15"/>
        <v>0</v>
      </c>
      <c r="Q31" s="677">
        <f t="shared" si="15"/>
        <v>0</v>
      </c>
      <c r="R31" s="677">
        <f t="shared" si="15"/>
        <v>0</v>
      </c>
      <c r="S31" s="668">
        <f t="shared" si="13"/>
        <v>0</v>
      </c>
      <c r="T31" s="1086" t="s">
        <v>0</v>
      </c>
      <c r="U31" s="1515"/>
      <c r="V31" s="1087"/>
      <c r="W31" s="51"/>
      <c r="X31" s="1112"/>
      <c r="Y31" s="168"/>
      <c r="Z31" s="183"/>
      <c r="AA31" s="183"/>
      <c r="AB31" s="183"/>
      <c r="AC31" s="183"/>
      <c r="AD31" s="183"/>
      <c r="AE31" s="183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9" ht="12.65" customHeight="1">
      <c r="B32" s="791">
        <f t="shared" si="8"/>
        <v>15</v>
      </c>
      <c r="C32" s="1315" t="s">
        <v>658</v>
      </c>
      <c r="D32" s="441"/>
      <c r="E32" s="441"/>
      <c r="F32" s="1503"/>
      <c r="G32" s="677">
        <f>IF(H5=1,'3. T3 TASE '!H85+'3. T3 TASE '!H87,'3. T3 TASE '!I85+'3. T3 TASE '!I87)</f>
        <v>0</v>
      </c>
      <c r="H32" s="677">
        <f>IF(H5=1,AU25/12,AU26/12)</f>
        <v>0</v>
      </c>
      <c r="I32" s="677">
        <f>H32</f>
        <v>0</v>
      </c>
      <c r="J32" s="677">
        <f t="shared" ref="J32:R32" si="16">I32</f>
        <v>0</v>
      </c>
      <c r="K32" s="677">
        <f t="shared" si="16"/>
        <v>0</v>
      </c>
      <c r="L32" s="677">
        <f t="shared" si="16"/>
        <v>0</v>
      </c>
      <c r="M32" s="677">
        <f t="shared" si="16"/>
        <v>0</v>
      </c>
      <c r="N32" s="677">
        <f t="shared" si="16"/>
        <v>0</v>
      </c>
      <c r="O32" s="677">
        <f t="shared" si="16"/>
        <v>0</v>
      </c>
      <c r="P32" s="677">
        <f t="shared" si="16"/>
        <v>0</v>
      </c>
      <c r="Q32" s="677">
        <f t="shared" si="16"/>
        <v>0</v>
      </c>
      <c r="R32" s="677">
        <f t="shared" si="16"/>
        <v>0</v>
      </c>
      <c r="S32" s="668">
        <f t="shared" si="13"/>
        <v>0</v>
      </c>
      <c r="T32" s="1086" t="s">
        <v>0</v>
      </c>
      <c r="U32" s="1515"/>
      <c r="V32" s="1087"/>
      <c r="W32" s="51"/>
      <c r="X32" s="1112"/>
      <c r="Y32" s="168"/>
      <c r="Z32" s="183"/>
      <c r="AA32" s="183"/>
      <c r="AB32" s="183"/>
      <c r="AC32" s="183"/>
      <c r="AD32" s="183"/>
      <c r="AE32" s="183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2:40" ht="12.65" customHeight="1">
      <c r="B33" s="791">
        <f t="shared" si="8"/>
        <v>16</v>
      </c>
      <c r="C33" s="519" t="s">
        <v>491</v>
      </c>
      <c r="D33" s="520"/>
      <c r="E33" s="521"/>
      <c r="F33" s="1368">
        <v>25.8</v>
      </c>
      <c r="G33" s="677">
        <f>IF(H5=1,($F33%*'5. E1 KUSTANNUKSET '!F35)/12,(F33%*'5. E1 KUSTANNUKSET '!H35)/12)</f>
        <v>0</v>
      </c>
      <c r="H33" s="677">
        <f>G33</f>
        <v>0</v>
      </c>
      <c r="I33" s="677">
        <f t="shared" ref="I33:R34" si="17">H33</f>
        <v>0</v>
      </c>
      <c r="J33" s="677">
        <f t="shared" si="17"/>
        <v>0</v>
      </c>
      <c r="K33" s="677">
        <f t="shared" si="17"/>
        <v>0</v>
      </c>
      <c r="L33" s="677">
        <f t="shared" si="17"/>
        <v>0</v>
      </c>
      <c r="M33" s="677">
        <f t="shared" si="17"/>
        <v>0</v>
      </c>
      <c r="N33" s="677">
        <f t="shared" si="17"/>
        <v>0</v>
      </c>
      <c r="O33" s="677">
        <f t="shared" si="17"/>
        <v>0</v>
      </c>
      <c r="P33" s="677">
        <f t="shared" si="17"/>
        <v>0</v>
      </c>
      <c r="Q33" s="677">
        <f t="shared" si="17"/>
        <v>0</v>
      </c>
      <c r="R33" s="677">
        <f t="shared" si="17"/>
        <v>0</v>
      </c>
      <c r="S33" s="668">
        <f t="shared" si="13"/>
        <v>0</v>
      </c>
      <c r="T33" s="1086" t="s">
        <v>0</v>
      </c>
      <c r="U33" s="1515"/>
      <c r="V33" s="1087"/>
      <c r="W33" s="51"/>
      <c r="X33" s="1112"/>
      <c r="Y33" s="168"/>
      <c r="Z33" s="183"/>
      <c r="AA33" s="183"/>
      <c r="AB33" s="183"/>
      <c r="AC33" s="183"/>
      <c r="AD33" s="183"/>
      <c r="AE33" s="183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2:40" ht="12.65" customHeight="1">
      <c r="B34" s="791">
        <f t="shared" si="8"/>
        <v>17</v>
      </c>
      <c r="C34" s="2019" t="s">
        <v>313</v>
      </c>
      <c r="D34" s="2020"/>
      <c r="E34" s="2021"/>
      <c r="F34" s="1369">
        <v>26.5</v>
      </c>
      <c r="G34" s="677">
        <f>$F34/100*IF(H5=1,AI25/12+AP25/12,AI26/12+AP26/12)</f>
        <v>0</v>
      </c>
      <c r="H34" s="677">
        <f>G34</f>
        <v>0</v>
      </c>
      <c r="I34" s="677">
        <f t="shared" si="17"/>
        <v>0</v>
      </c>
      <c r="J34" s="677">
        <f t="shared" si="17"/>
        <v>0</v>
      </c>
      <c r="K34" s="677">
        <f t="shared" si="17"/>
        <v>0</v>
      </c>
      <c r="L34" s="677">
        <f t="shared" si="17"/>
        <v>0</v>
      </c>
      <c r="M34" s="677">
        <f t="shared" si="17"/>
        <v>0</v>
      </c>
      <c r="N34" s="677">
        <f t="shared" si="17"/>
        <v>0</v>
      </c>
      <c r="O34" s="677">
        <f t="shared" si="17"/>
        <v>0</v>
      </c>
      <c r="P34" s="677">
        <f t="shared" si="17"/>
        <v>0</v>
      </c>
      <c r="Q34" s="677">
        <f t="shared" si="17"/>
        <v>0</v>
      </c>
      <c r="R34" s="677">
        <f>Q34</f>
        <v>0</v>
      </c>
      <c r="S34" s="668">
        <f t="shared" si="13"/>
        <v>0</v>
      </c>
      <c r="T34" s="1088" t="s">
        <v>0</v>
      </c>
      <c r="U34" s="1516"/>
      <c r="V34" s="1087"/>
      <c r="W34" s="51"/>
      <c r="X34" s="1112"/>
      <c r="Y34" s="168"/>
      <c r="Z34" s="183"/>
      <c r="AA34" s="183"/>
      <c r="AB34" s="183"/>
      <c r="AC34" s="183"/>
      <c r="AD34" s="183"/>
      <c r="AE34" s="183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2:40" ht="12.65" customHeight="1">
      <c r="B35" s="791">
        <f t="shared" si="8"/>
        <v>18</v>
      </c>
      <c r="C35" s="1517" t="s">
        <v>492</v>
      </c>
      <c r="D35" s="1316"/>
      <c r="E35" s="1316"/>
      <c r="F35" s="1503"/>
      <c r="G35" s="676">
        <f>$U35/12</f>
        <v>0</v>
      </c>
      <c r="H35" s="676">
        <f>$U35/12</f>
        <v>0</v>
      </c>
      <c r="I35" s="676">
        <f t="shared" ref="I35:R35" si="18">$U35/12</f>
        <v>0</v>
      </c>
      <c r="J35" s="676">
        <f t="shared" si="18"/>
        <v>0</v>
      </c>
      <c r="K35" s="676">
        <f t="shared" si="18"/>
        <v>0</v>
      </c>
      <c r="L35" s="676">
        <f t="shared" si="18"/>
        <v>0</v>
      </c>
      <c r="M35" s="676">
        <f t="shared" si="18"/>
        <v>0</v>
      </c>
      <c r="N35" s="676">
        <f t="shared" si="18"/>
        <v>0</v>
      </c>
      <c r="O35" s="676">
        <f t="shared" si="18"/>
        <v>0</v>
      </c>
      <c r="P35" s="676">
        <f t="shared" si="18"/>
        <v>0</v>
      </c>
      <c r="Q35" s="676">
        <f t="shared" si="18"/>
        <v>0</v>
      </c>
      <c r="R35" s="676">
        <f t="shared" si="18"/>
        <v>0</v>
      </c>
      <c r="S35" s="668">
        <f t="shared" si="13"/>
        <v>0</v>
      </c>
      <c r="T35" s="1083">
        <f t="shared" si="10"/>
        <v>0</v>
      </c>
      <c r="U35" s="988">
        <f>IF(H5=1,'5. E1 KUSTANNUKSET '!F43+'5. E1 KUSTANNUKSET '!F38+'5. E1 KUSTANNUKSET '!F42,'5. E1 KUSTANNUKSET '!H38+'5. E1 KUSTANNUKSET '!H43+'5. E1 KUSTANNUKSET '!H42)</f>
        <v>0</v>
      </c>
      <c r="V35" s="1089"/>
      <c r="W35" s="51"/>
      <c r="X35" s="1153">
        <v>0</v>
      </c>
      <c r="Y35" s="168"/>
      <c r="Z35" s="183"/>
      <c r="AA35" s="183"/>
      <c r="AB35" s="183"/>
      <c r="AC35" s="183"/>
      <c r="AD35" s="183"/>
      <c r="AE35" s="183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2:40" ht="12.65" customHeight="1">
      <c r="B36" s="791">
        <f t="shared" si="8"/>
        <v>19</v>
      </c>
      <c r="C36" s="1318" t="s">
        <v>509</v>
      </c>
      <c r="D36" s="1363"/>
      <c r="E36" s="1363"/>
      <c r="F36" s="1503"/>
      <c r="G36" s="676">
        <f>$U36/12</f>
        <v>0</v>
      </c>
      <c r="H36" s="676">
        <f t="shared" ref="H36:R36" si="19">$U36/12</f>
        <v>0</v>
      </c>
      <c r="I36" s="676">
        <f t="shared" si="19"/>
        <v>0</v>
      </c>
      <c r="J36" s="676">
        <f t="shared" si="19"/>
        <v>0</v>
      </c>
      <c r="K36" s="676">
        <f t="shared" si="19"/>
        <v>0</v>
      </c>
      <c r="L36" s="676">
        <f t="shared" si="19"/>
        <v>0</v>
      </c>
      <c r="M36" s="676">
        <f t="shared" si="19"/>
        <v>0</v>
      </c>
      <c r="N36" s="676">
        <f t="shared" si="19"/>
        <v>0</v>
      </c>
      <c r="O36" s="676">
        <f t="shared" si="19"/>
        <v>0</v>
      </c>
      <c r="P36" s="676">
        <f t="shared" si="19"/>
        <v>0</v>
      </c>
      <c r="Q36" s="676">
        <f t="shared" si="19"/>
        <v>0</v>
      </c>
      <c r="R36" s="676">
        <f t="shared" si="19"/>
        <v>0</v>
      </c>
      <c r="S36" s="668">
        <f t="shared" si="13"/>
        <v>0</v>
      </c>
      <c r="T36" s="1083">
        <f t="shared" si="10"/>
        <v>0</v>
      </c>
      <c r="U36" s="988">
        <f>IF(H$5=1,'5. E1 KUSTANNUKSET '!F121,'5. E1 KUSTANNUKSET '!H121)</f>
        <v>0</v>
      </c>
      <c r="V36" s="1089"/>
      <c r="W36" s="51"/>
      <c r="X36" s="1112"/>
      <c r="Y36" s="168"/>
      <c r="Z36" s="183"/>
      <c r="AA36" s="183"/>
      <c r="AB36" s="183"/>
      <c r="AC36" s="183"/>
      <c r="AD36" s="183"/>
      <c r="AE36" s="183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2:40" ht="12.65" customHeight="1">
      <c r="B37" s="791">
        <f t="shared" si="8"/>
        <v>20</v>
      </c>
      <c r="C37" s="519" t="s">
        <v>510</v>
      </c>
      <c r="D37" s="1317"/>
      <c r="E37" s="1317"/>
      <c r="F37" s="1503"/>
      <c r="G37" s="676">
        <f>$U37/12</f>
        <v>0</v>
      </c>
      <c r="H37" s="676">
        <f t="shared" ref="H37:R39" si="20">$U37/12</f>
        <v>0</v>
      </c>
      <c r="I37" s="676">
        <f t="shared" si="20"/>
        <v>0</v>
      </c>
      <c r="J37" s="676">
        <f t="shared" si="20"/>
        <v>0</v>
      </c>
      <c r="K37" s="676">
        <f t="shared" si="20"/>
        <v>0</v>
      </c>
      <c r="L37" s="676">
        <f t="shared" si="20"/>
        <v>0</v>
      </c>
      <c r="M37" s="676">
        <f t="shared" si="20"/>
        <v>0</v>
      </c>
      <c r="N37" s="676">
        <f t="shared" si="20"/>
        <v>0</v>
      </c>
      <c r="O37" s="676">
        <f t="shared" si="20"/>
        <v>0</v>
      </c>
      <c r="P37" s="676">
        <f t="shared" si="20"/>
        <v>0</v>
      </c>
      <c r="Q37" s="676">
        <f t="shared" si="20"/>
        <v>0</v>
      </c>
      <c r="R37" s="676">
        <f t="shared" si="20"/>
        <v>0</v>
      </c>
      <c r="S37" s="668">
        <f t="shared" si="13"/>
        <v>0</v>
      </c>
      <c r="T37" s="1083">
        <f t="shared" si="10"/>
        <v>0</v>
      </c>
      <c r="U37" s="988">
        <f>IF(H$5=1,'AT2 Lainat,sotum., alv-osto'!B97,'AT2 Lainat,sotum., alv-osto'!D97)</f>
        <v>0</v>
      </c>
      <c r="V37" s="1089"/>
      <c r="W37" s="51"/>
      <c r="X37" s="167"/>
      <c r="Y37" s="1113"/>
      <c r="Z37" s="183"/>
      <c r="AA37" s="183"/>
      <c r="AB37" s="183"/>
      <c r="AC37" s="183"/>
      <c r="AD37" s="183"/>
      <c r="AE37" s="183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2:40" ht="12.65" customHeight="1">
      <c r="B38" s="791">
        <f t="shared" si="8"/>
        <v>21</v>
      </c>
      <c r="C38" s="2022" t="s">
        <v>160</v>
      </c>
      <c r="D38" s="2023"/>
      <c r="E38" s="2024"/>
      <c r="F38" s="1503"/>
      <c r="G38" s="676">
        <f>$U38/12</f>
        <v>0</v>
      </c>
      <c r="H38" s="676">
        <f t="shared" si="20"/>
        <v>0</v>
      </c>
      <c r="I38" s="676">
        <f t="shared" si="20"/>
        <v>0</v>
      </c>
      <c r="J38" s="676">
        <f t="shared" si="20"/>
        <v>0</v>
      </c>
      <c r="K38" s="676">
        <f t="shared" si="20"/>
        <v>0</v>
      </c>
      <c r="L38" s="676">
        <f t="shared" si="20"/>
        <v>0</v>
      </c>
      <c r="M38" s="676">
        <f t="shared" si="20"/>
        <v>0</v>
      </c>
      <c r="N38" s="676">
        <f t="shared" si="20"/>
        <v>0</v>
      </c>
      <c r="O38" s="676">
        <f t="shared" si="20"/>
        <v>0</v>
      </c>
      <c r="P38" s="676">
        <f t="shared" si="20"/>
        <v>0</v>
      </c>
      <c r="Q38" s="676">
        <f t="shared" si="20"/>
        <v>0</v>
      </c>
      <c r="R38" s="676">
        <f t="shared" si="20"/>
        <v>0</v>
      </c>
      <c r="S38" s="668">
        <f t="shared" ref="S38:S43" si="21">SUM(G38:R38)</f>
        <v>0</v>
      </c>
      <c r="T38" s="1083">
        <f t="shared" si="10"/>
        <v>0</v>
      </c>
      <c r="U38" s="988">
        <f>IF(H5=1,'4. T7 LAINAT '!H18+'4. T7 LAINAT '!H39,'4. T7 LAINAT '!K18+'4. T7 LAINAT '!K39)</f>
        <v>0</v>
      </c>
      <c r="V38" s="1089"/>
      <c r="W38" s="51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2:40" ht="12.65" customHeight="1">
      <c r="B39" s="791">
        <f t="shared" si="8"/>
        <v>22</v>
      </c>
      <c r="C39" s="519" t="s">
        <v>157</v>
      </c>
      <c r="D39" s="1317"/>
      <c r="E39" s="1317"/>
      <c r="F39" s="1503"/>
      <c r="G39" s="676">
        <f>$U39/12</f>
        <v>0</v>
      </c>
      <c r="H39" s="676">
        <f t="shared" si="20"/>
        <v>0</v>
      </c>
      <c r="I39" s="676">
        <f t="shared" si="20"/>
        <v>0</v>
      </c>
      <c r="J39" s="676">
        <f t="shared" si="20"/>
        <v>0</v>
      </c>
      <c r="K39" s="676">
        <f t="shared" si="20"/>
        <v>0</v>
      </c>
      <c r="L39" s="676">
        <f t="shared" si="20"/>
        <v>0</v>
      </c>
      <c r="M39" s="676">
        <f t="shared" si="20"/>
        <v>0</v>
      </c>
      <c r="N39" s="676">
        <f t="shared" si="20"/>
        <v>0</v>
      </c>
      <c r="O39" s="676">
        <f t="shared" si="20"/>
        <v>0</v>
      </c>
      <c r="P39" s="676">
        <f t="shared" si="20"/>
        <v>0</v>
      </c>
      <c r="Q39" s="676">
        <f t="shared" si="20"/>
        <v>0</v>
      </c>
      <c r="R39" s="676">
        <f t="shared" si="20"/>
        <v>0</v>
      </c>
      <c r="S39" s="668">
        <f t="shared" si="21"/>
        <v>0</v>
      </c>
      <c r="T39" s="1083">
        <f t="shared" si="10"/>
        <v>0</v>
      </c>
      <c r="U39" s="988">
        <f>-IF(H5=1,'2. &amp; 7. T2 TULOSSUUN. '!I27,'2. &amp; 7. T2 TULOSSUUN. '!K27)</f>
        <v>0</v>
      </c>
      <c r="V39" s="1089"/>
      <c r="W39" s="51"/>
      <c r="X39" s="2025"/>
      <c r="Y39" s="2026"/>
      <c r="Z39" s="2027"/>
      <c r="AA39" s="2027"/>
      <c r="AB39" s="2027"/>
      <c r="AC39" s="2027"/>
      <c r="AD39" s="2027"/>
      <c r="AE39" s="2027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2:40" ht="12.65" customHeight="1">
      <c r="B40" s="791">
        <f t="shared" si="8"/>
        <v>23</v>
      </c>
      <c r="C40" s="519" t="s">
        <v>344</v>
      </c>
      <c r="D40" s="1317"/>
      <c r="E40" s="1317"/>
      <c r="F40" s="1503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668">
        <f>SUM(G40:R40)</f>
        <v>0</v>
      </c>
      <c r="T40" s="1084" t="s">
        <v>0</v>
      </c>
      <c r="U40" s="1514"/>
      <c r="V40" s="1089"/>
      <c r="W40" s="51"/>
      <c r="X40" s="2025"/>
      <c r="Y40" s="2026"/>
      <c r="Z40" s="2027"/>
      <c r="AA40" s="2027"/>
      <c r="AB40" s="2027"/>
      <c r="AC40" s="2027"/>
      <c r="AD40" s="2027"/>
      <c r="AE40" s="2027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2:40" ht="12.65" customHeight="1">
      <c r="B41" s="791">
        <f t="shared" si="8"/>
        <v>24</v>
      </c>
      <c r="C41" s="519" t="s">
        <v>514</v>
      </c>
      <c r="D41" s="1317"/>
      <c r="E41" s="1317"/>
      <c r="F41" s="1503"/>
      <c r="G41" s="676">
        <f>$U41/12</f>
        <v>0</v>
      </c>
      <c r="H41" s="676">
        <f t="shared" ref="H41:R41" si="22">$U41/12</f>
        <v>0</v>
      </c>
      <c r="I41" s="676">
        <f t="shared" si="22"/>
        <v>0</v>
      </c>
      <c r="J41" s="676">
        <f t="shared" si="22"/>
        <v>0</v>
      </c>
      <c r="K41" s="676">
        <f t="shared" si="22"/>
        <v>0</v>
      </c>
      <c r="L41" s="676">
        <f t="shared" si="22"/>
        <v>0</v>
      </c>
      <c r="M41" s="676">
        <f t="shared" si="22"/>
        <v>0</v>
      </c>
      <c r="N41" s="676">
        <f>$U41/12</f>
        <v>0</v>
      </c>
      <c r="O41" s="676">
        <f t="shared" si="22"/>
        <v>0</v>
      </c>
      <c r="P41" s="676">
        <f t="shared" si="22"/>
        <v>0</v>
      </c>
      <c r="Q41" s="676">
        <f t="shared" si="22"/>
        <v>0</v>
      </c>
      <c r="R41" s="676">
        <f t="shared" si="22"/>
        <v>0</v>
      </c>
      <c r="S41" s="668">
        <f>SUM(G41:R41)</f>
        <v>0</v>
      </c>
      <c r="T41" s="1083">
        <f t="shared" si="10"/>
        <v>0</v>
      </c>
      <c r="U41" s="988">
        <f>IF(H5=1,'5. E1 KUSTANNUKSET '!F119,'5. E1 KUSTANNUKSET '!H119)</f>
        <v>0</v>
      </c>
      <c r="V41" s="1089"/>
      <c r="W41" s="51"/>
      <c r="X41" s="2026"/>
      <c r="Y41" s="2026"/>
      <c r="Z41" s="2027"/>
      <c r="AA41" s="2027"/>
      <c r="AB41" s="2027"/>
      <c r="AC41" s="2027"/>
      <c r="AD41" s="2027"/>
      <c r="AE41" s="2027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2:40" ht="12.65" customHeight="1">
      <c r="B42" s="791">
        <f t="shared" si="8"/>
        <v>25</v>
      </c>
      <c r="C42" s="2034" t="s">
        <v>732</v>
      </c>
      <c r="D42" s="2035"/>
      <c r="E42" s="2036"/>
      <c r="F42" s="1503"/>
      <c r="G42" s="676"/>
      <c r="H42" s="676"/>
      <c r="I42" s="676"/>
      <c r="J42" s="676"/>
      <c r="K42" s="676"/>
      <c r="L42" s="676"/>
      <c r="M42" s="676"/>
      <c r="N42" s="676"/>
      <c r="O42" s="676"/>
      <c r="P42" s="676"/>
      <c r="Q42" s="676">
        <v>0</v>
      </c>
      <c r="R42" s="676"/>
      <c r="S42" s="668">
        <f t="shared" si="21"/>
        <v>0</v>
      </c>
      <c r="T42" s="1085" t="s">
        <v>0</v>
      </c>
      <c r="U42" s="990"/>
      <c r="V42" s="1089"/>
      <c r="W42" s="51"/>
      <c r="X42" s="2026"/>
      <c r="Y42" s="2026"/>
      <c r="Z42" s="2027"/>
      <c r="AA42" s="2027"/>
      <c r="AB42" s="2027"/>
      <c r="AC42" s="2027"/>
      <c r="AD42" s="2027"/>
      <c r="AE42" s="2027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2:40" ht="12.65" customHeight="1" thickBot="1">
      <c r="B43" s="791">
        <f t="shared" si="8"/>
        <v>26</v>
      </c>
      <c r="C43" s="2037" t="s">
        <v>735</v>
      </c>
      <c r="D43" s="2038"/>
      <c r="E43" s="2039"/>
      <c r="F43" s="1503"/>
      <c r="G43" s="676">
        <v>0</v>
      </c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8">
        <f t="shared" si="21"/>
        <v>0</v>
      </c>
      <c r="T43" s="1086" t="s">
        <v>0</v>
      </c>
      <c r="U43" s="168"/>
      <c r="V43" s="1092"/>
      <c r="W43" s="51"/>
      <c r="X43" s="167"/>
      <c r="Y43" s="167"/>
      <c r="Z43" s="1114"/>
      <c r="AA43" s="1114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2:40" ht="16.2" customHeight="1" thickTop="1" thickBot="1">
      <c r="B44" s="778"/>
      <c r="C44" s="1361" t="s">
        <v>670</v>
      </c>
      <c r="D44" s="1362"/>
      <c r="E44" s="1362"/>
      <c r="F44" s="1370"/>
      <c r="G44" s="779">
        <f>SUM(G22:G43)</f>
        <v>0</v>
      </c>
      <c r="H44" s="779">
        <f t="shared" ref="H44:R44" si="23">SUM(H22:H43)</f>
        <v>0</v>
      </c>
      <c r="I44" s="779">
        <f t="shared" si="23"/>
        <v>0</v>
      </c>
      <c r="J44" s="779">
        <f t="shared" si="23"/>
        <v>0</v>
      </c>
      <c r="K44" s="779">
        <f t="shared" si="23"/>
        <v>0</v>
      </c>
      <c r="L44" s="779">
        <f t="shared" si="23"/>
        <v>0</v>
      </c>
      <c r="M44" s="779">
        <f t="shared" si="23"/>
        <v>0</v>
      </c>
      <c r="N44" s="779">
        <f t="shared" si="23"/>
        <v>0</v>
      </c>
      <c r="O44" s="779">
        <f t="shared" si="23"/>
        <v>0</v>
      </c>
      <c r="P44" s="779">
        <f t="shared" si="23"/>
        <v>0</v>
      </c>
      <c r="Q44" s="779">
        <f t="shared" si="23"/>
        <v>0</v>
      </c>
      <c r="R44" s="779">
        <f t="shared" si="23"/>
        <v>0</v>
      </c>
      <c r="S44" s="779">
        <f>SUM(G44:R44)</f>
        <v>0</v>
      </c>
      <c r="T44" s="245"/>
      <c r="U44" s="2031" t="s">
        <v>667</v>
      </c>
      <c r="V44" s="1154"/>
      <c r="W44" s="51"/>
    </row>
    <row r="45" spans="2:40" ht="4.2" customHeight="1" thickTop="1">
      <c r="B45" s="1262"/>
      <c r="C45" s="1263"/>
      <c r="D45" s="550"/>
      <c r="E45" s="550"/>
      <c r="F45" s="1264"/>
      <c r="G45" s="1265"/>
      <c r="H45" s="1265"/>
      <c r="I45" s="1265"/>
      <c r="J45" s="1265"/>
      <c r="K45" s="1265"/>
      <c r="L45" s="1265"/>
      <c r="M45" s="1265"/>
      <c r="N45" s="1265"/>
      <c r="O45" s="1265"/>
      <c r="P45" s="1265"/>
      <c r="Q45" s="1265"/>
      <c r="R45" s="1265"/>
      <c r="S45" s="1089"/>
      <c r="T45" s="245"/>
      <c r="U45" s="2032"/>
      <c r="V45" s="1154"/>
      <c r="W45" s="51"/>
    </row>
    <row r="46" spans="2:40" ht="14.15" customHeight="1">
      <c r="B46" s="2067" t="s">
        <v>674</v>
      </c>
      <c r="C46" s="2068"/>
      <c r="D46" s="2068"/>
      <c r="E46" s="2068"/>
      <c r="F46" s="2069"/>
      <c r="G46" s="1266">
        <f>G21</f>
        <v>45658</v>
      </c>
      <c r="H46" s="1266">
        <f>H21</f>
        <v>45689</v>
      </c>
      <c r="I46" s="1266">
        <f t="shared" ref="I46:R46" si="24">I21</f>
        <v>45720</v>
      </c>
      <c r="J46" s="1266">
        <f t="shared" si="24"/>
        <v>45751</v>
      </c>
      <c r="K46" s="1266">
        <f t="shared" si="24"/>
        <v>45782</v>
      </c>
      <c r="L46" s="1266">
        <f t="shared" si="24"/>
        <v>45813</v>
      </c>
      <c r="M46" s="1266">
        <f t="shared" si="24"/>
        <v>45844</v>
      </c>
      <c r="N46" s="1266">
        <f t="shared" si="24"/>
        <v>45875</v>
      </c>
      <c r="O46" s="1266">
        <f t="shared" si="24"/>
        <v>45906</v>
      </c>
      <c r="P46" s="1266">
        <f t="shared" si="24"/>
        <v>45937</v>
      </c>
      <c r="Q46" s="1266">
        <f t="shared" si="24"/>
        <v>45968</v>
      </c>
      <c r="R46" s="1266">
        <f t="shared" si="24"/>
        <v>45999</v>
      </c>
      <c r="S46" s="1267" t="str">
        <f>S21</f>
        <v>YHT</v>
      </c>
      <c r="T46" s="1251" t="s">
        <v>635</v>
      </c>
      <c r="U46" s="2033"/>
      <c r="V46" s="1154"/>
      <c r="W46" s="51"/>
    </row>
    <row r="47" spans="2:40" ht="12.65" customHeight="1">
      <c r="B47" s="792">
        <v>27</v>
      </c>
      <c r="C47" s="1364" t="s">
        <v>513</v>
      </c>
      <c r="D47" s="1365"/>
      <c r="E47" s="1365"/>
      <c r="F47" s="1503"/>
      <c r="G47" s="679">
        <f>$U47/12</f>
        <v>0</v>
      </c>
      <c r="H47" s="679">
        <f t="shared" ref="H47:R47" si="25">$U47/12</f>
        <v>0</v>
      </c>
      <c r="I47" s="679">
        <f t="shared" si="25"/>
        <v>0</v>
      </c>
      <c r="J47" s="679">
        <f t="shared" si="25"/>
        <v>0</v>
      </c>
      <c r="K47" s="679">
        <f t="shared" si="25"/>
        <v>0</v>
      </c>
      <c r="L47" s="679">
        <f t="shared" si="25"/>
        <v>0</v>
      </c>
      <c r="M47" s="679">
        <f t="shared" si="25"/>
        <v>0</v>
      </c>
      <c r="N47" s="679">
        <f t="shared" si="25"/>
        <v>0</v>
      </c>
      <c r="O47" s="679">
        <f t="shared" si="25"/>
        <v>0</v>
      </c>
      <c r="P47" s="679">
        <f t="shared" si="25"/>
        <v>0</v>
      </c>
      <c r="Q47" s="679">
        <f t="shared" si="25"/>
        <v>0</v>
      </c>
      <c r="R47" s="679">
        <f t="shared" si="25"/>
        <v>0</v>
      </c>
      <c r="S47" s="680">
        <f t="shared" ref="S47:S52" si="26">SUM(G47:R47)</f>
        <v>0</v>
      </c>
      <c r="T47" s="1090">
        <f t="shared" ref="T47:T52" si="27">U47-S47</f>
        <v>0</v>
      </c>
      <c r="U47" s="988">
        <f>IF(H5=1,'4. T7 LAINAT '!F19+'4. T7 LAINAT '!H19+'4. T7 LAINAT '!G45+'4. T7 LAINAT '!H45,'4. T7 LAINAT '!I19+'4. T7 LAINAT '!K19+'4. T7 LAINAT '!J45+'4. T7 LAINAT '!K45)</f>
        <v>0</v>
      </c>
      <c r="V47" s="1089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spans="2:40" ht="12.65" customHeight="1">
      <c r="B48" s="792">
        <f>B47+1</f>
        <v>28</v>
      </c>
      <c r="C48" s="1491" t="s">
        <v>329</v>
      </c>
      <c r="D48" s="317"/>
      <c r="E48" s="317"/>
      <c r="F48" s="1503"/>
      <c r="G48" s="679">
        <f>U48</f>
        <v>0</v>
      </c>
      <c r="H48" s="679"/>
      <c r="I48" s="679"/>
      <c r="J48" s="679">
        <v>0</v>
      </c>
      <c r="K48" s="679">
        <v>0</v>
      </c>
      <c r="L48" s="679"/>
      <c r="M48" s="679"/>
      <c r="N48" s="679"/>
      <c r="O48" s="679"/>
      <c r="P48" s="679">
        <v>0</v>
      </c>
      <c r="Q48" s="679"/>
      <c r="R48" s="679">
        <v>0</v>
      </c>
      <c r="S48" s="680">
        <f t="shared" si="26"/>
        <v>0</v>
      </c>
      <c r="T48" s="1090">
        <f t="shared" si="27"/>
        <v>0</v>
      </c>
      <c r="U48" s="988">
        <f>IF(H5=1,'4. T7 LAINAT '!F39+'4. T7 LAINAT '!F45,'4. T7 LAINAT '!I39+'4. T7 LAINAT '!I45)</f>
        <v>0</v>
      </c>
      <c r="V48" s="1089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spans="1:40" ht="12.65" customHeight="1">
      <c r="B49" s="792">
        <f>B48+1</f>
        <v>29</v>
      </c>
      <c r="C49" s="519" t="s">
        <v>351</v>
      </c>
      <c r="D49" s="1317"/>
      <c r="E49" s="1317"/>
      <c r="F49" s="1503"/>
      <c r="G49" s="676"/>
      <c r="H49" s="676"/>
      <c r="I49" s="676"/>
      <c r="J49" s="676"/>
      <c r="K49" s="676"/>
      <c r="L49" s="676">
        <f>$U49/2</f>
        <v>0</v>
      </c>
      <c r="M49" s="676">
        <v>0</v>
      </c>
      <c r="N49" s="676"/>
      <c r="O49" s="676"/>
      <c r="P49" s="676"/>
      <c r="Q49" s="676"/>
      <c r="R49" s="676">
        <f>$U49/2</f>
        <v>0</v>
      </c>
      <c r="S49" s="668">
        <f t="shared" si="26"/>
        <v>0</v>
      </c>
      <c r="T49" s="1090">
        <f t="shared" si="27"/>
        <v>0</v>
      </c>
      <c r="U49" s="988">
        <f>IF(H5=1,'4. T7 LAINAT '!F18+'4. T7 LAINAT '!G39,'4. T7 LAINAT '!I18+'4. T7 LAINAT '!J39)</f>
        <v>0</v>
      </c>
      <c r="V49" s="1089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spans="1:40" ht="12.65" customHeight="1">
      <c r="B50" s="792">
        <f>B49+1</f>
        <v>30</v>
      </c>
      <c r="C50" s="519" t="s">
        <v>158</v>
      </c>
      <c r="D50" s="1317"/>
      <c r="E50" s="1317"/>
      <c r="F50" s="1503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68">
        <f t="shared" si="26"/>
        <v>0</v>
      </c>
      <c r="T50" s="1091" t="s">
        <v>0</v>
      </c>
      <c r="U50" s="1514"/>
      <c r="V50" s="1089"/>
    </row>
    <row r="51" spans="1:40" ht="12.65" customHeight="1">
      <c r="B51" s="792">
        <f>B50+1</f>
        <v>31</v>
      </c>
      <c r="C51" s="519" t="s">
        <v>161</v>
      </c>
      <c r="D51" s="1317"/>
      <c r="E51" s="1317"/>
      <c r="F51" s="1503"/>
      <c r="G51" s="676">
        <f>U51</f>
        <v>0</v>
      </c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68">
        <f t="shared" si="26"/>
        <v>0</v>
      </c>
      <c r="T51" s="1090">
        <f t="shared" si="27"/>
        <v>0</v>
      </c>
      <c r="U51" s="988">
        <f>IF(H5=1,'1. T1 INVESTOINTISUUN.'!D48+'1. T1 INVESTOINTISUUN.'!D49,'1. T1 INVESTOINTISUUN.'!E48+'1. T1 INVESTOINTISUUN.'!E49)</f>
        <v>0</v>
      </c>
      <c r="V51" s="1089"/>
    </row>
    <row r="52" spans="1:40" ht="12.65" customHeight="1" thickBot="1">
      <c r="B52" s="792">
        <f>B51+1</f>
        <v>32</v>
      </c>
      <c r="C52" s="1366" t="s">
        <v>162</v>
      </c>
      <c r="D52" s="1367"/>
      <c r="E52" s="1367"/>
      <c r="F52" s="1503"/>
      <c r="G52" s="676">
        <f>U52</f>
        <v>0</v>
      </c>
      <c r="H52" s="676"/>
      <c r="I52" s="676"/>
      <c r="J52" s="676"/>
      <c r="K52" s="676"/>
      <c r="L52" s="676">
        <v>0</v>
      </c>
      <c r="M52" s="676"/>
      <c r="N52" s="676"/>
      <c r="O52" s="676"/>
      <c r="P52" s="676"/>
      <c r="Q52" s="676"/>
      <c r="R52" s="676"/>
      <c r="S52" s="668">
        <f t="shared" si="26"/>
        <v>0</v>
      </c>
      <c r="T52" s="1090">
        <f t="shared" si="27"/>
        <v>0</v>
      </c>
      <c r="U52" s="988">
        <f>IF(H5=1,'1. T1 INVESTOINTISUUN.'!D51,'1. T1 INVESTOINTISUUN.'!E51)</f>
        <v>0</v>
      </c>
      <c r="V52" s="1089"/>
    </row>
    <row r="53" spans="1:40" ht="13.3" thickTop="1" thickBot="1">
      <c r="B53" s="780"/>
      <c r="C53" s="2090" t="s">
        <v>669</v>
      </c>
      <c r="D53" s="2091"/>
      <c r="E53" s="2091"/>
      <c r="F53" s="2092"/>
      <c r="G53" s="781">
        <f>-G47+G48-G49-G50+G51+G52</f>
        <v>0</v>
      </c>
      <c r="H53" s="781">
        <f t="shared" ref="H53:R53" si="28">-H47+H48-H49-H50+H51+H52</f>
        <v>0</v>
      </c>
      <c r="I53" s="781">
        <f t="shared" si="28"/>
        <v>0</v>
      </c>
      <c r="J53" s="781">
        <f t="shared" si="28"/>
        <v>0</v>
      </c>
      <c r="K53" s="781">
        <f t="shared" si="28"/>
        <v>0</v>
      </c>
      <c r="L53" s="781">
        <f t="shared" si="28"/>
        <v>0</v>
      </c>
      <c r="M53" s="781">
        <f t="shared" si="28"/>
        <v>0</v>
      </c>
      <c r="N53" s="781">
        <f t="shared" si="28"/>
        <v>0</v>
      </c>
      <c r="O53" s="781">
        <f t="shared" si="28"/>
        <v>0</v>
      </c>
      <c r="P53" s="781">
        <f t="shared" si="28"/>
        <v>0</v>
      </c>
      <c r="Q53" s="781">
        <f t="shared" si="28"/>
        <v>0</v>
      </c>
      <c r="R53" s="781">
        <f t="shared" si="28"/>
        <v>0</v>
      </c>
      <c r="S53" s="782">
        <f>-S47+S48-S49-S50+S51+S52</f>
        <v>0</v>
      </c>
      <c r="U53" s="256"/>
      <c r="V53" s="256"/>
    </row>
    <row r="54" spans="1:40" ht="4.2" customHeight="1" thickTop="1">
      <c r="B54" s="790"/>
      <c r="C54" s="349"/>
      <c r="D54" s="349"/>
      <c r="E54" s="349"/>
      <c r="F54" s="350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81"/>
      <c r="U54" s="256"/>
      <c r="V54" s="256"/>
    </row>
    <row r="55" spans="1:40">
      <c r="B55" s="351">
        <v>33</v>
      </c>
      <c r="C55" s="2028" t="s">
        <v>159</v>
      </c>
      <c r="D55" s="2029"/>
      <c r="E55" s="2029"/>
      <c r="F55" s="2030"/>
      <c r="G55" s="682">
        <f>G19-G44+G53</f>
        <v>0</v>
      </c>
      <c r="H55" s="682">
        <f>H19-H44+H53</f>
        <v>0</v>
      </c>
      <c r="I55" s="682">
        <f t="shared" ref="I55:R55" si="29">I19-I44+I53</f>
        <v>0</v>
      </c>
      <c r="J55" s="682">
        <f t="shared" si="29"/>
        <v>0</v>
      </c>
      <c r="K55" s="682">
        <f t="shared" si="29"/>
        <v>0</v>
      </c>
      <c r="L55" s="682">
        <f t="shared" si="29"/>
        <v>0</v>
      </c>
      <c r="M55" s="682">
        <f t="shared" si="29"/>
        <v>0</v>
      </c>
      <c r="N55" s="682">
        <f t="shared" si="29"/>
        <v>0</v>
      </c>
      <c r="O55" s="682">
        <f t="shared" si="29"/>
        <v>0</v>
      </c>
      <c r="P55" s="682">
        <f t="shared" si="29"/>
        <v>0</v>
      </c>
      <c r="Q55" s="682">
        <f t="shared" si="29"/>
        <v>0</v>
      </c>
      <c r="R55" s="682">
        <f t="shared" si="29"/>
        <v>0</v>
      </c>
      <c r="S55" s="682">
        <f>SUM(G55:R55)</f>
        <v>0</v>
      </c>
      <c r="U55" s="256"/>
      <c r="V55" s="256"/>
    </row>
    <row r="56" spans="1:40">
      <c r="B56" s="352">
        <v>34</v>
      </c>
      <c r="C56" s="2070" t="s">
        <v>436</v>
      </c>
      <c r="D56" s="2071"/>
      <c r="E56" s="2071"/>
      <c r="F56" s="2072"/>
      <c r="G56" s="682">
        <f>G10+G55+G11</f>
        <v>0</v>
      </c>
      <c r="H56" s="682">
        <f t="shared" ref="H56:Q56" si="30">H10+H55+H11</f>
        <v>0</v>
      </c>
      <c r="I56" s="682">
        <f t="shared" si="30"/>
        <v>0</v>
      </c>
      <c r="J56" s="682">
        <f t="shared" si="30"/>
        <v>0</v>
      </c>
      <c r="K56" s="682">
        <f t="shared" si="30"/>
        <v>0</v>
      </c>
      <c r="L56" s="682">
        <f>L10+L55+L11</f>
        <v>0</v>
      </c>
      <c r="M56" s="682">
        <f t="shared" si="30"/>
        <v>0</v>
      </c>
      <c r="N56" s="682">
        <f t="shared" si="30"/>
        <v>0</v>
      </c>
      <c r="O56" s="682">
        <f t="shared" si="30"/>
        <v>0</v>
      </c>
      <c r="P56" s="682">
        <f t="shared" si="30"/>
        <v>0</v>
      </c>
      <c r="Q56" s="682">
        <f t="shared" si="30"/>
        <v>0</v>
      </c>
      <c r="R56" s="1099">
        <f>R10+R55+R11</f>
        <v>0</v>
      </c>
      <c r="S56" s="800"/>
    </row>
    <row r="57" spans="1:40" ht="4.2" customHeight="1">
      <c r="B57" s="793"/>
      <c r="C57" s="153"/>
      <c r="D57" s="50"/>
      <c r="E57" s="50"/>
      <c r="F57" s="87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154"/>
      <c r="R57" s="153"/>
      <c r="S57" s="104">
        <v>0</v>
      </c>
    </row>
    <row r="58" spans="1:40">
      <c r="A58" s="128"/>
      <c r="B58" s="397">
        <f>'2. &amp; 7. T2 TULOSSUUN. '!B35</f>
        <v>0</v>
      </c>
      <c r="C58" s="397"/>
      <c r="D58" s="397"/>
      <c r="E58" s="397"/>
      <c r="F58" s="514"/>
      <c r="G58" s="128"/>
      <c r="H58" s="128"/>
      <c r="I58" s="128"/>
      <c r="J58" s="128"/>
      <c r="K58" s="128"/>
      <c r="L58" s="128"/>
      <c r="M58" s="128"/>
      <c r="N58" s="128"/>
      <c r="O58" s="1819" t="str">
        <f>OHJE!I5</f>
        <v>Yritystulkin tarjoaa</v>
      </c>
      <c r="P58" s="1819"/>
      <c r="Q58" s="1819"/>
      <c r="R58" s="1819"/>
      <c r="S58" s="1819"/>
    </row>
    <row r="59" spans="1:40">
      <c r="A59" s="128"/>
      <c r="B59" s="397" t="str">
        <f>OHJE!G24</f>
        <v>YT22 Toimivan yrityksen tulossuunnitelma</v>
      </c>
      <c r="C59" s="397"/>
      <c r="D59" s="397"/>
      <c r="E59" s="397"/>
      <c r="F59" s="514"/>
      <c r="G59" s="128"/>
      <c r="H59" s="128"/>
      <c r="I59" s="128"/>
      <c r="J59" s="128"/>
      <c r="K59" s="128"/>
      <c r="L59" s="128"/>
      <c r="M59" s="1937" t="str">
        <f>OHJE!H7</f>
        <v>Alavuden Kehitys Oy</v>
      </c>
      <c r="N59" s="2059"/>
      <c r="O59" s="2059"/>
      <c r="P59" s="2059"/>
      <c r="Q59" s="2059"/>
      <c r="R59" s="2059"/>
      <c r="S59" s="2059"/>
    </row>
    <row r="60" spans="1:40">
      <c r="A60" s="128"/>
      <c r="B60" s="397"/>
      <c r="C60" s="397"/>
      <c r="D60" s="397"/>
      <c r="E60" s="397"/>
      <c r="F60" s="514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</row>
    <row r="61" spans="1:40" ht="15.45">
      <c r="A61" s="128"/>
      <c r="B61" s="128"/>
      <c r="C61" s="128"/>
      <c r="D61" s="2058" t="s">
        <v>178</v>
      </c>
      <c r="E61" s="2058"/>
      <c r="F61" s="2058"/>
      <c r="G61" s="128"/>
      <c r="H61" s="128"/>
      <c r="I61" s="794" t="str">
        <f>E5</f>
        <v xml:space="preserve">ENNUSTEVUOSI </v>
      </c>
      <c r="J61" s="795">
        <f>H5</f>
        <v>1</v>
      </c>
      <c r="K61" s="128"/>
      <c r="L61" s="128"/>
      <c r="M61" s="128"/>
      <c r="N61" s="796" t="str">
        <f>O5</f>
        <v>1/202X - 12/202Y</v>
      </c>
      <c r="O61" s="128"/>
      <c r="P61" s="128"/>
      <c r="Q61" s="128"/>
      <c r="R61" s="128"/>
      <c r="S61" s="128"/>
    </row>
    <row r="62" spans="1:40" ht="5.25" customHeight="1">
      <c r="A62" s="128"/>
      <c r="B62" s="128"/>
      <c r="C62" s="128"/>
      <c r="D62" s="797"/>
      <c r="E62" s="797"/>
      <c r="F62" s="1371"/>
      <c r="G62" s="128"/>
      <c r="H62" s="796"/>
      <c r="I62" s="128"/>
      <c r="J62" s="128"/>
      <c r="K62" s="128"/>
      <c r="L62" s="128"/>
      <c r="M62" s="128"/>
      <c r="N62" s="796"/>
      <c r="O62" s="128"/>
      <c r="P62" s="128"/>
      <c r="Q62" s="128"/>
      <c r="R62" s="128"/>
      <c r="S62" s="128"/>
    </row>
    <row r="63" spans="1:40">
      <c r="A63" s="128"/>
      <c r="B63" s="128"/>
      <c r="C63" s="128"/>
      <c r="D63" s="515" t="str">
        <f>B6</f>
        <v xml:space="preserve"> Yrityksen nimi</v>
      </c>
      <c r="E63" s="128"/>
      <c r="F63" s="13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40" ht="12.75" customHeight="1">
      <c r="D64" s="163">
        <f>B7</f>
        <v>0</v>
      </c>
      <c r="E64" s="164"/>
      <c r="F64" s="165"/>
      <c r="G64" s="162"/>
      <c r="J64" s="22"/>
      <c r="K64" s="22"/>
      <c r="L64" s="22"/>
      <c r="M64" s="22"/>
      <c r="O64" s="22"/>
      <c r="P64" s="22"/>
      <c r="Q64" s="162"/>
    </row>
    <row r="65" spans="1:18" ht="4.5" customHeight="1"/>
    <row r="70" spans="1:18">
      <c r="A70" s="128"/>
    </row>
    <row r="80" spans="1:18">
      <c r="R80" s="38"/>
    </row>
    <row r="94" spans="3:19" ht="12.9" thickBot="1"/>
    <row r="95" spans="3:19" ht="12.9" thickBot="1">
      <c r="C95" s="1727"/>
      <c r="D95" s="2062"/>
      <c r="E95" s="2062"/>
      <c r="F95" s="1360"/>
      <c r="G95" s="1691">
        <f>G9</f>
        <v>45658</v>
      </c>
      <c r="H95" s="1691">
        <f t="shared" ref="H95:R95" si="31">H9</f>
        <v>45689</v>
      </c>
      <c r="I95" s="1691">
        <f t="shared" si="31"/>
        <v>45720</v>
      </c>
      <c r="J95" s="1691">
        <f t="shared" si="31"/>
        <v>45751</v>
      </c>
      <c r="K95" s="1691">
        <f t="shared" si="31"/>
        <v>45782</v>
      </c>
      <c r="L95" s="1691">
        <f t="shared" si="31"/>
        <v>45813</v>
      </c>
      <c r="M95" s="1691">
        <f t="shared" si="31"/>
        <v>45844</v>
      </c>
      <c r="N95" s="1691">
        <f t="shared" si="31"/>
        <v>45875</v>
      </c>
      <c r="O95" s="1691">
        <f t="shared" si="31"/>
        <v>45906</v>
      </c>
      <c r="P95" s="1691">
        <f t="shared" si="31"/>
        <v>45937</v>
      </c>
      <c r="Q95" s="1691">
        <f t="shared" si="31"/>
        <v>45968</v>
      </c>
      <c r="R95" s="1691">
        <f t="shared" si="31"/>
        <v>45999</v>
      </c>
      <c r="S95" s="1692" t="s">
        <v>148</v>
      </c>
    </row>
    <row r="96" spans="3:19" ht="16.2" customHeight="1">
      <c r="C96" s="518"/>
      <c r="D96" s="2063" t="s">
        <v>446</v>
      </c>
      <c r="E96" s="2063"/>
      <c r="F96" s="2064"/>
      <c r="G96" s="682">
        <f>G55</f>
        <v>0</v>
      </c>
      <c r="H96" s="682">
        <f t="shared" ref="H96:R97" si="32">H55</f>
        <v>0</v>
      </c>
      <c r="I96" s="682">
        <f t="shared" si="32"/>
        <v>0</v>
      </c>
      <c r="J96" s="682">
        <f t="shared" si="32"/>
        <v>0</v>
      </c>
      <c r="K96" s="682">
        <f t="shared" si="32"/>
        <v>0</v>
      </c>
      <c r="L96" s="682">
        <f t="shared" si="32"/>
        <v>0</v>
      </c>
      <c r="M96" s="682">
        <f t="shared" si="32"/>
        <v>0</v>
      </c>
      <c r="N96" s="682">
        <f t="shared" si="32"/>
        <v>0</v>
      </c>
      <c r="O96" s="682">
        <f t="shared" si="32"/>
        <v>0</v>
      </c>
      <c r="P96" s="682">
        <f t="shared" si="32"/>
        <v>0</v>
      </c>
      <c r="Q96" s="682">
        <f t="shared" si="32"/>
        <v>0</v>
      </c>
      <c r="R96" s="682">
        <f t="shared" si="32"/>
        <v>0</v>
      </c>
      <c r="S96" s="798">
        <f>SUM(G96:R96)</f>
        <v>0</v>
      </c>
    </row>
    <row r="97" spans="3:19" ht="16.2" customHeight="1">
      <c r="C97" s="518"/>
      <c r="D97" s="2073" t="s">
        <v>447</v>
      </c>
      <c r="E97" s="2073"/>
      <c r="F97" s="2074"/>
      <c r="G97" s="682">
        <f>G56</f>
        <v>0</v>
      </c>
      <c r="H97" s="682">
        <f t="shared" si="32"/>
        <v>0</v>
      </c>
      <c r="I97" s="682">
        <f t="shared" si="32"/>
        <v>0</v>
      </c>
      <c r="J97" s="682">
        <f t="shared" si="32"/>
        <v>0</v>
      </c>
      <c r="K97" s="682">
        <f t="shared" si="32"/>
        <v>0</v>
      </c>
      <c r="L97" s="682">
        <f t="shared" si="32"/>
        <v>0</v>
      </c>
      <c r="M97" s="682">
        <f t="shared" si="32"/>
        <v>0</v>
      </c>
      <c r="N97" s="682">
        <f t="shared" si="32"/>
        <v>0</v>
      </c>
      <c r="O97" s="682">
        <f t="shared" si="32"/>
        <v>0</v>
      </c>
      <c r="P97" s="682">
        <f t="shared" si="32"/>
        <v>0</v>
      </c>
      <c r="Q97" s="682">
        <f t="shared" si="32"/>
        <v>0</v>
      </c>
      <c r="R97" s="682">
        <f t="shared" si="32"/>
        <v>0</v>
      </c>
      <c r="S97" s="799"/>
    </row>
    <row r="98" spans="3:19">
      <c r="C98" s="140"/>
      <c r="D98" s="140"/>
      <c r="E98" s="140"/>
      <c r="F98" s="142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363"/>
    </row>
    <row r="99" spans="3:19">
      <c r="C99" s="153"/>
      <c r="D99" s="153">
        <f>'1. T1 INVESTOINTISUUN.'!B66</f>
        <v>0</v>
      </c>
      <c r="E99" s="155"/>
      <c r="F99" s="156"/>
      <c r="G99" s="53"/>
      <c r="H99" s="53"/>
      <c r="I99" s="53"/>
      <c r="J99" s="106"/>
      <c r="K99" s="53"/>
      <c r="L99" s="53"/>
      <c r="M99" s="53"/>
      <c r="N99" s="53"/>
      <c r="O99" s="53"/>
      <c r="P99" s="53"/>
      <c r="Q99" s="2060" t="str">
        <f>OHJE!I5</f>
        <v>Yritystulkin tarjoaa</v>
      </c>
      <c r="R99" s="2061"/>
      <c r="S99" s="2061"/>
    </row>
    <row r="100" spans="3:19">
      <c r="C100" s="17"/>
      <c r="D100" s="153" t="str">
        <f>'1. T1 INVESTOINTISUUN.'!B67</f>
        <v>YT22 Toimivan yrityksen tulossuunnitelma</v>
      </c>
      <c r="E100" s="105"/>
      <c r="F100" s="126"/>
      <c r="G100" s="103"/>
      <c r="H100" s="103"/>
      <c r="I100" s="103"/>
      <c r="J100" s="107"/>
      <c r="K100" s="103"/>
      <c r="L100" s="103"/>
      <c r="M100" s="2043" t="str">
        <f>M59</f>
        <v>Alavuden Kehitys Oy</v>
      </c>
      <c r="N100" s="2043"/>
      <c r="O100" s="2043"/>
      <c r="P100" s="2043"/>
      <c r="Q100" s="2043"/>
      <c r="R100" s="2043"/>
      <c r="S100" s="2043"/>
    </row>
    <row r="103" spans="3:19">
      <c r="D103" s="396" t="s">
        <v>332</v>
      </c>
    </row>
    <row r="104" spans="3:19">
      <c r="D104" s="50" t="s">
        <v>333</v>
      </c>
    </row>
    <row r="105" spans="3:19">
      <c r="D105" s="50" t="s">
        <v>334</v>
      </c>
    </row>
    <row r="194" spans="25:214">
      <c r="Y194">
        <v>0</v>
      </c>
      <c r="Z194">
        <v>10</v>
      </c>
      <c r="AA194">
        <v>1.11111111111111E+118</v>
      </c>
      <c r="AB194">
        <v>1</v>
      </c>
      <c r="AC194">
        <v>1</v>
      </c>
      <c r="AD194">
        <v>1</v>
      </c>
      <c r="AE194">
        <v>1</v>
      </c>
      <c r="AF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1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1</v>
      </c>
    </row>
  </sheetData>
  <sheetProtection algorithmName="SHA-512" hashValue="yxZVGzd506HWdJWEZHtGHdo977FLYdtuwocwULSKLTkfmZPP2hX10rGJV6AfFiYs61gFIWBW7uqxXwo3FSHDaQ==" saltValue="KRsWB5XtIl11q9iSbIocqA==" spinCount="100000" sheet="1" objects="1" scenarios="1"/>
  <mergeCells count="65">
    <mergeCell ref="I4:J4"/>
    <mergeCell ref="E5:G5"/>
    <mergeCell ref="C10:F10"/>
    <mergeCell ref="C12:D12"/>
    <mergeCell ref="B7:E7"/>
    <mergeCell ref="J7:M7"/>
    <mergeCell ref="B10:B11"/>
    <mergeCell ref="C11:F11"/>
    <mergeCell ref="J5:K5"/>
    <mergeCell ref="D97:F97"/>
    <mergeCell ref="O5:Q5"/>
    <mergeCell ref="O7:Q7"/>
    <mergeCell ref="U7:X7"/>
    <mergeCell ref="X19:AF19"/>
    <mergeCell ref="C28:E28"/>
    <mergeCell ref="C26:E26"/>
    <mergeCell ref="Z24:AA24"/>
    <mergeCell ref="C27:E27"/>
    <mergeCell ref="C24:E24"/>
    <mergeCell ref="D13:F13"/>
    <mergeCell ref="U17:U21"/>
    <mergeCell ref="B21:E21"/>
    <mergeCell ref="B9:E9"/>
    <mergeCell ref="AA39:AA42"/>
    <mergeCell ref="C53:F53"/>
    <mergeCell ref="M100:S100"/>
    <mergeCell ref="C14:E14"/>
    <mergeCell ref="D15:F15"/>
    <mergeCell ref="C19:E19"/>
    <mergeCell ref="C22:E22"/>
    <mergeCell ref="C18:E18"/>
    <mergeCell ref="C17:E17"/>
    <mergeCell ref="D61:F61"/>
    <mergeCell ref="M59:S59"/>
    <mergeCell ref="Q99:S99"/>
    <mergeCell ref="C95:E95"/>
    <mergeCell ref="D96:F96"/>
    <mergeCell ref="C29:E29"/>
    <mergeCell ref="B46:F46"/>
    <mergeCell ref="C56:F56"/>
    <mergeCell ref="C38:E38"/>
    <mergeCell ref="O58:S58"/>
    <mergeCell ref="AG19:AM19"/>
    <mergeCell ref="AN19:AT19"/>
    <mergeCell ref="X25:Y25"/>
    <mergeCell ref="X26:Y26"/>
    <mergeCell ref="C55:F55"/>
    <mergeCell ref="AB39:AB42"/>
    <mergeCell ref="AC39:AC42"/>
    <mergeCell ref="AD39:AD42"/>
    <mergeCell ref="Z39:Z42"/>
    <mergeCell ref="U44:U46"/>
    <mergeCell ref="C42:E42"/>
    <mergeCell ref="C43:E43"/>
    <mergeCell ref="AG24:AH24"/>
    <mergeCell ref="AN24:AO24"/>
    <mergeCell ref="C34:E34"/>
    <mergeCell ref="C30:E30"/>
    <mergeCell ref="X39:Y42"/>
    <mergeCell ref="AE39:AE42"/>
    <mergeCell ref="B22:B23"/>
    <mergeCell ref="AU19:AW19"/>
    <mergeCell ref="AC21:AC22"/>
    <mergeCell ref="AJ21:AJ22"/>
    <mergeCell ref="AQ21:AQ22"/>
  </mergeCells>
  <conditionalFormatting sqref="G56:R56">
    <cfRule type="cellIs" dxfId="28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9" min="1" max="18" man="1"/>
  </rowBreaks>
  <colBreaks count="1" manualBreakCount="1">
    <brk id="19" min="4" max="86" man="1"/>
  </colBreaks>
  <ignoredErrors>
    <ignoredError sqref="S17" formulaRange="1"/>
    <ignoredError sqref="G18:H1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K17" sqref="K17"/>
    </sheetView>
  </sheetViews>
  <sheetFormatPr defaultRowHeight="12.45"/>
  <cols>
    <col min="1" max="1" width="10.53515625" customWidth="1"/>
    <col min="2" max="2" width="2.3046875" customWidth="1"/>
    <col min="3" max="3" width="27.53515625" customWidth="1"/>
    <col min="4" max="8" width="6.69140625" customWidth="1"/>
    <col min="9" max="9" width="5.69140625" customWidth="1"/>
    <col min="10" max="10" width="6.69140625" customWidth="1"/>
    <col min="11" max="11" width="5.69140625" customWidth="1"/>
    <col min="12" max="12" width="6.69140625" customWidth="1"/>
    <col min="13" max="13" width="5.69140625" customWidth="1"/>
    <col min="14" max="14" width="6.69140625" customWidth="1"/>
    <col min="15" max="15" width="5.69140625" customWidth="1"/>
    <col min="16" max="16" width="2.69140625" customWidth="1"/>
    <col min="17" max="17" width="3.07421875" customWidth="1"/>
    <col min="18" max="18" width="23.69140625" customWidth="1"/>
    <col min="19" max="25" width="10.69140625" customWidth="1"/>
    <col min="26" max="26" width="2.69140625" customWidth="1"/>
    <col min="27" max="27" width="26.07421875" customWidth="1"/>
    <col min="28" max="28" width="7.53515625" customWidth="1"/>
    <col min="29" max="30" width="5.07421875" customWidth="1"/>
    <col min="31" max="31" width="6.84375" customWidth="1"/>
    <col min="32" max="32" width="6.07421875" customWidth="1"/>
    <col min="33" max="33" width="5.07421875" customWidth="1"/>
    <col min="34" max="34" width="6.84375" customWidth="1"/>
    <col min="35" max="35" width="6.07421875" customWidth="1"/>
    <col min="36" max="36" width="5.07421875" customWidth="1"/>
    <col min="37" max="37" width="6.84375" customWidth="1"/>
    <col min="38" max="38" width="4.84375" customWidth="1"/>
    <col min="39" max="39" width="5.3046875" customWidth="1"/>
    <col min="40" max="40" width="6.84375" customWidth="1"/>
    <col min="41" max="41" width="6.07421875" customWidth="1"/>
    <col min="42" max="42" width="5.07421875" customWidth="1"/>
    <col min="43" max="43" width="2.69140625" customWidth="1"/>
    <col min="44" max="44" width="16" customWidth="1"/>
    <col min="45" max="45" width="15.07421875" customWidth="1"/>
    <col min="46" max="50" width="12.3046875" customWidth="1"/>
    <col min="51" max="51" width="11.3046875" customWidth="1"/>
  </cols>
  <sheetData>
    <row r="2" spans="2:51" ht="16.95" customHeight="1">
      <c r="B2" s="2218"/>
      <c r="C2" s="2218"/>
      <c r="D2" s="722"/>
      <c r="E2" s="722"/>
      <c r="F2" s="722"/>
      <c r="G2" s="722"/>
      <c r="H2" s="397"/>
      <c r="J2" s="397"/>
      <c r="K2" s="128"/>
      <c r="L2" s="128"/>
      <c r="M2" s="128"/>
      <c r="N2" s="128"/>
      <c r="O2" s="128"/>
      <c r="Q2" s="2233"/>
      <c r="R2" s="2233"/>
      <c r="S2" s="803"/>
      <c r="T2" s="803"/>
      <c r="U2" s="803"/>
      <c r="V2" s="803"/>
      <c r="W2" s="803"/>
      <c r="X2" s="803"/>
      <c r="Y2" s="803"/>
      <c r="AA2" s="2234"/>
      <c r="AB2" s="2234"/>
      <c r="AC2" s="137"/>
      <c r="AD2" s="137"/>
      <c r="AE2" s="137"/>
      <c r="AF2" s="43"/>
      <c r="AG2" s="43"/>
      <c r="AH2" s="43"/>
      <c r="AI2" s="43"/>
      <c r="AK2" s="43"/>
      <c r="AR2" s="2143"/>
      <c r="AS2" s="137"/>
      <c r="AT2" s="137"/>
      <c r="AU2" s="43"/>
      <c r="AV2" s="43"/>
      <c r="AW2" s="43"/>
      <c r="AY2" t="s">
        <v>0</v>
      </c>
    </row>
    <row r="3" spans="2:51" ht="15.65" customHeight="1">
      <c r="B3" s="514"/>
      <c r="C3" s="709"/>
      <c r="D3" s="397"/>
      <c r="E3" s="128"/>
      <c r="F3" s="128"/>
      <c r="G3" s="260"/>
      <c r="H3" s="397"/>
      <c r="K3" s="128"/>
      <c r="L3" s="128"/>
      <c r="M3" s="128"/>
      <c r="N3" s="128"/>
      <c r="O3" s="128"/>
      <c r="Q3" s="2193"/>
      <c r="R3" s="2193"/>
      <c r="S3" s="2193"/>
      <c r="T3" s="783"/>
      <c r="U3" s="783"/>
      <c r="W3" s="801">
        <v>0</v>
      </c>
      <c r="X3" s="128"/>
      <c r="Y3" s="128"/>
      <c r="AA3" s="1181"/>
      <c r="AB3" s="1181"/>
      <c r="AC3" s="783"/>
      <c r="AD3" s="783"/>
      <c r="AE3" s="783"/>
      <c r="AF3" s="783"/>
      <c r="AG3" s="77"/>
      <c r="AK3" s="802"/>
      <c r="AL3" s="693"/>
      <c r="AQ3" s="716"/>
      <c r="AR3" s="2143"/>
      <c r="AS3" s="783"/>
      <c r="AT3" s="783"/>
      <c r="AU3" s="783"/>
      <c r="AW3" s="802"/>
      <c r="AX3" s="693"/>
    </row>
    <row r="4" spans="2:51" ht="8.6999999999999993" customHeight="1">
      <c r="B4" s="514"/>
      <c r="C4" s="397"/>
      <c r="D4" s="397"/>
      <c r="E4" s="2226"/>
      <c r="F4" s="2227"/>
      <c r="G4" s="514"/>
      <c r="H4" s="515"/>
      <c r="I4" s="128"/>
      <c r="J4" s="128"/>
      <c r="K4" s="128"/>
      <c r="L4" s="128"/>
      <c r="M4" s="128"/>
      <c r="N4" s="128"/>
      <c r="O4" s="128"/>
      <c r="Q4" s="2193"/>
      <c r="R4" s="2193"/>
      <c r="S4" s="2193"/>
      <c r="T4" s="128"/>
      <c r="U4" s="128"/>
      <c r="V4" s="128"/>
      <c r="W4" s="128"/>
      <c r="X4" s="128"/>
      <c r="Y4" s="128"/>
      <c r="AA4" s="137" t="s">
        <v>0</v>
      </c>
      <c r="AB4" s="137"/>
      <c r="AC4" s="137"/>
      <c r="AD4" s="137"/>
      <c r="AE4" s="137" t="s">
        <v>0</v>
      </c>
      <c r="AF4" s="137"/>
      <c r="AG4" s="137"/>
      <c r="AH4" s="137" t="s">
        <v>0</v>
      </c>
      <c r="AI4" s="137" t="s">
        <v>0</v>
      </c>
      <c r="AJ4" s="137"/>
      <c r="AK4" s="137"/>
      <c r="AL4" s="137"/>
      <c r="AM4" s="137" t="s">
        <v>0</v>
      </c>
      <c r="AN4" s="137" t="s">
        <v>0</v>
      </c>
      <c r="AO4" s="137" t="s">
        <v>0</v>
      </c>
      <c r="AP4" s="137"/>
    </row>
    <row r="5" spans="2:51" ht="12" customHeight="1">
      <c r="B5" s="1612" t="s">
        <v>742</v>
      </c>
      <c r="C5" s="1606"/>
      <c r="D5" s="1606"/>
      <c r="E5" s="1607"/>
      <c r="F5" s="1607"/>
      <c r="G5" s="1612" t="s">
        <v>93</v>
      </c>
      <c r="H5" s="1606"/>
      <c r="I5" s="2200" t="s">
        <v>745</v>
      </c>
      <c r="J5" s="2200"/>
      <c r="K5" s="2200"/>
      <c r="L5" s="2200"/>
      <c r="M5" s="2200"/>
      <c r="N5" s="2200"/>
      <c r="O5" s="2200"/>
      <c r="Q5" s="2208" t="s">
        <v>571</v>
      </c>
      <c r="R5" s="2208"/>
      <c r="S5" s="1274"/>
      <c r="T5" s="1269" t="s">
        <v>107</v>
      </c>
      <c r="U5" s="1269" t="str">
        <f>T5</f>
        <v>Tot. tilikausi</v>
      </c>
      <c r="V5" s="1269" t="s">
        <v>110</v>
      </c>
      <c r="W5" s="1269" t="s">
        <v>98</v>
      </c>
      <c r="X5" s="1269" t="s">
        <v>100</v>
      </c>
      <c r="Y5" s="1269" t="s">
        <v>257</v>
      </c>
      <c r="AA5" s="2235" t="s">
        <v>677</v>
      </c>
      <c r="AB5" s="2235"/>
      <c r="AC5" s="2235"/>
      <c r="AD5" s="2235"/>
      <c r="AE5" s="2166" t="str">
        <f>T5</f>
        <v>Tot. tilikausi</v>
      </c>
      <c r="AF5" s="2166"/>
      <c r="AG5" s="2166" t="str">
        <f>U5</f>
        <v>Tot. tilikausi</v>
      </c>
      <c r="AH5" s="2166"/>
      <c r="AI5" s="2166" t="str">
        <f>V5</f>
        <v>Ennuste 1</v>
      </c>
      <c r="AJ5" s="2166"/>
      <c r="AK5" s="2166" t="str">
        <f>W5</f>
        <v>Ennuste 2</v>
      </c>
      <c r="AL5" s="2166"/>
      <c r="AM5" s="2166" t="str">
        <f>X5</f>
        <v>Ennuste 3</v>
      </c>
      <c r="AN5" s="2166"/>
      <c r="AO5" s="2166" t="str">
        <f>Y5</f>
        <v>Ennuste 4</v>
      </c>
      <c r="AP5" s="2166"/>
      <c r="AR5" s="2236" t="s">
        <v>546</v>
      </c>
      <c r="AS5" s="2236"/>
      <c r="AT5" s="2217" t="str">
        <f>AU5</f>
        <v>Toteutunut tilikausi</v>
      </c>
      <c r="AU5" s="2217" t="str">
        <f>'2. &amp; 7. T2 TULOSSUUN. '!G7</f>
        <v>Toteutunut tilikausi</v>
      </c>
      <c r="AV5" s="2166" t="str">
        <f>AI5</f>
        <v>Ennuste 1</v>
      </c>
      <c r="AW5" s="2166" t="str">
        <f>AK5</f>
        <v>Ennuste 2</v>
      </c>
      <c r="AX5" s="2166" t="str">
        <f>AM5</f>
        <v>Ennuste 3</v>
      </c>
      <c r="AY5" s="2166" t="str">
        <f>AO5</f>
        <v>Ennuste 4</v>
      </c>
    </row>
    <row r="6" spans="2:51" ht="12.65" customHeight="1">
      <c r="B6" s="2199">
        <f>'2. &amp; 7. T2 TULOSSUUN. '!B5</f>
        <v>0</v>
      </c>
      <c r="C6" s="2199"/>
      <c r="D6" s="2199"/>
      <c r="E6" s="2199"/>
      <c r="F6" s="2199"/>
      <c r="G6" s="2225">
        <f>'1. T1 INVESTOINTISUUN.'!E4</f>
        <v>0</v>
      </c>
      <c r="H6" s="2225"/>
      <c r="I6" s="2199">
        <f>'1. T1 INVESTOINTISUUN.'!E7</f>
        <v>0</v>
      </c>
      <c r="J6" s="2199"/>
      <c r="K6" s="2199"/>
      <c r="L6" s="2199"/>
      <c r="M6" s="2199"/>
      <c r="N6" s="2199"/>
      <c r="O6" s="2199"/>
      <c r="Q6" s="2208"/>
      <c r="R6" s="2208"/>
      <c r="S6" s="1274"/>
      <c r="T6" s="1269">
        <f>'3. T3 TASE '!F11</f>
        <v>2023</v>
      </c>
      <c r="U6" s="1269">
        <f>'3. T3 TASE '!G11</f>
        <v>2024</v>
      </c>
      <c r="V6" s="1269">
        <f>'3. T3 TASE '!H11</f>
        <v>2025</v>
      </c>
      <c r="W6" s="1269">
        <f>'3. T3 TASE '!I11</f>
        <v>2026</v>
      </c>
      <c r="X6" s="1269">
        <f>'3. T3 TASE '!J11</f>
        <v>2027</v>
      </c>
      <c r="Y6" s="1269">
        <f>'3. T3 TASE '!K11</f>
        <v>2028</v>
      </c>
      <c r="AA6" s="2235"/>
      <c r="AB6" s="2235"/>
      <c r="AC6" s="2235"/>
      <c r="AD6" s="2235"/>
      <c r="AE6" s="2128">
        <f>T6</f>
        <v>2023</v>
      </c>
      <c r="AF6" s="2128"/>
      <c r="AG6" s="2128">
        <f>U6</f>
        <v>2024</v>
      </c>
      <c r="AH6" s="2128"/>
      <c r="AI6" s="2128">
        <f>V6</f>
        <v>2025</v>
      </c>
      <c r="AJ6" s="2128"/>
      <c r="AK6" s="2128">
        <f>W6</f>
        <v>2026</v>
      </c>
      <c r="AL6" s="2128"/>
      <c r="AM6" s="2128">
        <f>X6</f>
        <v>2027</v>
      </c>
      <c r="AN6" s="2128"/>
      <c r="AO6" s="2128">
        <f>Y6</f>
        <v>2028</v>
      </c>
      <c r="AP6" s="2128"/>
      <c r="AR6" s="2236"/>
      <c r="AS6" s="2236"/>
      <c r="AT6" s="2217"/>
      <c r="AU6" s="2217"/>
      <c r="AV6" s="2166"/>
      <c r="AW6" s="2166"/>
      <c r="AX6" s="2166"/>
      <c r="AY6" s="2166"/>
    </row>
    <row r="7" spans="2:51" ht="11.25" customHeight="1">
      <c r="B7" s="1611" t="s">
        <v>743</v>
      </c>
      <c r="C7" s="1608"/>
      <c r="D7" s="1608"/>
      <c r="E7" s="1609"/>
      <c r="F7" s="1609"/>
      <c r="G7" s="1609"/>
      <c r="H7" s="1609"/>
      <c r="I7" s="2200" t="s">
        <v>746</v>
      </c>
      <c r="J7" s="2200"/>
      <c r="K7" s="2200"/>
      <c r="L7" s="2200"/>
      <c r="M7" s="2200"/>
      <c r="N7" s="2200"/>
      <c r="O7" s="2200"/>
      <c r="Q7" s="830" t="s">
        <v>218</v>
      </c>
      <c r="R7" s="833" t="s">
        <v>219</v>
      </c>
      <c r="S7" s="825"/>
      <c r="T7" s="831">
        <f>'3. T3 TASE '!F13/1000</f>
        <v>0</v>
      </c>
      <c r="U7" s="829">
        <f>'3. T3 TASE '!G13/1000</f>
        <v>0</v>
      </c>
      <c r="V7" s="829">
        <f>'3. T3 TASE '!H13/1000</f>
        <v>0</v>
      </c>
      <c r="W7" s="829">
        <f>'3. T3 TASE '!I13/1000</f>
        <v>0</v>
      </c>
      <c r="X7" s="829">
        <f>'3. T3 TASE '!J13/1000</f>
        <v>0</v>
      </c>
      <c r="Y7" s="829">
        <f>'3. T3 TASE '!K13/1000</f>
        <v>0</v>
      </c>
      <c r="AA7" s="848" t="s">
        <v>547</v>
      </c>
      <c r="AB7" s="849"/>
      <c r="AC7" s="849"/>
      <c r="AD7" s="1031" t="s">
        <v>89</v>
      </c>
      <c r="AE7" s="2110">
        <f>'8. T4 RAHOITUSSUUN. '!F49/1000</f>
        <v>0</v>
      </c>
      <c r="AF7" s="2110"/>
      <c r="AG7" s="2110">
        <f>'8. T4 RAHOITUSSUUN. '!G49/1000</f>
        <v>0</v>
      </c>
      <c r="AH7" s="2110"/>
      <c r="AI7" s="2110">
        <f>'8. T4 RAHOITUSSUUN. '!H49/1000</f>
        <v>0</v>
      </c>
      <c r="AJ7" s="2110"/>
      <c r="AK7" s="2110">
        <f>'8. T4 RAHOITUSSUUN. '!I49/1000</f>
        <v>0</v>
      </c>
      <c r="AL7" s="2110"/>
      <c r="AM7" s="2110">
        <f>'8. T4 RAHOITUSSUUN. '!J49/1000</f>
        <v>0</v>
      </c>
      <c r="AN7" s="2110"/>
      <c r="AO7" s="2110">
        <f>'8. T4 RAHOITUSSUUN. '!K49/1000</f>
        <v>0</v>
      </c>
      <c r="AP7" s="2110"/>
      <c r="AR7" s="2236"/>
      <c r="AS7" s="2236"/>
      <c r="AT7" s="1280">
        <f>AE6</f>
        <v>2023</v>
      </c>
      <c r="AU7" s="1280">
        <f>AG6</f>
        <v>2024</v>
      </c>
      <c r="AV7" s="1280">
        <f>AI6</f>
        <v>2025</v>
      </c>
      <c r="AW7" s="1280">
        <f>AK6</f>
        <v>2026</v>
      </c>
      <c r="AX7" s="1280">
        <f>AM6</f>
        <v>2027</v>
      </c>
      <c r="AY7" s="1280">
        <f>AO6</f>
        <v>2028</v>
      </c>
    </row>
    <row r="8" spans="2:51" ht="11.25" customHeight="1">
      <c r="B8" s="2228">
        <f>'1. T1 INVESTOINTISUUN.'!B9:D9</f>
        <v>0</v>
      </c>
      <c r="C8" s="2199"/>
      <c r="D8" s="2199"/>
      <c r="E8" s="2199"/>
      <c r="F8" s="2199"/>
      <c r="G8" s="2199"/>
      <c r="H8" s="2199"/>
      <c r="I8" s="2198">
        <f>'1. T1 INVESTOINTISUUN.'!E9</f>
        <v>0</v>
      </c>
      <c r="J8" s="2199"/>
      <c r="K8" s="2199"/>
      <c r="L8" s="2199"/>
      <c r="M8" s="2199"/>
      <c r="N8" s="2199"/>
      <c r="O8" s="2199"/>
      <c r="Q8" s="807"/>
      <c r="R8" s="817" t="s">
        <v>601</v>
      </c>
      <c r="S8" s="826"/>
      <c r="T8" s="832">
        <f>'3. T3 TASE '!F14/1000</f>
        <v>0</v>
      </c>
      <c r="U8" s="818">
        <f>'3. T3 TASE '!G14/1000</f>
        <v>0</v>
      </c>
      <c r="V8" s="818">
        <f>'3. T3 TASE '!H14/1000</f>
        <v>0</v>
      </c>
      <c r="W8" s="818">
        <f>'3. T3 TASE '!I14/1000</f>
        <v>0</v>
      </c>
      <c r="X8" s="818">
        <f>'3. T3 TASE '!J14/1000</f>
        <v>0</v>
      </c>
      <c r="Y8" s="818">
        <f>'3. T3 TASE '!K14/1000</f>
        <v>0</v>
      </c>
      <c r="AA8" s="2170" t="s">
        <v>616</v>
      </c>
      <c r="AB8" s="2170"/>
      <c r="AC8" s="2170"/>
      <c r="AD8" s="2171"/>
      <c r="AE8" s="2195">
        <f>'8. T4 RAHOITUSSUUN. '!F50</f>
        <v>0</v>
      </c>
      <c r="AF8" s="2195"/>
      <c r="AG8" s="2195">
        <f>'8. T4 RAHOITUSSUUN. '!G50</f>
        <v>0</v>
      </c>
      <c r="AH8" s="2195"/>
      <c r="AI8" s="2195">
        <f>'8. T4 RAHOITUSSUUN. '!H50</f>
        <v>0</v>
      </c>
      <c r="AJ8" s="2195"/>
      <c r="AK8" s="2195">
        <f>'8. T4 RAHOITUSSUUN. '!I50</f>
        <v>0</v>
      </c>
      <c r="AL8" s="2195"/>
      <c r="AM8" s="2195">
        <f>'8. T4 RAHOITUSSUUN. '!J50</f>
        <v>0</v>
      </c>
      <c r="AN8" s="2195"/>
      <c r="AO8" s="2195">
        <f>'8. T4 RAHOITUSSUUN. '!K50</f>
        <v>0</v>
      </c>
      <c r="AP8" s="2195"/>
      <c r="AR8" s="975" t="str">
        <f>'8. T4 RAHOITUSSUUN. '!M26</f>
        <v xml:space="preserve"> MAKSUVALMIUS</v>
      </c>
      <c r="AS8" s="128"/>
      <c r="AU8" s="134"/>
      <c r="AV8" s="134"/>
      <c r="AW8" s="852"/>
    </row>
    <row r="9" spans="2:51" ht="11.25" customHeight="1">
      <c r="B9" s="2232" t="s">
        <v>744</v>
      </c>
      <c r="C9" s="2232"/>
      <c r="D9" s="2232"/>
      <c r="E9" s="1610"/>
      <c r="F9" s="1610"/>
      <c r="G9" s="1610"/>
      <c r="H9" s="1610"/>
      <c r="I9" s="2200" t="str">
        <f>'1. T1 INVESTOINTISUUN.'!E10</f>
        <v>Aloittamisajankohta</v>
      </c>
      <c r="J9" s="2200"/>
      <c r="K9" s="2200"/>
      <c r="L9" s="2200"/>
      <c r="M9" s="2200"/>
      <c r="N9" s="2200"/>
      <c r="O9" s="2200"/>
      <c r="Q9" s="807"/>
      <c r="R9" s="817" t="s">
        <v>602</v>
      </c>
      <c r="S9" s="826"/>
      <c r="T9" s="832">
        <f>'3. T3 TASE '!F18/1000</f>
        <v>0</v>
      </c>
      <c r="U9" s="818">
        <f>'3. T3 TASE '!G18/1000</f>
        <v>0</v>
      </c>
      <c r="V9" s="818">
        <f>'3. T3 TASE '!H18/1000</f>
        <v>0</v>
      </c>
      <c r="W9" s="818">
        <f>'3. T3 TASE '!I18/1000</f>
        <v>0</v>
      </c>
      <c r="X9" s="818">
        <f>'3. T3 TASE '!J18/1000</f>
        <v>0</v>
      </c>
      <c r="Y9" s="818">
        <f>'3. T3 TASE '!K18/1000</f>
        <v>0</v>
      </c>
      <c r="AA9" s="850" t="s">
        <v>548</v>
      </c>
      <c r="AB9" s="851"/>
      <c r="AC9" s="851"/>
      <c r="AD9" s="1031" t="s">
        <v>89</v>
      </c>
      <c r="AE9" s="2110">
        <f>'8. T4 RAHOITUSSUUN. '!F51/1000</f>
        <v>0</v>
      </c>
      <c r="AF9" s="2110"/>
      <c r="AG9" s="2110">
        <f>'8. T4 RAHOITUSSUUN. '!G51/1000</f>
        <v>0</v>
      </c>
      <c r="AH9" s="2110"/>
      <c r="AI9" s="2110">
        <f>'8. T4 RAHOITUSSUUN. '!H51/1000</f>
        <v>0</v>
      </c>
      <c r="AJ9" s="2110"/>
      <c r="AK9" s="2110">
        <f>'8. T4 RAHOITUSSUUN. '!I51/1000</f>
        <v>0</v>
      </c>
      <c r="AL9" s="2110"/>
      <c r="AM9" s="2110">
        <f>'8. T4 RAHOITUSSUUN. '!J51/1000</f>
        <v>0</v>
      </c>
      <c r="AN9" s="2110"/>
      <c r="AO9" s="2110">
        <f>'8. T4 RAHOITUSSUUN. '!K51/1000</f>
        <v>0</v>
      </c>
      <c r="AP9" s="2110"/>
      <c r="AR9" s="854" t="s">
        <v>296</v>
      </c>
      <c r="AS9" s="855"/>
      <c r="AT9" s="853">
        <f>'8. T4 RAHOITUSSUUN. '!P27</f>
        <v>0</v>
      </c>
      <c r="AU9" s="853">
        <f>'8. T4 RAHOITUSSUUN. '!Q27</f>
        <v>0</v>
      </c>
      <c r="AV9" s="853">
        <f>'8. T4 RAHOITUSSUUN. '!R27</f>
        <v>0</v>
      </c>
      <c r="AW9" s="853">
        <f>'8. T4 RAHOITUSSUUN. '!S27</f>
        <v>0</v>
      </c>
      <c r="AX9" s="853">
        <f>'8. T4 RAHOITUSSUUN. '!T27</f>
        <v>0</v>
      </c>
      <c r="AY9" s="853">
        <f>'8. T4 RAHOITUSSUUN. '!U27</f>
        <v>0</v>
      </c>
    </row>
    <row r="10" spans="2:51" ht="11.25" customHeight="1">
      <c r="B10" s="2140">
        <f>'1. T1 INVESTOINTISUUN.'!B11</f>
        <v>0</v>
      </c>
      <c r="C10" s="2141"/>
      <c r="D10" s="2141"/>
      <c r="E10" s="2141"/>
      <c r="F10" s="2141"/>
      <c r="G10" s="2141"/>
      <c r="H10" s="2141"/>
      <c r="I10" s="2201">
        <f>'1. T1 INVESTOINTISUUN.'!E11</f>
        <v>0</v>
      </c>
      <c r="J10" s="2201"/>
      <c r="K10" s="2201"/>
      <c r="L10" s="2201"/>
      <c r="M10" s="2201"/>
      <c r="N10" s="2201"/>
      <c r="O10" s="2201"/>
      <c r="Q10" s="807"/>
      <c r="R10" s="816" t="s">
        <v>277</v>
      </c>
      <c r="S10" s="834"/>
      <c r="T10" s="832">
        <f>'3. T3 TASE '!F19/1000</f>
        <v>0</v>
      </c>
      <c r="U10" s="818">
        <f>'3. T3 TASE '!G19/1000</f>
        <v>0</v>
      </c>
      <c r="V10" s="818">
        <f>'3. T3 TASE '!H19/1000</f>
        <v>0</v>
      </c>
      <c r="W10" s="818">
        <f>'3. T3 TASE '!I19/1000</f>
        <v>0</v>
      </c>
      <c r="X10" s="818">
        <f>'3. T3 TASE '!J19/1000</f>
        <v>0</v>
      </c>
      <c r="Y10" s="818">
        <f>'3. T3 TASE '!K19/1000</f>
        <v>0</v>
      </c>
      <c r="AA10" s="2170" t="s">
        <v>281</v>
      </c>
      <c r="AB10" s="2170"/>
      <c r="AC10" s="2170"/>
      <c r="AD10" s="2171"/>
      <c r="AE10" s="2169">
        <f>'8. T4 RAHOITUSSUUN. '!F52</f>
        <v>0</v>
      </c>
      <c r="AF10" s="2169"/>
      <c r="AG10" s="2169">
        <f>'8. T4 RAHOITUSSUUN. '!G52</f>
        <v>0</v>
      </c>
      <c r="AH10" s="2169"/>
      <c r="AI10" s="2169">
        <f>'8. T4 RAHOITUSSUUN. '!H52</f>
        <v>0</v>
      </c>
      <c r="AJ10" s="2169"/>
      <c r="AK10" s="2169">
        <f>'8. T4 RAHOITUSSUUN. '!I52</f>
        <v>0</v>
      </c>
      <c r="AL10" s="2169"/>
      <c r="AM10" s="2169">
        <f>'8. T4 RAHOITUSSUUN. '!J52</f>
        <v>0</v>
      </c>
      <c r="AN10" s="2169"/>
      <c r="AO10" s="2169">
        <f>'8. T4 RAHOITUSSUUN. '!K52</f>
        <v>0</v>
      </c>
      <c r="AP10" s="2169"/>
      <c r="AR10" s="397"/>
      <c r="AS10" s="1035" t="s">
        <v>323</v>
      </c>
      <c r="AT10" s="1036">
        <f>'8. T4 RAHOITUSSUUN. '!P28</f>
        <v>0</v>
      </c>
      <c r="AU10" s="1036">
        <f>'8. T4 RAHOITUSSUUN. '!Q28</f>
        <v>0</v>
      </c>
      <c r="AV10" s="1036">
        <f>'8. T4 RAHOITUSSUUN. '!R28</f>
        <v>0</v>
      </c>
      <c r="AW10" s="1036">
        <f>'8. T4 RAHOITUSSUUN. '!S28</f>
        <v>0</v>
      </c>
      <c r="AX10" s="1036">
        <f>'8. T4 RAHOITUSSUUN. '!T28</f>
        <v>0</v>
      </c>
      <c r="AY10" s="1036">
        <f>'8. T4 RAHOITUSSUUN. '!U28</f>
        <v>0</v>
      </c>
    </row>
    <row r="11" spans="2:51" ht="11.25" customHeight="1">
      <c r="B11" s="2141"/>
      <c r="C11" s="2141"/>
      <c r="D11" s="2141"/>
      <c r="E11" s="2141"/>
      <c r="F11" s="2141"/>
      <c r="G11" s="2141"/>
      <c r="H11" s="2141"/>
      <c r="I11" s="2200" t="s">
        <v>748</v>
      </c>
      <c r="J11" s="2200"/>
      <c r="K11" s="2200"/>
      <c r="L11" s="2200"/>
      <c r="M11" s="2200"/>
      <c r="N11" s="2200"/>
      <c r="O11" s="2200"/>
      <c r="Q11" s="807"/>
      <c r="R11" s="817" t="s">
        <v>253</v>
      </c>
      <c r="S11" s="826"/>
      <c r="T11" s="832">
        <f>'3. T3 TASE '!F22/1000</f>
        <v>0</v>
      </c>
      <c r="U11" s="818">
        <f>'3. T3 TASE '!G22/1000</f>
        <v>0</v>
      </c>
      <c r="V11" s="818">
        <f>'3. T3 TASE '!H22/1000</f>
        <v>0</v>
      </c>
      <c r="W11" s="818">
        <f>'3. T3 TASE '!I22/1000</f>
        <v>0</v>
      </c>
      <c r="X11" s="818">
        <f>'3. T3 TASE '!J22/1000</f>
        <v>0</v>
      </c>
      <c r="Y11" s="818">
        <f>'3. T3 TASE '!K22/1000</f>
        <v>0</v>
      </c>
      <c r="AA11" s="850" t="s">
        <v>549</v>
      </c>
      <c r="AB11" s="851"/>
      <c r="AC11" s="851"/>
      <c r="AD11" s="1031" t="s">
        <v>89</v>
      </c>
      <c r="AE11" s="2110">
        <f>'8. T4 RAHOITUSSUUN. '!F53/1000</f>
        <v>0</v>
      </c>
      <c r="AF11" s="2110"/>
      <c r="AG11" s="2110">
        <f>'8. T4 RAHOITUSSUUN. '!G53/1000</f>
        <v>0</v>
      </c>
      <c r="AH11" s="2110"/>
      <c r="AI11" s="2110">
        <f>'8. T4 RAHOITUSSUUN. '!H53/1000</f>
        <v>0</v>
      </c>
      <c r="AJ11" s="2110"/>
      <c r="AK11" s="2110">
        <f>'8. T4 RAHOITUSSUUN. '!I53/1000</f>
        <v>0</v>
      </c>
      <c r="AL11" s="2110"/>
      <c r="AM11" s="2110">
        <f>'8. T4 RAHOITUSSUUN. '!J53/1000</f>
        <v>0</v>
      </c>
      <c r="AN11" s="2110"/>
      <c r="AO11" s="2110">
        <f>'8. T4 RAHOITUSSUUN. '!K53/1000</f>
        <v>0</v>
      </c>
      <c r="AP11" s="2110"/>
      <c r="AR11" s="854" t="s">
        <v>297</v>
      </c>
      <c r="AS11" s="855"/>
      <c r="AT11" s="853">
        <f>'8. T4 RAHOITUSSUUN. '!P29</f>
        <v>0</v>
      </c>
      <c r="AU11" s="853">
        <f>'8. T4 RAHOITUSSUUN. '!Q29</f>
        <v>0</v>
      </c>
      <c r="AV11" s="853">
        <f>'8. T4 RAHOITUSSUUN. '!R29</f>
        <v>0</v>
      </c>
      <c r="AW11" s="853">
        <f>'8. T4 RAHOITUSSUUN. '!S29</f>
        <v>0</v>
      </c>
      <c r="AX11" s="853">
        <f>'8. T4 RAHOITUSSUUN. '!T29</f>
        <v>0</v>
      </c>
      <c r="AY11" s="853">
        <f>'8. T4 RAHOITUSSUUN. '!U29</f>
        <v>0</v>
      </c>
    </row>
    <row r="12" spans="2:51" ht="11.25" customHeight="1">
      <c r="B12" s="2142"/>
      <c r="C12" s="2142"/>
      <c r="D12" s="2142"/>
      <c r="E12" s="2142"/>
      <c r="F12" s="2142"/>
      <c r="G12" s="2142"/>
      <c r="H12" s="2142"/>
      <c r="I12" s="2206">
        <f>'1. T1 INVESTOINTISUUN.'!E13</f>
        <v>0</v>
      </c>
      <c r="J12" s="2206"/>
      <c r="K12" s="2206"/>
      <c r="L12" s="2206"/>
      <c r="M12" s="2206"/>
      <c r="N12" s="2206"/>
      <c r="O12" s="2206"/>
      <c r="Q12" s="807"/>
      <c r="R12" s="817" t="s">
        <v>254</v>
      </c>
      <c r="S12" s="826"/>
      <c r="T12" s="832">
        <f>'3. T3 TASE '!F26/1000</f>
        <v>0</v>
      </c>
      <c r="U12" s="818">
        <f>'3. T3 TASE '!G26/1000</f>
        <v>0</v>
      </c>
      <c r="V12" s="818">
        <f>'3. T3 TASE '!H26/1000</f>
        <v>0</v>
      </c>
      <c r="W12" s="818">
        <f>'3. T3 TASE '!I26/1000</f>
        <v>0</v>
      </c>
      <c r="X12" s="818">
        <f>'3. T3 TASE '!J26/1000</f>
        <v>0</v>
      </c>
      <c r="Y12" s="818">
        <f>'3. T3 TASE '!K26/1000</f>
        <v>0</v>
      </c>
      <c r="AA12" s="850" t="s">
        <v>550</v>
      </c>
      <c r="AB12" s="851"/>
      <c r="AC12" s="851"/>
      <c r="AD12" s="1031" t="s">
        <v>89</v>
      </c>
      <c r="AE12" s="2110"/>
      <c r="AF12" s="2110"/>
      <c r="AG12" s="2110"/>
      <c r="AH12" s="2110"/>
      <c r="AI12" s="2110">
        <f>'8. T4 RAHOITUSSUUN. '!H54/1000</f>
        <v>0</v>
      </c>
      <c r="AJ12" s="2110"/>
      <c r="AK12" s="2110">
        <f>'8. T4 RAHOITUSSUUN. '!I54/1000</f>
        <v>0</v>
      </c>
      <c r="AL12" s="2110"/>
      <c r="AM12" s="2110">
        <f>'8. T4 RAHOITUSSUUN. '!J54/1000</f>
        <v>0</v>
      </c>
      <c r="AN12" s="2110"/>
      <c r="AO12" s="2110">
        <f>'8. T4 RAHOITUSSUUN. '!K54/1000</f>
        <v>0</v>
      </c>
      <c r="AP12" s="2110"/>
      <c r="AR12" s="397"/>
      <c r="AS12" s="1035" t="s">
        <v>323</v>
      </c>
      <c r="AT12" s="1036">
        <f>'8. T4 RAHOITUSSUUN. '!P30</f>
        <v>0</v>
      </c>
      <c r="AU12" s="1036">
        <f>'8. T4 RAHOITUSSUUN. '!Q30</f>
        <v>0</v>
      </c>
      <c r="AV12" s="1036">
        <f>'8. T4 RAHOITUSSUUN. '!R30</f>
        <v>0</v>
      </c>
      <c r="AW12" s="1036">
        <f>'8. T4 RAHOITUSSUUN. '!S30</f>
        <v>0</v>
      </c>
      <c r="AX12" s="1036">
        <f>'8. T4 RAHOITUSSUUN. '!T30</f>
        <v>0</v>
      </c>
      <c r="AY12" s="1036">
        <f>'8. T4 RAHOITUSSUUN. '!U30</f>
        <v>0</v>
      </c>
    </row>
    <row r="13" spans="2:51" ht="10.95" customHeight="1">
      <c r="B13" s="514"/>
      <c r="C13" s="397"/>
      <c r="D13" s="397"/>
      <c r="E13" s="397"/>
      <c r="F13" s="397"/>
      <c r="G13" s="397"/>
      <c r="H13" s="397"/>
      <c r="I13" s="128"/>
      <c r="J13" s="128"/>
      <c r="K13" s="128"/>
      <c r="L13" s="128"/>
      <c r="M13" s="128"/>
      <c r="N13" s="128"/>
      <c r="O13" s="128"/>
      <c r="Q13" s="807"/>
      <c r="R13" s="816" t="s">
        <v>255</v>
      </c>
      <c r="S13" s="834"/>
      <c r="T13" s="832">
        <f>'3. T3 TASE '!F30/1000</f>
        <v>0</v>
      </c>
      <c r="U13" s="818">
        <f>'3. T3 TASE '!G30/1000</f>
        <v>0</v>
      </c>
      <c r="V13" s="818">
        <f>'3. T3 TASE '!H30/1000</f>
        <v>0</v>
      </c>
      <c r="W13" s="818">
        <f>'3. T3 TASE '!I30/1000</f>
        <v>0</v>
      </c>
      <c r="X13" s="818">
        <f>'3. T3 TASE '!J30/1000</f>
        <v>0</v>
      </c>
      <c r="Y13" s="818">
        <f>'3. T3 TASE '!K30/1000</f>
        <v>0</v>
      </c>
      <c r="AA13" s="2204" t="s">
        <v>619</v>
      </c>
      <c r="AB13" s="2204"/>
      <c r="AC13" s="2204"/>
      <c r="AD13" s="2205"/>
      <c r="AE13" s="2111">
        <f>'8. T4 RAHOITUSSUUN. '!F55</f>
        <v>0</v>
      </c>
      <c r="AF13" s="2111"/>
      <c r="AG13" s="2111">
        <f>'8. T4 RAHOITUSSUUN. '!G55</f>
        <v>0</v>
      </c>
      <c r="AH13" s="2111"/>
      <c r="AI13" s="2111">
        <f>'8. T4 RAHOITUSSUUN. '!H55</f>
        <v>0</v>
      </c>
      <c r="AJ13" s="2111"/>
      <c r="AK13" s="2111">
        <f>'8. T4 RAHOITUSSUUN. '!I55</f>
        <v>0</v>
      </c>
      <c r="AL13" s="2111"/>
      <c r="AM13" s="2111">
        <f>'8. T4 RAHOITUSSUUN. '!J55</f>
        <v>0</v>
      </c>
      <c r="AN13" s="2111"/>
      <c r="AO13" s="2111">
        <f>'8. T4 RAHOITUSSUUN. '!K55</f>
        <v>0</v>
      </c>
      <c r="AP13" s="2111"/>
      <c r="AR13" s="854" t="s">
        <v>435</v>
      </c>
      <c r="AS13" s="855"/>
      <c r="AT13" s="1065"/>
      <c r="AU13" s="853">
        <f>'8. T4 RAHOITUSSUUN. '!Q31</f>
        <v>0</v>
      </c>
      <c r="AV13" s="853">
        <f>'8. T4 RAHOITUSSUUN. '!R31</f>
        <v>0</v>
      </c>
      <c r="AW13" s="853">
        <f>'8. T4 RAHOITUSSUUN. '!S31</f>
        <v>0</v>
      </c>
      <c r="AX13" s="853">
        <f>'8. T4 RAHOITUSSUUN. '!T31</f>
        <v>0</v>
      </c>
      <c r="AY13" s="853">
        <f>'8. T4 RAHOITUSSUUN. '!U31</f>
        <v>0</v>
      </c>
    </row>
    <row r="14" spans="2:51" ht="11.25" customHeight="1">
      <c r="B14" s="2229" t="s">
        <v>675</v>
      </c>
      <c r="C14" s="2230"/>
      <c r="D14" s="1282" t="s">
        <v>424</v>
      </c>
      <c r="E14" s="1282" t="s">
        <v>425</v>
      </c>
      <c r="F14" s="1282" t="s">
        <v>426</v>
      </c>
      <c r="G14" s="1282" t="s">
        <v>427</v>
      </c>
      <c r="H14" s="2219" t="s">
        <v>428</v>
      </c>
      <c r="I14" s="2221" t="s">
        <v>518</v>
      </c>
      <c r="J14" s="2221"/>
      <c r="K14" s="2221"/>
      <c r="L14" s="2221"/>
      <c r="M14" s="2221"/>
      <c r="N14" s="2221"/>
      <c r="O14" s="2222"/>
      <c r="Q14" s="807"/>
      <c r="R14" s="817" t="s">
        <v>603</v>
      </c>
      <c r="S14" s="826"/>
      <c r="T14" s="832">
        <f>'3. T3 TASE '!F34/1000</f>
        <v>0</v>
      </c>
      <c r="U14" s="818">
        <f>'3. T3 TASE '!G34/1000</f>
        <v>0</v>
      </c>
      <c r="V14" s="818">
        <f>'3. T3 TASE '!H34/1000</f>
        <v>0</v>
      </c>
      <c r="W14" s="818">
        <f>'3. T3 TASE '!I34/1000</f>
        <v>0</v>
      </c>
      <c r="X14" s="818">
        <f>'3. T3 TASE '!J34/1000</f>
        <v>0</v>
      </c>
      <c r="Y14" s="818">
        <f>'3. T3 TASE '!K34/1000</f>
        <v>0</v>
      </c>
      <c r="AA14" s="850" t="s">
        <v>551</v>
      </c>
      <c r="AB14" s="851"/>
      <c r="AC14" s="851"/>
      <c r="AD14" s="1032" t="s">
        <v>90</v>
      </c>
      <c r="AE14" s="2110">
        <f>'8. T4 RAHOITUSSUUN. '!F56/1000</f>
        <v>0</v>
      </c>
      <c r="AF14" s="2110"/>
      <c r="AG14" s="2110">
        <f>'8. T4 RAHOITUSSUUN. '!G56/1000</f>
        <v>0</v>
      </c>
      <c r="AH14" s="2110"/>
      <c r="AI14" s="2110">
        <f>'8. T4 RAHOITUSSUUN. '!H56/1000</f>
        <v>0</v>
      </c>
      <c r="AJ14" s="2110"/>
      <c r="AK14" s="2110">
        <f>'8. T4 RAHOITUSSUUN. '!I56/1000</f>
        <v>0</v>
      </c>
      <c r="AL14" s="2110"/>
      <c r="AM14" s="2110">
        <f>'8. T4 RAHOITUSSUUN. '!J56/1000</f>
        <v>0</v>
      </c>
      <c r="AN14" s="2110"/>
      <c r="AO14" s="2110">
        <f>'8. T4 RAHOITUSSUUN. '!K56/1000</f>
        <v>0</v>
      </c>
      <c r="AP14" s="2110"/>
      <c r="AR14" s="856" t="s">
        <v>314</v>
      </c>
      <c r="AS14" s="857"/>
      <c r="AT14" s="1065"/>
      <c r="AU14" s="853">
        <f>'8. T4 RAHOITUSSUUN. '!Q32</f>
        <v>0</v>
      </c>
      <c r="AV14" s="853">
        <f>'8. T4 RAHOITUSSUUN. '!R32</f>
        <v>0</v>
      </c>
      <c r="AW14" s="853">
        <f>'8. T4 RAHOITUSSUUN. '!S32</f>
        <v>0</v>
      </c>
      <c r="AX14" s="853">
        <f>'8. T4 RAHOITUSSUUN. '!T32</f>
        <v>0</v>
      </c>
      <c r="AY14" s="853">
        <f>'8. T4 RAHOITUSSUUN. '!U32</f>
        <v>0</v>
      </c>
    </row>
    <row r="15" spans="2:51" ht="11.25" customHeight="1">
      <c r="B15" s="2231"/>
      <c r="C15" s="2208"/>
      <c r="D15" s="1270">
        <f>'2. &amp; 7. T2 TULOSSUUN. '!I8</f>
        <v>2025</v>
      </c>
      <c r="E15" s="1270">
        <f>'2. &amp; 7. T2 TULOSSUUN. '!K8</f>
        <v>2026</v>
      </c>
      <c r="F15" s="1270">
        <f>'2. &amp; 7. T2 TULOSSUUN. '!M8</f>
        <v>2027</v>
      </c>
      <c r="G15" s="1270">
        <f>'2. &amp; 7. T2 TULOSSUUN. '!O8</f>
        <v>2028</v>
      </c>
      <c r="H15" s="2220"/>
      <c r="I15" s="2223"/>
      <c r="J15" s="2223"/>
      <c r="K15" s="2223"/>
      <c r="L15" s="2223"/>
      <c r="M15" s="2223"/>
      <c r="N15" s="2223"/>
      <c r="O15" s="2224"/>
      <c r="Q15" s="830" t="s">
        <v>216</v>
      </c>
      <c r="R15" s="835" t="s">
        <v>217</v>
      </c>
      <c r="S15" s="827"/>
      <c r="T15" s="831">
        <f>'3. T3 TASE '!F38/1000</f>
        <v>0</v>
      </c>
      <c r="U15" s="829">
        <f>'3. T3 TASE '!G38/1000</f>
        <v>0</v>
      </c>
      <c r="V15" s="829">
        <f>'3. T3 TASE '!H38/1000</f>
        <v>0</v>
      </c>
      <c r="W15" s="829">
        <f>'3. T3 TASE '!I38/1000</f>
        <v>0</v>
      </c>
      <c r="X15" s="829">
        <f>'3. T3 TASE '!J38/1000</f>
        <v>0</v>
      </c>
      <c r="Y15" s="829">
        <f>'3. T3 TASE '!K38/1000</f>
        <v>0</v>
      </c>
      <c r="AA15" s="2204" t="s">
        <v>433</v>
      </c>
      <c r="AB15" s="2204"/>
      <c r="AC15" s="2204"/>
      <c r="AD15" s="2205"/>
      <c r="AE15" s="2144">
        <f>'8. T4 RAHOITUSSUUN. '!F57</f>
        <v>0</v>
      </c>
      <c r="AF15" s="2144"/>
      <c r="AG15" s="2144">
        <f>'8. T4 RAHOITUSSUUN. '!G57</f>
        <v>0</v>
      </c>
      <c r="AH15" s="2144"/>
      <c r="AI15" s="2144">
        <f>'8. T4 RAHOITUSSUUN. '!H57</f>
        <v>0</v>
      </c>
      <c r="AJ15" s="2144"/>
      <c r="AK15" s="2144">
        <f>'8. T4 RAHOITUSSUUN. '!I57</f>
        <v>0</v>
      </c>
      <c r="AL15" s="2144"/>
      <c r="AM15" s="2144">
        <f>'8. T4 RAHOITUSSUUN. '!J57</f>
        <v>0</v>
      </c>
      <c r="AN15" s="2144"/>
      <c r="AO15" s="2144">
        <f>'8. T4 RAHOITUSSUUN. '!K57</f>
        <v>0</v>
      </c>
      <c r="AP15" s="2144"/>
      <c r="AR15" s="397"/>
      <c r="AS15" s="1035" t="s">
        <v>323</v>
      </c>
      <c r="AT15" s="1037"/>
      <c r="AU15" s="1036">
        <f>'8. T4 RAHOITUSSUUN. '!Q33</f>
        <v>0</v>
      </c>
      <c r="AV15" s="1036">
        <f>'8. T4 RAHOITUSSUUN. '!R33</f>
        <v>0</v>
      </c>
      <c r="AW15" s="1036">
        <f>'8. T4 RAHOITUSSUUN. '!S33</f>
        <v>0</v>
      </c>
      <c r="AX15" s="1036">
        <f>'8. T4 RAHOITUSSUUN. '!T33</f>
        <v>0</v>
      </c>
      <c r="AY15" s="1036">
        <f>'8. T4 RAHOITUSSUUN. '!U33</f>
        <v>0</v>
      </c>
    </row>
    <row r="16" spans="2:51" ht="11.25" customHeight="1">
      <c r="B16" s="1283" t="s">
        <v>2</v>
      </c>
      <c r="C16" s="834" t="s">
        <v>138</v>
      </c>
      <c r="D16" s="818">
        <f>'1. T1 INVESTOINTISUUN.'!D17/1000</f>
        <v>0</v>
      </c>
      <c r="E16" s="818">
        <f>'1. T1 INVESTOINTISUUN.'!E17/1000</f>
        <v>0</v>
      </c>
      <c r="F16" s="818">
        <f>'1. T1 INVESTOINTISUUN.'!F17/1000</f>
        <v>0</v>
      </c>
      <c r="G16" s="818">
        <f>'1. T1 INVESTOINTISUUN.'!G17/1000</f>
        <v>0</v>
      </c>
      <c r="H16" s="818">
        <f>SUM(D16:G16)</f>
        <v>0</v>
      </c>
      <c r="I16" s="804">
        <f>'1. T1 INVESTOINTISUUN.'!J17</f>
        <v>0</v>
      </c>
      <c r="J16" s="804"/>
      <c r="K16" s="804"/>
      <c r="L16" s="804"/>
      <c r="M16" s="804"/>
      <c r="N16" s="804"/>
      <c r="O16" s="1284"/>
      <c r="Q16" s="807"/>
      <c r="R16" s="817" t="s">
        <v>604</v>
      </c>
      <c r="S16" s="826"/>
      <c r="T16" s="832">
        <f>'3. T3 TASE '!F39/1000</f>
        <v>0</v>
      </c>
      <c r="U16" s="818">
        <f>'3. T3 TASE '!G39/1000</f>
        <v>0</v>
      </c>
      <c r="V16" s="818">
        <f>'3. T3 TASE '!H39/1000</f>
        <v>0</v>
      </c>
      <c r="W16" s="818">
        <f>'3. T3 TASE '!I39/1000</f>
        <v>0</v>
      </c>
      <c r="X16" s="818">
        <f>'3. T3 TASE '!J39/1000</f>
        <v>0</v>
      </c>
      <c r="Y16" s="818">
        <f>'3. T3 TASE '!K39/1000</f>
        <v>0</v>
      </c>
      <c r="AA16" s="850" t="s">
        <v>552</v>
      </c>
      <c r="AB16" s="851"/>
      <c r="AC16" s="851"/>
      <c r="AD16" s="1032" t="s">
        <v>90</v>
      </c>
      <c r="AE16" s="2110">
        <f>'8. T4 RAHOITUSSUUN. '!F58/1000</f>
        <v>0</v>
      </c>
      <c r="AF16" s="2110"/>
      <c r="AG16" s="2110">
        <f>'8. T4 RAHOITUSSUUN. '!G58/1000</f>
        <v>0</v>
      </c>
      <c r="AH16" s="2110"/>
      <c r="AI16" s="2110">
        <f>'8. T4 RAHOITUSSUUN. '!H58/1000</f>
        <v>0</v>
      </c>
      <c r="AJ16" s="2110"/>
      <c r="AK16" s="2110">
        <f>'8. T4 RAHOITUSSUUN. '!I58/1000</f>
        <v>0</v>
      </c>
      <c r="AL16" s="2110"/>
      <c r="AM16" s="2110">
        <f>'8. T4 RAHOITUSSUUN. '!J58/1000</f>
        <v>0</v>
      </c>
      <c r="AN16" s="2110"/>
      <c r="AO16" s="2110">
        <f>'8. T4 RAHOITUSSUUN. '!K58/1000</f>
        <v>0</v>
      </c>
      <c r="AP16" s="2110"/>
      <c r="AR16" s="976" t="s">
        <v>298</v>
      </c>
      <c r="AS16" s="130"/>
      <c r="AT16" s="1045"/>
      <c r="AU16" s="1045"/>
      <c r="AV16" s="1045"/>
      <c r="AW16" s="1045"/>
      <c r="AX16" s="1045"/>
      <c r="AY16" s="1046"/>
    </row>
    <row r="17" spans="1:51" ht="11.25" customHeight="1">
      <c r="A17" s="50"/>
      <c r="B17" s="1285"/>
      <c r="C17" s="826" t="s">
        <v>198</v>
      </c>
      <c r="D17" s="819">
        <f>'1. T1 INVESTOINTISUUN.'!D19</f>
        <v>0</v>
      </c>
      <c r="E17" s="819">
        <f>'1. T1 INVESTOINTISUUN.'!E19</f>
        <v>0</v>
      </c>
      <c r="F17" s="819">
        <f>'1. T1 INVESTOINTISUUN.'!F19</f>
        <v>0</v>
      </c>
      <c r="G17" s="819">
        <f>'1. T1 INVESTOINTISUUN.'!G19</f>
        <v>0</v>
      </c>
      <c r="H17" s="820"/>
      <c r="I17" s="804" t="s">
        <v>0</v>
      </c>
      <c r="J17" s="804"/>
      <c r="K17" s="804"/>
      <c r="L17" s="804"/>
      <c r="M17" s="804"/>
      <c r="N17" s="804"/>
      <c r="O17" s="1284"/>
      <c r="Q17" s="807"/>
      <c r="R17" s="817" t="s">
        <v>605</v>
      </c>
      <c r="S17" s="826"/>
      <c r="T17" s="832">
        <f>'3. T3 TASE '!F41/1000</f>
        <v>0</v>
      </c>
      <c r="U17" s="818">
        <f>'3. T3 TASE '!G41/1000</f>
        <v>0</v>
      </c>
      <c r="V17" s="818">
        <f>'3. T3 TASE '!H41/1000</f>
        <v>0</v>
      </c>
      <c r="W17" s="818">
        <f>'3. T3 TASE '!I41/1000</f>
        <v>0</v>
      </c>
      <c r="X17" s="818">
        <f>'3. T3 TASE '!J41/1000</f>
        <v>0</v>
      </c>
      <c r="Y17" s="818">
        <f>'3. T3 TASE '!K41/1000</f>
        <v>0</v>
      </c>
      <c r="AA17" s="2202" t="s">
        <v>618</v>
      </c>
      <c r="AB17" s="2202"/>
      <c r="AC17" s="2202"/>
      <c r="AD17" s="2203"/>
      <c r="AE17" s="2145">
        <f>'8. T4 RAHOITUSSUUN. '!F59</f>
        <v>0</v>
      </c>
      <c r="AF17" s="2145"/>
      <c r="AG17" s="2145">
        <f>'8. T4 RAHOITUSSUUN. '!G59</f>
        <v>0</v>
      </c>
      <c r="AH17" s="2145"/>
      <c r="AI17" s="2145">
        <f>'8. T4 RAHOITUSSUUN. '!H59</f>
        <v>0</v>
      </c>
      <c r="AJ17" s="2145"/>
      <c r="AK17" s="2145">
        <f>'8. T4 RAHOITUSSUUN. '!I59</f>
        <v>0</v>
      </c>
      <c r="AL17" s="2145"/>
      <c r="AM17" s="2145">
        <f>'8. T4 RAHOITUSSUUN. '!J59</f>
        <v>0</v>
      </c>
      <c r="AN17" s="2145"/>
      <c r="AO17" s="2145">
        <f>'8. T4 RAHOITUSSUUN. '!K59</f>
        <v>0</v>
      </c>
      <c r="AP17" s="2145"/>
      <c r="AR17" s="854" t="s">
        <v>299</v>
      </c>
      <c r="AS17" s="858"/>
      <c r="AT17" s="1039">
        <f>'8. T4 RAHOITUSSUUN. '!P35</f>
        <v>0</v>
      </c>
      <c r="AU17" s="1039">
        <f>'8. T4 RAHOITUSSUUN. '!Q35</f>
        <v>0</v>
      </c>
      <c r="AV17" s="1039">
        <f>'8. T4 RAHOITUSSUUN. '!R35</f>
        <v>0</v>
      </c>
      <c r="AW17" s="1039">
        <f>'8. T4 RAHOITUSSUUN. '!S35</f>
        <v>0</v>
      </c>
      <c r="AX17" s="1039">
        <f>'8. T4 RAHOITUSSUUN. '!T35</f>
        <v>0</v>
      </c>
      <c r="AY17" s="1039">
        <f>'8. T4 RAHOITUSSUUN. '!U35</f>
        <v>0</v>
      </c>
    </row>
    <row r="18" spans="1:51" ht="11.25" customHeight="1">
      <c r="B18" s="1285" t="s">
        <v>3</v>
      </c>
      <c r="C18" s="826" t="s">
        <v>537</v>
      </c>
      <c r="D18" s="818">
        <f>'1. T1 INVESTOINTISUUN.'!D20/1000</f>
        <v>0</v>
      </c>
      <c r="E18" s="818">
        <f>'1. T1 INVESTOINTISUUN.'!E20/1000</f>
        <v>0</v>
      </c>
      <c r="F18" s="818">
        <f>'1. T1 INVESTOINTISUUN.'!F20/1000</f>
        <v>0</v>
      </c>
      <c r="G18" s="818">
        <f>'1. T1 INVESTOINTISUUN.'!G20/1000</f>
        <v>0</v>
      </c>
      <c r="H18" s="818">
        <f>SUM(D18:G18)</f>
        <v>0</v>
      </c>
      <c r="I18" s="804">
        <f>'1. T1 INVESTOINTISUUN.'!J20</f>
        <v>0</v>
      </c>
      <c r="J18" s="804"/>
      <c r="K18" s="804"/>
      <c r="L18" s="804"/>
      <c r="M18" s="804"/>
      <c r="N18" s="804"/>
      <c r="O18" s="1284"/>
      <c r="Q18" s="807" t="s">
        <v>0</v>
      </c>
      <c r="R18" s="816" t="s">
        <v>210</v>
      </c>
      <c r="S18" s="834"/>
      <c r="T18" s="832">
        <f>'3. T3 TASE '!F42/1000</f>
        <v>0</v>
      </c>
      <c r="U18" s="818">
        <f>'3. T3 TASE '!G42/1000</f>
        <v>0</v>
      </c>
      <c r="V18" s="818">
        <f>'3. T3 TASE '!H42/1000</f>
        <v>0</v>
      </c>
      <c r="W18" s="818">
        <f>'3. T3 TASE '!I42/1000</f>
        <v>0</v>
      </c>
      <c r="X18" s="818">
        <f>'3. T3 TASE '!J42/1000</f>
        <v>0</v>
      </c>
      <c r="Y18" s="818">
        <f>'3. T3 TASE '!K42/1000</f>
        <v>0</v>
      </c>
      <c r="AA18" s="1305" t="s">
        <v>553</v>
      </c>
      <c r="AB18" s="1306"/>
      <c r="AC18" s="1306"/>
      <c r="AD18" s="1307" t="s">
        <v>145</v>
      </c>
      <c r="AE18" s="2110">
        <f>'8. T4 RAHOITUSSUUN. '!F60/1000</f>
        <v>0</v>
      </c>
      <c r="AF18" s="2110"/>
      <c r="AG18" s="2110">
        <f>'8. T4 RAHOITUSSUUN. '!G60/1000</f>
        <v>0</v>
      </c>
      <c r="AH18" s="2110"/>
      <c r="AI18" s="2110">
        <f>'8. T4 RAHOITUSSUUN. '!H60/1000</f>
        <v>0</v>
      </c>
      <c r="AJ18" s="2110"/>
      <c r="AK18" s="2110">
        <f>'8. T4 RAHOITUSSUUN. '!I60/1000</f>
        <v>0</v>
      </c>
      <c r="AL18" s="2110"/>
      <c r="AM18" s="2110">
        <f>'8. T4 RAHOITUSSUUN. '!J60/1000</f>
        <v>0</v>
      </c>
      <c r="AN18" s="2110"/>
      <c r="AO18" s="2110">
        <f>'8. T4 RAHOITUSSUUN. '!K60/1000</f>
        <v>0</v>
      </c>
      <c r="AP18" s="2110"/>
      <c r="AR18" s="397"/>
      <c r="AS18" s="1038" t="s">
        <v>323</v>
      </c>
      <c r="AT18" s="1036">
        <f>'8. T4 RAHOITUSSUUN. '!P36</f>
        <v>0</v>
      </c>
      <c r="AU18" s="1036">
        <f>'8. T4 RAHOITUSSUUN. '!Q36</f>
        <v>0</v>
      </c>
      <c r="AV18" s="1036">
        <f>'8. T4 RAHOITUSSUUN. '!R36</f>
        <v>0</v>
      </c>
      <c r="AW18" s="1036">
        <f>'8. T4 RAHOITUSSUUN. '!S36</f>
        <v>0</v>
      </c>
      <c r="AX18" s="1036">
        <f>'8. T4 RAHOITUSSUUN. '!T36</f>
        <v>0</v>
      </c>
      <c r="AY18" s="1036">
        <f>'8. T4 RAHOITUSSUUN. '!U36</f>
        <v>0</v>
      </c>
    </row>
    <row r="19" spans="1:51" ht="11.25" customHeight="1">
      <c r="B19" s="1285"/>
      <c r="C19" s="826" t="s">
        <v>198</v>
      </c>
      <c r="D19" s="819">
        <f>'1. T1 INVESTOINTISUUN.'!D23</f>
        <v>0</v>
      </c>
      <c r="E19" s="819">
        <f>'1. T1 INVESTOINTISUUN.'!E23</f>
        <v>0</v>
      </c>
      <c r="F19" s="819">
        <f>'1. T1 INVESTOINTISUUN.'!F23</f>
        <v>0</v>
      </c>
      <c r="G19" s="819">
        <f>'1. T1 INVESTOINTISUUN.'!G23</f>
        <v>0</v>
      </c>
      <c r="H19" s="820"/>
      <c r="I19" s="804"/>
      <c r="J19" s="804"/>
      <c r="K19" s="804"/>
      <c r="L19" s="804"/>
      <c r="M19" s="804"/>
      <c r="N19" s="804"/>
      <c r="O19" s="1284"/>
      <c r="R19" s="817" t="s">
        <v>249</v>
      </c>
      <c r="S19" s="826"/>
      <c r="T19" s="818">
        <f>'3. T3 TASE '!F44/1000</f>
        <v>0</v>
      </c>
      <c r="U19" s="818">
        <f>'3. T3 TASE '!G44/1000</f>
        <v>0</v>
      </c>
      <c r="V19" s="818">
        <f>'3. T3 TASE '!H44/1000</f>
        <v>0</v>
      </c>
      <c r="W19" s="818">
        <f>'3. T3 TASE '!I44/1000</f>
        <v>0</v>
      </c>
      <c r="X19" s="818">
        <f>'3. T3 TASE '!J44/1000</f>
        <v>0</v>
      </c>
      <c r="Y19" s="818">
        <f>'3. T3 TASE '!K44/1000</f>
        <v>0</v>
      </c>
      <c r="AA19" s="1305" t="s">
        <v>554</v>
      </c>
      <c r="AB19" s="1306"/>
      <c r="AC19" s="1306"/>
      <c r="AD19" s="1308" t="s">
        <v>96</v>
      </c>
      <c r="AE19" s="2175">
        <v>0</v>
      </c>
      <c r="AF19" s="2176"/>
      <c r="AG19" s="2110">
        <f>'8. T4 RAHOITUSSUUN. '!G61/1000</f>
        <v>0</v>
      </c>
      <c r="AH19" s="2110"/>
      <c r="AI19" s="2110">
        <f>'8. T4 RAHOITUSSUUN. '!H61/1000</f>
        <v>0</v>
      </c>
      <c r="AJ19" s="2110"/>
      <c r="AK19" s="2110">
        <f>'8. T4 RAHOITUSSUUN. '!I61/1000</f>
        <v>0</v>
      </c>
      <c r="AL19" s="2110"/>
      <c r="AM19" s="2110">
        <f>'8. T4 RAHOITUSSUUN. '!J61/1000</f>
        <v>0</v>
      </c>
      <c r="AN19" s="2110"/>
      <c r="AO19" s="2110">
        <f>'8. T4 RAHOITUSSUUN. '!K61/1000</f>
        <v>0</v>
      </c>
      <c r="AP19" s="2110"/>
      <c r="AR19" s="854" t="str">
        <f>'8. T4 RAHOITUSSUUN. '!M37</f>
        <v xml:space="preserve"> Net Gearing (nettovelkaantumisaste)</v>
      </c>
      <c r="AS19" s="858"/>
      <c r="AT19" s="1040">
        <f>'8. T4 RAHOITUSSUUN. '!P37</f>
        <v>0</v>
      </c>
      <c r="AU19" s="1040">
        <f>'8. T4 RAHOITUSSUUN. '!Q37</f>
        <v>0</v>
      </c>
      <c r="AV19" s="1040">
        <f>'8. T4 RAHOITUSSUUN. '!R37</f>
        <v>0</v>
      </c>
      <c r="AW19" s="1040">
        <f>'8. T4 RAHOITUSSUUN. '!S37</f>
        <v>0</v>
      </c>
      <c r="AX19" s="1040">
        <f>'8. T4 RAHOITUSSUUN. '!T37</f>
        <v>0</v>
      </c>
      <c r="AY19" s="1040">
        <f>'8. T4 RAHOITUSSUUN. '!U37</f>
        <v>0</v>
      </c>
    </row>
    <row r="20" spans="1:51" ht="11.25" customHeight="1">
      <c r="B20" s="1285" t="s">
        <v>4</v>
      </c>
      <c r="C20" s="826" t="s">
        <v>536</v>
      </c>
      <c r="D20" s="818">
        <f>'1. T1 INVESTOINTISUUN.'!D24/1000</f>
        <v>0</v>
      </c>
      <c r="E20" s="818">
        <f>'1. T1 INVESTOINTISUUN.'!E24/1000</f>
        <v>0</v>
      </c>
      <c r="F20" s="818">
        <f>'1. T1 INVESTOINTISUUN.'!F24/1000</f>
        <v>0</v>
      </c>
      <c r="G20" s="818">
        <f>'1. T1 INVESTOINTISUUN.'!G24/1000</f>
        <v>0</v>
      </c>
      <c r="H20" s="818">
        <f>SUM(D20:G20)</f>
        <v>0</v>
      </c>
      <c r="I20" s="804">
        <f>'1. T1 INVESTOINTISUUN.'!J24</f>
        <v>0</v>
      </c>
      <c r="J20" s="804"/>
      <c r="K20" s="804"/>
      <c r="L20" s="804"/>
      <c r="M20" s="804"/>
      <c r="N20" s="804"/>
      <c r="O20" s="1284"/>
      <c r="Q20" s="807"/>
      <c r="R20" s="817" t="s">
        <v>306</v>
      </c>
      <c r="S20" s="826"/>
      <c r="T20" s="818">
        <f>'3. T3 TASE '!F46/1000</f>
        <v>0</v>
      </c>
      <c r="U20" s="818">
        <f>'3. T3 TASE '!G46/1000</f>
        <v>0</v>
      </c>
      <c r="V20" s="818">
        <f>'3. T3 TASE '!H46/1000</f>
        <v>0</v>
      </c>
      <c r="W20" s="818">
        <f>'3. T3 TASE '!I46/1000</f>
        <v>0</v>
      </c>
      <c r="X20" s="818">
        <f>'3. T3 TASE '!J46/1000</f>
        <v>0</v>
      </c>
      <c r="Y20" s="818">
        <f>'3. T3 TASE '!K46/1000</f>
        <v>0</v>
      </c>
      <c r="AR20" s="397"/>
      <c r="AS20" s="1067" t="s">
        <v>323</v>
      </c>
      <c r="AT20" s="1068" t="str">
        <f>'8. T4 RAHOITUSSUUN. '!P38</f>
        <v/>
      </c>
      <c r="AU20" s="1068" t="str">
        <f>'8. T4 RAHOITUSSUUN. '!Q38</f>
        <v/>
      </c>
      <c r="AV20" s="1068" t="str">
        <f>'8. T4 RAHOITUSSUUN. '!R38</f>
        <v/>
      </c>
      <c r="AW20" s="1068" t="str">
        <f>'8. T4 RAHOITUSSUUN. '!S38</f>
        <v/>
      </c>
      <c r="AX20" s="1068" t="str">
        <f>'8. T4 RAHOITUSSUUN. '!T38</f>
        <v/>
      </c>
      <c r="AY20" s="1068" t="str">
        <f>'8. T4 RAHOITUSSUUN. '!U38</f>
        <v/>
      </c>
    </row>
    <row r="21" spans="1:51" ht="11.25" customHeight="1">
      <c r="B21" s="1285" t="s">
        <v>5</v>
      </c>
      <c r="C21" s="826" t="s">
        <v>709</v>
      </c>
      <c r="D21" s="818">
        <f>'1. T1 INVESTOINTISUUN.'!D27/1000</f>
        <v>0</v>
      </c>
      <c r="E21" s="818">
        <f>'1. T1 INVESTOINTISUUN.'!E27/1000</f>
        <v>0</v>
      </c>
      <c r="F21" s="818">
        <f>'1. T1 INVESTOINTISUUN.'!F27/1000</f>
        <v>0</v>
      </c>
      <c r="G21" s="818">
        <f>'1. T1 INVESTOINTISUUN.'!G27/1000</f>
        <v>0</v>
      </c>
      <c r="H21" s="818">
        <f>SUM(D21:G21)</f>
        <v>0</v>
      </c>
      <c r="I21" s="804">
        <f>'1. T1 INVESTOINTISUUN.'!J27</f>
        <v>0</v>
      </c>
      <c r="J21" s="804"/>
      <c r="K21" s="804"/>
      <c r="L21" s="804"/>
      <c r="M21" s="804"/>
      <c r="N21" s="804"/>
      <c r="O21" s="1284"/>
      <c r="Q21" s="807" t="s">
        <v>0</v>
      </c>
      <c r="R21" s="816" t="s">
        <v>307</v>
      </c>
      <c r="S21" s="834"/>
      <c r="T21" s="832">
        <f>'3. T3 TASE '!F47/1000</f>
        <v>0</v>
      </c>
      <c r="U21" s="818">
        <f>'3. T3 TASE '!G47/1000</f>
        <v>0</v>
      </c>
      <c r="V21" s="818">
        <f>'3. T3 TASE '!H47/1000</f>
        <v>0</v>
      </c>
      <c r="W21" s="818">
        <f>'3. T3 TASE '!I47/1000</f>
        <v>0</v>
      </c>
      <c r="X21" s="818">
        <f>'3. T3 TASE '!J47/1000</f>
        <v>0</v>
      </c>
      <c r="Y21" s="818">
        <f>'3. T3 TASE '!K47/1000</f>
        <v>0</v>
      </c>
    </row>
    <row r="22" spans="1:51" ht="11.25" customHeight="1">
      <c r="B22" s="1285"/>
      <c r="C22" s="826" t="s">
        <v>198</v>
      </c>
      <c r="D22" s="819">
        <f>'1. T1 INVESTOINTISUUN.'!D29</f>
        <v>0</v>
      </c>
      <c r="E22" s="819">
        <f>'1. T1 INVESTOINTISUUN.'!E29</f>
        <v>0</v>
      </c>
      <c r="F22" s="819">
        <f>'1. T1 INVESTOINTISUUN.'!F29</f>
        <v>0</v>
      </c>
      <c r="G22" s="819">
        <f>'1. T1 INVESTOINTISUUN.'!G29</f>
        <v>0</v>
      </c>
      <c r="H22" s="820"/>
      <c r="I22" s="804"/>
      <c r="J22" s="804"/>
      <c r="K22" s="804"/>
      <c r="L22" s="804"/>
      <c r="M22" s="804"/>
      <c r="N22" s="804"/>
      <c r="O22" s="1284"/>
      <c r="Q22" s="807"/>
      <c r="R22" s="817" t="s">
        <v>606</v>
      </c>
      <c r="S22" s="826"/>
      <c r="T22" s="832">
        <f>'3. T3 TASE '!F48/1000</f>
        <v>0</v>
      </c>
      <c r="U22" s="818">
        <f>'3. T3 TASE '!G48/1000</f>
        <v>0</v>
      </c>
      <c r="V22" s="818">
        <f>'3. T3 TASE '!H48/1000</f>
        <v>0</v>
      </c>
      <c r="W22" s="818">
        <f>'3. T3 TASE '!I48/1000</f>
        <v>0</v>
      </c>
      <c r="X22" s="818">
        <f>'3. T3 TASE '!J48/1000</f>
        <v>0</v>
      </c>
      <c r="Y22" s="818">
        <f>'3. T3 TASE '!K48/1000</f>
        <v>0</v>
      </c>
    </row>
    <row r="23" spans="1:51" ht="11.25" customHeight="1">
      <c r="B23" s="1285" t="s">
        <v>6</v>
      </c>
      <c r="C23" s="826" t="s">
        <v>535</v>
      </c>
      <c r="D23" s="818">
        <f>'1. T1 INVESTOINTISUUN.'!D30/1000</f>
        <v>0</v>
      </c>
      <c r="E23" s="818">
        <f>'1. T1 INVESTOINTISUUN.'!E30/1000</f>
        <v>0</v>
      </c>
      <c r="F23" s="818">
        <f>'1. T1 INVESTOINTISUUN.'!F30/1000</f>
        <v>0</v>
      </c>
      <c r="G23" s="818">
        <f>'1. T1 INVESTOINTISUUN.'!G30/1000</f>
        <v>0</v>
      </c>
      <c r="H23" s="818">
        <f>SUM(D23:G23)</f>
        <v>0</v>
      </c>
      <c r="I23" s="804">
        <f>'1. T1 INVESTOINTISUUN.'!J30</f>
        <v>0</v>
      </c>
      <c r="J23" s="804"/>
      <c r="K23" s="804"/>
      <c r="L23" s="804"/>
      <c r="M23" s="804"/>
      <c r="N23" s="804"/>
      <c r="O23" s="1284"/>
      <c r="Q23" s="807"/>
      <c r="R23" s="817" t="s">
        <v>607</v>
      </c>
      <c r="S23" s="826"/>
      <c r="T23" s="867">
        <f>'3. T3 TASE '!F49/1000</f>
        <v>0</v>
      </c>
      <c r="U23" s="868">
        <f>'3. T3 TASE '!G49/1000</f>
        <v>0</v>
      </c>
      <c r="V23" s="868">
        <f>'3. T3 TASE '!H49/1000</f>
        <v>0</v>
      </c>
      <c r="W23" s="868">
        <f>'3. T3 TASE '!I49/1000</f>
        <v>0</v>
      </c>
      <c r="X23" s="868">
        <f>'3. T3 TASE '!J49/1000</f>
        <v>0</v>
      </c>
      <c r="Y23" s="868">
        <f>'3. T3 TASE '!K49/1000</f>
        <v>0</v>
      </c>
      <c r="AA23" s="2209" t="s">
        <v>570</v>
      </c>
      <c r="AB23" s="2209"/>
    </row>
    <row r="24" spans="1:51" ht="11.25" customHeight="1">
      <c r="B24" s="1285" t="s">
        <v>7</v>
      </c>
      <c r="C24" s="826" t="s">
        <v>749</v>
      </c>
      <c r="D24" s="818">
        <f>'1. T1 INVESTOINTISUUN.'!D32/1000</f>
        <v>0</v>
      </c>
      <c r="E24" s="818">
        <f>'1. T1 INVESTOINTISUUN.'!E32/1000</f>
        <v>0</v>
      </c>
      <c r="F24" s="818">
        <f>'1. T1 INVESTOINTISUUN.'!F32/1000</f>
        <v>0</v>
      </c>
      <c r="G24" s="818">
        <f>'1. T1 INVESTOINTISUUN.'!G32/1000</f>
        <v>0</v>
      </c>
      <c r="H24" s="818">
        <f>SUM(D24:G24)</f>
        <v>0</v>
      </c>
      <c r="I24" s="804">
        <f>'1. T1 INVESTOINTISUUN.'!J32</f>
        <v>0</v>
      </c>
      <c r="J24" s="804"/>
      <c r="K24" s="804"/>
      <c r="L24" s="804"/>
      <c r="M24" s="804"/>
      <c r="N24" s="804"/>
      <c r="O24" s="1284"/>
      <c r="Q24" s="2212" t="s">
        <v>244</v>
      </c>
      <c r="R24" s="2213"/>
      <c r="S24" s="2213"/>
      <c r="T24" s="869">
        <f>'3. T3 TASE '!F51/1000</f>
        <v>0</v>
      </c>
      <c r="U24" s="870">
        <f>'3. T3 TASE '!G51/1000</f>
        <v>0</v>
      </c>
      <c r="V24" s="870">
        <f>'3. T3 TASE '!H51/1000</f>
        <v>0</v>
      </c>
      <c r="W24" s="870">
        <f>'3. T3 TASE '!I51/1000</f>
        <v>0</v>
      </c>
      <c r="X24" s="870">
        <f>'3. T3 TASE '!J51/1000</f>
        <v>0</v>
      </c>
      <c r="Y24" s="870">
        <f>'3. T3 TASE '!K51/1000</f>
        <v>0</v>
      </c>
      <c r="AE24" s="2194" t="s">
        <v>122</v>
      </c>
      <c r="AF24" s="2194"/>
      <c r="AG24" s="2194"/>
      <c r="AH24" s="2194"/>
      <c r="AI24" s="2194"/>
      <c r="AJ24" s="2194"/>
      <c r="AK24" s="2194"/>
      <c r="AL24" s="2194"/>
      <c r="AM24" s="2194"/>
      <c r="AN24" s="2194"/>
      <c r="AO24" s="2194"/>
      <c r="AP24" s="2194"/>
    </row>
    <row r="25" spans="1:51" ht="11.25" customHeight="1">
      <c r="B25" s="1285"/>
      <c r="C25" s="826" t="s">
        <v>198</v>
      </c>
      <c r="D25" s="819">
        <f>'1. T1 INVESTOINTISUUN.'!D34</f>
        <v>0</v>
      </c>
      <c r="E25" s="819">
        <f>'1. T1 INVESTOINTISUUN.'!E34</f>
        <v>0</v>
      </c>
      <c r="F25" s="819">
        <f>'1. T1 INVESTOINTISUUN.'!F34</f>
        <v>0</v>
      </c>
      <c r="G25" s="819">
        <f>'1. T1 INVESTOINTISUUN.'!G34</f>
        <v>0</v>
      </c>
      <c r="H25" s="820"/>
      <c r="I25" s="804"/>
      <c r="J25" s="804"/>
      <c r="K25" s="804"/>
      <c r="L25" s="804"/>
      <c r="M25" s="804"/>
      <c r="N25" s="804"/>
      <c r="O25" s="1284"/>
      <c r="Q25" s="518"/>
      <c r="R25" s="518"/>
      <c r="S25" s="518"/>
      <c r="T25" s="830"/>
      <c r="U25" s="830">
        <f>T25</f>
        <v>0</v>
      </c>
      <c r="V25" s="830"/>
      <c r="W25" s="830"/>
      <c r="X25" s="830"/>
      <c r="Y25" s="830"/>
      <c r="AA25" s="2214" t="s">
        <v>390</v>
      </c>
      <c r="AB25" s="2178" t="s">
        <v>599</v>
      </c>
      <c r="AC25" s="2179" t="s">
        <v>597</v>
      </c>
      <c r="AD25" s="2180" t="str">
        <f>'4. T7 LAINAT '!E7</f>
        <v>Korko-%</v>
      </c>
      <c r="AE25" s="2194"/>
      <c r="AF25" s="2194"/>
      <c r="AG25" s="2194"/>
      <c r="AH25" s="2194"/>
      <c r="AI25" s="2194"/>
      <c r="AJ25" s="2194"/>
      <c r="AK25" s="2194"/>
      <c r="AL25" s="2194"/>
      <c r="AM25" s="2194"/>
      <c r="AN25" s="2194"/>
      <c r="AO25" s="2194"/>
      <c r="AP25" s="2194"/>
    </row>
    <row r="26" spans="1:51" ht="11.25" customHeight="1">
      <c r="B26" s="1285" t="s">
        <v>8</v>
      </c>
      <c r="C26" s="826" t="s">
        <v>534</v>
      </c>
      <c r="D26" s="818">
        <f>'1. T1 INVESTOINTISUUN.'!D35/1000</f>
        <v>0</v>
      </c>
      <c r="E26" s="818">
        <f>'1. T1 INVESTOINTISUUN.'!E35/1000</f>
        <v>0</v>
      </c>
      <c r="F26" s="818">
        <f>'1. T1 INVESTOINTISUUN.'!F35/1000</f>
        <v>0</v>
      </c>
      <c r="G26" s="818">
        <f>'1. T1 INVESTOINTISUUN.'!G35/1000</f>
        <v>0</v>
      </c>
      <c r="H26" s="818">
        <f>SUM(D26:G26)</f>
        <v>0</v>
      </c>
      <c r="I26" s="804">
        <f>'1. T1 INVESTOINTISUUN.'!J35</f>
        <v>0</v>
      </c>
      <c r="J26" s="804"/>
      <c r="K26" s="804"/>
      <c r="L26" s="804"/>
      <c r="M26" s="804"/>
      <c r="N26" s="804"/>
      <c r="O26" s="1284"/>
      <c r="Q26" s="2208" t="s">
        <v>572</v>
      </c>
      <c r="R26" s="2208"/>
      <c r="S26" s="2208"/>
      <c r="T26" s="1269" t="str">
        <f t="shared" ref="T26:Y27" si="0">T5</f>
        <v>Tot. tilikausi</v>
      </c>
      <c r="U26" s="1269" t="str">
        <f t="shared" si="0"/>
        <v>Tot. tilikausi</v>
      </c>
      <c r="V26" s="1269" t="str">
        <f t="shared" si="0"/>
        <v>Ennuste 1</v>
      </c>
      <c r="W26" s="1269" t="str">
        <f t="shared" si="0"/>
        <v>Ennuste 2</v>
      </c>
      <c r="X26" s="1269" t="str">
        <f t="shared" si="0"/>
        <v>Ennuste 3</v>
      </c>
      <c r="Y26" s="1269" t="str">
        <f t="shared" si="0"/>
        <v>Ennuste 4</v>
      </c>
      <c r="AA26" s="2214"/>
      <c r="AB26" s="2178"/>
      <c r="AC26" s="2179"/>
      <c r="AD26" s="2180"/>
      <c r="AE26" s="1877" t="str">
        <f>'4. T7 LAINAT '!F8</f>
        <v>Ennuste  1</v>
      </c>
      <c r="AF26" s="1877"/>
      <c r="AG26" s="2172"/>
      <c r="AH26" s="2188" t="str">
        <f>'4. T7 LAINAT '!I8</f>
        <v>Ennuste 2</v>
      </c>
      <c r="AI26" s="1877"/>
      <c r="AJ26" s="2172"/>
      <c r="AK26" s="2188" t="str">
        <f>'4. T7 LAINAT '!L8</f>
        <v>Ennuste 3</v>
      </c>
      <c r="AL26" s="1877"/>
      <c r="AM26" s="2172"/>
      <c r="AN26" s="2188" t="str">
        <f>'4. T7 LAINAT '!O8</f>
        <v>Ennuste 4</v>
      </c>
      <c r="AO26" s="1877"/>
      <c r="AP26" s="2189"/>
    </row>
    <row r="27" spans="1:51" ht="11.25" customHeight="1">
      <c r="B27" s="1285"/>
      <c r="C27" s="826" t="s">
        <v>198</v>
      </c>
      <c r="D27" s="819">
        <f>'1. T1 INVESTOINTISUUN.'!D37</f>
        <v>0</v>
      </c>
      <c r="E27" s="819">
        <f>'1. T1 INVESTOINTISUUN.'!E37</f>
        <v>0</v>
      </c>
      <c r="F27" s="819">
        <f>'1. T1 INVESTOINTISUUN.'!F37</f>
        <v>0</v>
      </c>
      <c r="G27" s="819">
        <f>'1. T1 INVESTOINTISUUN.'!G37</f>
        <v>0</v>
      </c>
      <c r="H27" s="820"/>
      <c r="I27" s="804"/>
      <c r="J27" s="804"/>
      <c r="K27" s="804"/>
      <c r="L27" s="804"/>
      <c r="M27" s="804"/>
      <c r="N27" s="804"/>
      <c r="O27" s="1284"/>
      <c r="Q27" s="2208"/>
      <c r="R27" s="2208"/>
      <c r="S27" s="2208"/>
      <c r="T27" s="1275">
        <f t="shared" si="0"/>
        <v>2023</v>
      </c>
      <c r="U27" s="1275">
        <f t="shared" si="0"/>
        <v>2024</v>
      </c>
      <c r="V27" s="1275">
        <f t="shared" si="0"/>
        <v>2025</v>
      </c>
      <c r="W27" s="1275">
        <f t="shared" si="0"/>
        <v>2026</v>
      </c>
      <c r="X27" s="1275">
        <f t="shared" si="0"/>
        <v>2027</v>
      </c>
      <c r="Y27" s="1275">
        <f t="shared" si="0"/>
        <v>2028</v>
      </c>
      <c r="AA27" s="2214"/>
      <c r="AB27" s="2178"/>
      <c r="AC27" s="2179"/>
      <c r="AD27" s="2180"/>
      <c r="AE27" s="1877">
        <f>'4. T7 LAINAT '!F9</f>
        <v>2025</v>
      </c>
      <c r="AF27" s="1877"/>
      <c r="AG27" s="2172"/>
      <c r="AH27" s="2188">
        <f>'4. T7 LAINAT '!I9</f>
        <v>2026</v>
      </c>
      <c r="AI27" s="1877"/>
      <c r="AJ27" s="2172"/>
      <c r="AK27" s="2188">
        <f>'4. T7 LAINAT '!L9</f>
        <v>2027</v>
      </c>
      <c r="AL27" s="1877"/>
      <c r="AM27" s="2172"/>
      <c r="AN27" s="2188">
        <f>'4. T7 LAINAT '!O9</f>
        <v>2028</v>
      </c>
      <c r="AO27" s="1877"/>
      <c r="AP27" s="2189"/>
    </row>
    <row r="28" spans="1:51" ht="11.25" customHeight="1">
      <c r="B28" s="1285" t="s">
        <v>9</v>
      </c>
      <c r="C28" s="826" t="s">
        <v>208</v>
      </c>
      <c r="D28" s="818">
        <f>'1. T1 INVESTOINTISUUN.'!D38/1000</f>
        <v>0</v>
      </c>
      <c r="E28" s="818">
        <f>'1. T1 INVESTOINTISUUN.'!E38/1000</f>
        <v>0</v>
      </c>
      <c r="F28" s="818">
        <f>'1. T1 INVESTOINTISUUN.'!F38/1000</f>
        <v>0</v>
      </c>
      <c r="G28" s="818">
        <f>'1. T1 INVESTOINTISUUN.'!G38/1000</f>
        <v>0</v>
      </c>
      <c r="H28" s="818">
        <f>SUM(D28:G28)</f>
        <v>0</v>
      </c>
      <c r="I28" s="804">
        <f>'1. T1 INVESTOINTISUUN.'!J38</f>
        <v>0</v>
      </c>
      <c r="J28" s="804"/>
      <c r="K28" s="804"/>
      <c r="L28" s="804"/>
      <c r="M28" s="804"/>
      <c r="N28" s="804"/>
      <c r="O28" s="1284"/>
      <c r="Q28" s="830" t="s">
        <v>223</v>
      </c>
      <c r="R28" s="833" t="s">
        <v>215</v>
      </c>
      <c r="S28" s="825"/>
      <c r="T28" s="831">
        <f>'3. T3 TASE '!F56/1000</f>
        <v>0</v>
      </c>
      <c r="U28" s="829">
        <f>'3. T3 TASE '!G56/1000</f>
        <v>0</v>
      </c>
      <c r="V28" s="829">
        <f>'3. T3 TASE '!H56/1000</f>
        <v>0</v>
      </c>
      <c r="W28" s="829">
        <f>'3. T3 TASE '!I56/1000</f>
        <v>0</v>
      </c>
      <c r="X28" s="829">
        <f>'3. T3 TASE '!J56/1000</f>
        <v>0</v>
      </c>
      <c r="Y28" s="829">
        <f>'3. T3 TASE '!K56/1000</f>
        <v>0</v>
      </c>
      <c r="AA28" s="1615" t="str">
        <f>'4. T7 LAINAT '!B10</f>
        <v>Luotonantaja</v>
      </c>
      <c r="AB28" s="2178"/>
      <c r="AC28" s="2179"/>
      <c r="AD28" s="2180"/>
      <c r="AE28" s="2184" t="str">
        <f>'4. T7 LAINAT '!F10</f>
        <v>Lyhennys</v>
      </c>
      <c r="AF28" s="2184"/>
      <c r="AG28" s="1531" t="str">
        <f>'4. T7 LAINAT '!H10</f>
        <v>Korko</v>
      </c>
      <c r="AH28" s="2183" t="str">
        <f>AE28</f>
        <v>Lyhennys</v>
      </c>
      <c r="AI28" s="2184"/>
      <c r="AJ28" s="1531" t="str">
        <f>'4. T7 LAINAT '!K10</f>
        <v>Korko</v>
      </c>
      <c r="AK28" s="2183" t="str">
        <f>AH28</f>
        <v>Lyhennys</v>
      </c>
      <c r="AL28" s="2184"/>
      <c r="AM28" s="1531" t="str">
        <f>'4. T7 LAINAT '!N10</f>
        <v>Korko</v>
      </c>
      <c r="AN28" s="2183" t="str">
        <f>AK28</f>
        <v>Lyhennys</v>
      </c>
      <c r="AO28" s="2184"/>
      <c r="AP28" s="1618" t="str">
        <f>'4. T7 LAINAT '!Q10</f>
        <v>Korko</v>
      </c>
    </row>
    <row r="29" spans="1:51" ht="11.25" customHeight="1">
      <c r="B29" s="1285" t="s">
        <v>10</v>
      </c>
      <c r="C29" s="826" t="s">
        <v>533</v>
      </c>
      <c r="D29" s="818">
        <f>'1. T1 INVESTOINTISUUN.'!D39/1000</f>
        <v>0</v>
      </c>
      <c r="E29" s="818">
        <f>'1. T1 INVESTOINTISUUN.'!E39/1000</f>
        <v>0</v>
      </c>
      <c r="F29" s="818">
        <f>'1. T1 INVESTOINTISUUN.'!F39/1000</f>
        <v>0</v>
      </c>
      <c r="G29" s="818">
        <f>'1. T1 INVESTOINTISUUN.'!G39/1000</f>
        <v>0</v>
      </c>
      <c r="H29" s="818">
        <f>SUM(D29:G29)</f>
        <v>0</v>
      </c>
      <c r="I29" s="804">
        <f>'1. T1 INVESTOINTISUUN.'!J39</f>
        <v>0</v>
      </c>
      <c r="J29" s="804"/>
      <c r="K29" s="804"/>
      <c r="L29" s="804"/>
      <c r="M29" s="804"/>
      <c r="N29" s="804"/>
      <c r="O29" s="1284"/>
      <c r="Q29" s="807">
        <v>0</v>
      </c>
      <c r="R29" s="816" t="s">
        <v>275</v>
      </c>
      <c r="S29" s="834"/>
      <c r="T29" s="832">
        <f>'3. T3 TASE '!F57/1000</f>
        <v>0</v>
      </c>
      <c r="U29" s="818">
        <f>'3. T3 TASE '!G57/1000</f>
        <v>0</v>
      </c>
      <c r="V29" s="818">
        <f>'3. T3 TASE '!H57/1000</f>
        <v>0</v>
      </c>
      <c r="W29" s="818">
        <f>'3. T3 TASE '!I57/1000</f>
        <v>0</v>
      </c>
      <c r="X29" s="818">
        <f>'3. T3 TASE '!J57/1000</f>
        <v>0</v>
      </c>
      <c r="Y29" s="818">
        <f>'3. T3 TASE '!K57/1000</f>
        <v>0</v>
      </c>
      <c r="AA29" s="844" t="str">
        <f>'4. T7 LAINAT '!B11</f>
        <v xml:space="preserve"> Rahoittaja/rahoitettava kohde</v>
      </c>
      <c r="AB29" s="1562">
        <f>'4. T7 LAINAT '!C11/1000</f>
        <v>0</v>
      </c>
      <c r="AC29" s="861">
        <f>'4. T7 LAINAT '!D11</f>
        <v>0</v>
      </c>
      <c r="AD29" s="1528">
        <f>'4. T7 LAINAT '!E11*100</f>
        <v>0</v>
      </c>
      <c r="AE29" s="2105">
        <f>'4. T7 LAINAT '!F11/1000</f>
        <v>0</v>
      </c>
      <c r="AF29" s="2133"/>
      <c r="AG29" s="1533">
        <f>'4. T7 LAINAT '!H11/1000</f>
        <v>0</v>
      </c>
      <c r="AH29" s="2132">
        <f>'4. T7 LAINAT '!I11/1000</f>
        <v>0</v>
      </c>
      <c r="AI29" s="2133"/>
      <c r="AJ29" s="1533">
        <f>'4. T7 LAINAT '!K11/1000</f>
        <v>0</v>
      </c>
      <c r="AK29" s="2132">
        <f>'4. T7 LAINAT '!L11/1000</f>
        <v>0</v>
      </c>
      <c r="AL29" s="2133"/>
      <c r="AM29" s="1533">
        <f>'4. T7 LAINAT '!N11/1000</f>
        <v>0</v>
      </c>
      <c r="AN29" s="2132">
        <f>'4. T7 LAINAT '!O11/1000</f>
        <v>0</v>
      </c>
      <c r="AO29" s="2133"/>
      <c r="AP29" s="1619">
        <f>'4. T7 LAINAT '!Q11/1000</f>
        <v>0</v>
      </c>
    </row>
    <row r="30" spans="1:51" ht="11.25" customHeight="1">
      <c r="B30" s="1291" t="s">
        <v>11</v>
      </c>
      <c r="C30" s="826" t="s">
        <v>758</v>
      </c>
      <c r="D30" s="818">
        <f>'1. T1 INVESTOINTISUUN.'!D40/1000</f>
        <v>0</v>
      </c>
      <c r="E30" s="818">
        <f>'1. T1 INVESTOINTISUUN.'!E40/1000</f>
        <v>0</v>
      </c>
      <c r="F30" s="818">
        <f>'1. T1 INVESTOINTISUUN.'!F40/1000</f>
        <v>0</v>
      </c>
      <c r="G30" s="818">
        <f>'1. T1 INVESTOINTISUUN.'!G40/1000</f>
        <v>0</v>
      </c>
      <c r="H30" s="818">
        <f>SUM(D30:G30)</f>
        <v>0</v>
      </c>
      <c r="I30" s="1707"/>
      <c r="J30" s="1708"/>
      <c r="K30" s="1708"/>
      <c r="L30" s="1708"/>
      <c r="M30" s="1708"/>
      <c r="N30" s="1708"/>
      <c r="O30" s="1709"/>
      <c r="Q30" s="807">
        <v>0</v>
      </c>
      <c r="R30" s="816" t="s">
        <v>276</v>
      </c>
      <c r="S30" s="834"/>
      <c r="T30" s="832">
        <f>'3. T3 TASE '!F58/1000</f>
        <v>0</v>
      </c>
      <c r="U30" s="818">
        <f>'3. T3 TASE '!G58/1000</f>
        <v>0</v>
      </c>
      <c r="V30" s="818">
        <f>'3. T3 TASE '!H58/1000</f>
        <v>0</v>
      </c>
      <c r="W30" s="818">
        <f>'3. T3 TASE '!I58/1000</f>
        <v>0</v>
      </c>
      <c r="X30" s="818">
        <f>'3. T3 TASE '!J58/1000</f>
        <v>0</v>
      </c>
      <c r="Y30" s="818">
        <f>'3. T3 TASE '!K58/1000</f>
        <v>0</v>
      </c>
      <c r="AA30" s="863">
        <f>'4. T7 LAINAT '!B12</f>
        <v>0</v>
      </c>
      <c r="AB30" s="1562">
        <f>'4. T7 LAINAT '!C12/1000</f>
        <v>0</v>
      </c>
      <c r="AC30" s="861">
        <f>'4. T7 LAINAT '!D12</f>
        <v>0</v>
      </c>
      <c r="AD30" s="1528">
        <f>'4. T7 LAINAT '!E12*100</f>
        <v>0</v>
      </c>
      <c r="AE30" s="2105">
        <f>'4. T7 LAINAT '!F12/1000</f>
        <v>0</v>
      </c>
      <c r="AF30" s="2133"/>
      <c r="AG30" s="1533">
        <f>'4. T7 LAINAT '!H12/1000</f>
        <v>0</v>
      </c>
      <c r="AH30" s="2132">
        <f>'4. T7 LAINAT '!I12/1000</f>
        <v>0</v>
      </c>
      <c r="AI30" s="2133"/>
      <c r="AJ30" s="1533">
        <f>'4. T7 LAINAT '!K12/1000</f>
        <v>0</v>
      </c>
      <c r="AK30" s="2132">
        <f>'4. T7 LAINAT '!L12/1000</f>
        <v>0</v>
      </c>
      <c r="AL30" s="2133"/>
      <c r="AM30" s="1533">
        <f>'4. T7 LAINAT '!N12/1000</f>
        <v>0</v>
      </c>
      <c r="AN30" s="2132">
        <f>'4. T7 LAINAT '!O12/1000</f>
        <v>0</v>
      </c>
      <c r="AO30" s="2133"/>
      <c r="AP30" s="1619">
        <f>'4. T7 LAINAT '!Q12/1000</f>
        <v>0</v>
      </c>
    </row>
    <row r="31" spans="1:51" ht="10.95" customHeight="1">
      <c r="B31" s="1286" t="s">
        <v>168</v>
      </c>
      <c r="C31" s="1287" t="s">
        <v>532</v>
      </c>
      <c r="D31" s="1288">
        <f>D16+D18+D20+D21+D23+D24+D29+D26+D28</f>
        <v>0</v>
      </c>
      <c r="E31" s="1288">
        <f>E16+E18+E20+E21+E23+E24+E29+E26+E28+E30</f>
        <v>0</v>
      </c>
      <c r="F31" s="1288">
        <f t="shared" ref="F31:G31" si="1">F16+F18+F20+F21+F23+F24+F29+F26+F28+F30</f>
        <v>0</v>
      </c>
      <c r="G31" s="1288">
        <f t="shared" si="1"/>
        <v>0</v>
      </c>
      <c r="H31" s="1288">
        <f>SUM(D31:G31)</f>
        <v>0</v>
      </c>
      <c r="I31" s="1289">
        <f>'1. T1 INVESTOINTISUUN.'!J42</f>
        <v>0</v>
      </c>
      <c r="J31" s="1289"/>
      <c r="K31" s="1289"/>
      <c r="L31" s="1289"/>
      <c r="M31" s="1289"/>
      <c r="N31" s="1289"/>
      <c r="O31" s="1290"/>
      <c r="Q31" s="807">
        <v>0</v>
      </c>
      <c r="R31" s="816" t="s">
        <v>305</v>
      </c>
      <c r="S31" s="834"/>
      <c r="T31" s="832">
        <f>'3. T3 TASE '!F59/1000</f>
        <v>0</v>
      </c>
      <c r="U31" s="818">
        <f>'3. T3 TASE '!G59/1000</f>
        <v>0</v>
      </c>
      <c r="V31" s="818">
        <f>'3. T3 TASE '!H59/1000</f>
        <v>0</v>
      </c>
      <c r="W31" s="818">
        <f>'3. T3 TASE '!I59/1000</f>
        <v>0</v>
      </c>
      <c r="X31" s="818">
        <f>'3. T3 TASE '!J59/1000</f>
        <v>0</v>
      </c>
      <c r="Y31" s="818">
        <f>'3. T3 TASE '!K59/1000</f>
        <v>0</v>
      </c>
      <c r="AA31" s="863">
        <f>'4. T7 LAINAT '!B13</f>
        <v>0</v>
      </c>
      <c r="AB31" s="1562">
        <f>'4. T7 LAINAT '!C13/1000</f>
        <v>0</v>
      </c>
      <c r="AC31" s="861">
        <f>'4. T7 LAINAT '!D13</f>
        <v>0</v>
      </c>
      <c r="AD31" s="1528">
        <f>'4. T7 LAINAT '!E13*100</f>
        <v>0</v>
      </c>
      <c r="AE31" s="2105">
        <f>'4. T7 LAINAT '!F13/1000</f>
        <v>0</v>
      </c>
      <c r="AF31" s="2133"/>
      <c r="AG31" s="1533">
        <f>'4. T7 LAINAT '!H13/1000</f>
        <v>0</v>
      </c>
      <c r="AH31" s="2132">
        <f>'4. T7 LAINAT '!I13/1000</f>
        <v>0</v>
      </c>
      <c r="AI31" s="2133"/>
      <c r="AJ31" s="1533">
        <f>'4. T7 LAINAT '!K13/1000</f>
        <v>0</v>
      </c>
      <c r="AK31" s="2132">
        <f>'4. T7 LAINAT '!L13/1000</f>
        <v>0</v>
      </c>
      <c r="AL31" s="2133"/>
      <c r="AM31" s="1533">
        <f>'4. T7 LAINAT '!N13/1000</f>
        <v>0</v>
      </c>
      <c r="AN31" s="2132">
        <f>'4. T7 LAINAT '!O13/1000</f>
        <v>0</v>
      </c>
      <c r="AO31" s="2133"/>
      <c r="AP31" s="1619">
        <f>'4. T7 LAINAT '!Q13/1000</f>
        <v>0</v>
      </c>
    </row>
    <row r="32" spans="1:51" ht="11.25" customHeight="1">
      <c r="Q32" s="807">
        <v>0</v>
      </c>
      <c r="R32" s="841" t="s">
        <v>340</v>
      </c>
      <c r="S32" s="842"/>
      <c r="T32" s="843">
        <f>'3. T3 TASE '!F60/1000</f>
        <v>0</v>
      </c>
      <c r="U32" s="820">
        <f>'3. T3 TASE '!G60/1000</f>
        <v>0</v>
      </c>
      <c r="V32" s="820">
        <f>'3. T3 TASE '!H60/1000</f>
        <v>0</v>
      </c>
      <c r="W32" s="820">
        <f>'3. T3 TASE '!I60/1000</f>
        <v>0</v>
      </c>
      <c r="X32" s="820">
        <f>'3. T3 TASE '!J60/1000</f>
        <v>0</v>
      </c>
      <c r="Y32" s="820">
        <f>'3. T3 TASE '!K60/1000</f>
        <v>0</v>
      </c>
      <c r="AA32" s="863">
        <f>'4. T7 LAINAT '!B14</f>
        <v>0</v>
      </c>
      <c r="AB32" s="1562">
        <f>'4. T7 LAINAT '!C14/1000</f>
        <v>0</v>
      </c>
      <c r="AC32" s="861">
        <f>'4. T7 LAINAT '!D14</f>
        <v>0</v>
      </c>
      <c r="AD32" s="1528">
        <f>'4. T7 LAINAT '!E14*100</f>
        <v>0</v>
      </c>
      <c r="AE32" s="2105">
        <f>'4. T7 LAINAT '!F14/1000</f>
        <v>0</v>
      </c>
      <c r="AF32" s="2133"/>
      <c r="AG32" s="1533">
        <f>'4. T7 LAINAT '!H14/1000</f>
        <v>0</v>
      </c>
      <c r="AH32" s="2132">
        <f>'4. T7 LAINAT '!I14/1000</f>
        <v>0</v>
      </c>
      <c r="AI32" s="2133"/>
      <c r="AJ32" s="1533">
        <f>'4. T7 LAINAT '!K14/1000</f>
        <v>0</v>
      </c>
      <c r="AK32" s="2132">
        <f>'4. T7 LAINAT '!L14/1000</f>
        <v>0</v>
      </c>
      <c r="AL32" s="2133"/>
      <c r="AM32" s="1533">
        <f>'4. T7 LAINAT '!N14/1000</f>
        <v>0</v>
      </c>
      <c r="AN32" s="2132">
        <f>'4. T7 LAINAT '!O14/1000</f>
        <v>0</v>
      </c>
      <c r="AO32" s="2133"/>
      <c r="AP32" s="1619">
        <f>'4. T7 LAINAT '!Q14/1000</f>
        <v>0</v>
      </c>
    </row>
    <row r="33" spans="2:54" ht="11.25" customHeight="1">
      <c r="B33" s="2237" t="s">
        <v>676</v>
      </c>
      <c r="C33" s="2238"/>
      <c r="D33" s="1282" t="s">
        <v>424</v>
      </c>
      <c r="E33" s="1282" t="s">
        <v>425</v>
      </c>
      <c r="F33" s="1282" t="s">
        <v>426</v>
      </c>
      <c r="G33" s="1282" t="s">
        <v>427</v>
      </c>
      <c r="H33" s="1693" t="s">
        <v>428</v>
      </c>
      <c r="I33" s="2221" t="s">
        <v>518</v>
      </c>
      <c r="J33" s="2221"/>
      <c r="K33" s="2221"/>
      <c r="L33" s="2221"/>
      <c r="M33" s="2221"/>
      <c r="N33" s="2221"/>
      <c r="O33" s="2222"/>
      <c r="Q33" s="807">
        <v>0</v>
      </c>
      <c r="R33" s="816" t="s">
        <v>353</v>
      </c>
      <c r="S33" s="834"/>
      <c r="T33" s="832">
        <f>'3. T3 TASE '!F61/1000</f>
        <v>0</v>
      </c>
      <c r="U33" s="818">
        <f>'3. T3 TASE '!G61/1000</f>
        <v>0</v>
      </c>
      <c r="V33" s="818">
        <f>'3. T3 TASE '!H61/1000</f>
        <v>0</v>
      </c>
      <c r="W33" s="818">
        <f>'3. T3 TASE '!I61/1000</f>
        <v>0</v>
      </c>
      <c r="X33" s="818">
        <f>'3. T3 TASE '!J61/1000</f>
        <v>0</v>
      </c>
      <c r="Y33" s="818">
        <f>'3. T3 TASE '!K61/1000</f>
        <v>0</v>
      </c>
      <c r="AA33" s="863">
        <f>'4. T7 LAINAT '!B15</f>
        <v>0</v>
      </c>
      <c r="AB33" s="1562">
        <f>'4. T7 LAINAT '!C15/1000</f>
        <v>0</v>
      </c>
      <c r="AC33" s="861">
        <f>'4. T7 LAINAT '!D15</f>
        <v>0</v>
      </c>
      <c r="AD33" s="1528">
        <f>'4. T7 LAINAT '!E15*100</f>
        <v>0</v>
      </c>
      <c r="AE33" s="2105">
        <f>'4. T7 LAINAT '!F15/1000</f>
        <v>0</v>
      </c>
      <c r="AF33" s="2133"/>
      <c r="AG33" s="1533">
        <f>'4. T7 LAINAT '!H15/1000</f>
        <v>0</v>
      </c>
      <c r="AH33" s="2132">
        <f>'4. T7 LAINAT '!I15/1000</f>
        <v>0</v>
      </c>
      <c r="AI33" s="2133"/>
      <c r="AJ33" s="1533">
        <f>'4. T7 LAINAT '!K15/1000</f>
        <v>0</v>
      </c>
      <c r="AK33" s="2132">
        <f>'4. T7 LAINAT '!L15/1000</f>
        <v>0</v>
      </c>
      <c r="AL33" s="2133"/>
      <c r="AM33" s="1533">
        <f>'4. T7 LAINAT '!N15/1000</f>
        <v>0</v>
      </c>
      <c r="AN33" s="2132">
        <f>'4. T7 LAINAT '!O15/1000</f>
        <v>0</v>
      </c>
      <c r="AO33" s="2133"/>
      <c r="AP33" s="1619">
        <f>'4. T7 LAINAT '!Q15/1000</f>
        <v>0</v>
      </c>
    </row>
    <row r="34" spans="2:54" ht="11.25" customHeight="1">
      <c r="B34" s="2239"/>
      <c r="C34" s="2240"/>
      <c r="D34" s="1269">
        <f>D15</f>
        <v>2025</v>
      </c>
      <c r="E34" s="1269">
        <f>E15</f>
        <v>2026</v>
      </c>
      <c r="F34" s="1269">
        <f>F15</f>
        <v>2027</v>
      </c>
      <c r="G34" s="1271">
        <f>G15</f>
        <v>2028</v>
      </c>
      <c r="H34" s="1694"/>
      <c r="I34" s="2223"/>
      <c r="J34" s="2223"/>
      <c r="K34" s="2223"/>
      <c r="L34" s="2223"/>
      <c r="M34" s="2223"/>
      <c r="N34" s="2223"/>
      <c r="O34" s="2224"/>
      <c r="Q34" s="830" t="s">
        <v>225</v>
      </c>
      <c r="R34" s="833" t="s">
        <v>220</v>
      </c>
      <c r="S34" s="825"/>
      <c r="T34" s="831">
        <f>'3. T3 TASE '!F62/1000</f>
        <v>0</v>
      </c>
      <c r="U34" s="829">
        <f>'3. T3 TASE '!G62/1000</f>
        <v>0</v>
      </c>
      <c r="V34" s="829">
        <f>'3. T3 TASE '!H62/1000</f>
        <v>0</v>
      </c>
      <c r="W34" s="829">
        <f>'3. T3 TASE '!I62/1000</f>
        <v>0</v>
      </c>
      <c r="X34" s="829">
        <f>'3. T3 TASE '!J62/1000</f>
        <v>0</v>
      </c>
      <c r="Y34" s="829">
        <f>'3. T3 TASE '!K62/1000</f>
        <v>0</v>
      </c>
      <c r="AA34" s="863">
        <f>'4. T7 LAINAT '!B16</f>
        <v>0</v>
      </c>
      <c r="AB34" s="1562">
        <f>'4. T7 LAINAT '!C16/1000</f>
        <v>0</v>
      </c>
      <c r="AC34" s="861">
        <f>'4. T7 LAINAT '!D16</f>
        <v>0</v>
      </c>
      <c r="AD34" s="1528">
        <f>'4. T7 LAINAT '!E16*100</f>
        <v>0</v>
      </c>
      <c r="AE34" s="2105">
        <f>'4. T7 LAINAT '!F16/1000</f>
        <v>0</v>
      </c>
      <c r="AF34" s="2133"/>
      <c r="AG34" s="1533">
        <f>'4. T7 LAINAT '!H16/1000</f>
        <v>0</v>
      </c>
      <c r="AH34" s="2132">
        <f>'4. T7 LAINAT '!I16/1000</f>
        <v>0</v>
      </c>
      <c r="AI34" s="2133"/>
      <c r="AJ34" s="1533">
        <f>'4. T7 LAINAT '!K16/1000</f>
        <v>0</v>
      </c>
      <c r="AK34" s="2132">
        <f>'4. T7 LAINAT '!L16/1000</f>
        <v>0</v>
      </c>
      <c r="AL34" s="2133"/>
      <c r="AM34" s="1533">
        <f>'4. T7 LAINAT '!N16/1000</f>
        <v>0</v>
      </c>
      <c r="AN34" s="2132">
        <f>'4. T7 LAINAT '!O16/1000</f>
        <v>0</v>
      </c>
      <c r="AO34" s="2133"/>
      <c r="AP34" s="1619">
        <f>'4. T7 LAINAT '!Q16/1000</f>
        <v>0</v>
      </c>
    </row>
    <row r="35" spans="2:54" ht="11.25" customHeight="1" thickBot="1">
      <c r="B35" s="1698" t="s">
        <v>179</v>
      </c>
      <c r="C35" s="783"/>
      <c r="D35" s="810"/>
      <c r="E35" s="810"/>
      <c r="F35" s="810"/>
      <c r="G35" s="810"/>
      <c r="H35" s="811" t="s">
        <v>0</v>
      </c>
      <c r="I35" s="804"/>
      <c r="J35" s="804"/>
      <c r="K35" s="804"/>
      <c r="L35" s="804"/>
      <c r="M35" s="804"/>
      <c r="N35" s="804"/>
      <c r="O35" s="1284"/>
      <c r="Q35" s="830" t="s">
        <v>237</v>
      </c>
      <c r="R35" s="835" t="s">
        <v>224</v>
      </c>
      <c r="S35" s="827"/>
      <c r="T35" s="831">
        <f>'3. T3 TASE '!F66/1000</f>
        <v>0</v>
      </c>
      <c r="U35" s="829">
        <f>'3. T3 TASE '!G66/1000</f>
        <v>0</v>
      </c>
      <c r="V35" s="829">
        <f>'3. T3 TASE '!H66/1000</f>
        <v>0</v>
      </c>
      <c r="W35" s="829">
        <f>'3. T3 TASE '!I66/1000</f>
        <v>0</v>
      </c>
      <c r="X35" s="829">
        <f>'3. T3 TASE '!J66/1000</f>
        <v>0</v>
      </c>
      <c r="Y35" s="829">
        <f>'3. T3 TASE '!K66/1000</f>
        <v>0</v>
      </c>
      <c r="AA35" s="1616" t="str">
        <f>'4. T7 LAINAT '!B17</f>
        <v xml:space="preserve"> Luotollinen tili</v>
      </c>
      <c r="AB35" s="1563">
        <f>'4. T7 LAINAT '!C17/1000</f>
        <v>0</v>
      </c>
      <c r="AC35" s="1175">
        <f>'4. T7 LAINAT '!D17</f>
        <v>0</v>
      </c>
      <c r="AD35" s="1529">
        <f>'4. T7 LAINAT '!E17*100</f>
        <v>0</v>
      </c>
      <c r="AE35" s="2174">
        <f>'4. T7 LAINAT '!F17/1000</f>
        <v>0</v>
      </c>
      <c r="AF35" s="2135"/>
      <c r="AG35" s="1535">
        <f>'4. T7 LAINAT '!H17/1000</f>
        <v>0</v>
      </c>
      <c r="AH35" s="2134">
        <f>'4. T7 LAINAT '!I17/1000</f>
        <v>0</v>
      </c>
      <c r="AI35" s="2135"/>
      <c r="AJ35" s="1535">
        <f>'4. T7 LAINAT '!K17/1000</f>
        <v>0</v>
      </c>
      <c r="AK35" s="2134">
        <f>'4. T7 LAINAT '!L17/1000</f>
        <v>0</v>
      </c>
      <c r="AL35" s="2135"/>
      <c r="AM35" s="1535">
        <f>'4. T7 LAINAT '!N17/1000</f>
        <v>0</v>
      </c>
      <c r="AN35" s="2134">
        <f>'4. T7 LAINAT '!O17/1000</f>
        <v>0</v>
      </c>
      <c r="AO35" s="2135"/>
      <c r="AP35" s="1620">
        <f>'4. T7 LAINAT '!Q17/1000</f>
        <v>0</v>
      </c>
    </row>
    <row r="36" spans="2:54" ht="11.25" customHeight="1" thickTop="1">
      <c r="B36" s="1291">
        <v>12</v>
      </c>
      <c r="C36" s="812" t="s">
        <v>531</v>
      </c>
      <c r="D36" s="808"/>
      <c r="E36" s="808"/>
      <c r="F36" s="808"/>
      <c r="G36" s="808"/>
      <c r="H36" s="809"/>
      <c r="I36" s="804"/>
      <c r="J36" s="804"/>
      <c r="K36" s="804"/>
      <c r="L36" s="804"/>
      <c r="M36" s="804"/>
      <c r="N36" s="804"/>
      <c r="O36" s="1284"/>
      <c r="Q36" s="830" t="s">
        <v>335</v>
      </c>
      <c r="R36" s="835" t="s">
        <v>236</v>
      </c>
      <c r="S36" s="827"/>
      <c r="T36" s="831">
        <f>'3. T3 TASE '!F67/1000</f>
        <v>0</v>
      </c>
      <c r="U36" s="829">
        <f>'3. T3 TASE '!G67/1000</f>
        <v>0</v>
      </c>
      <c r="V36" s="829">
        <f>'3. T3 TASE '!H67/1000</f>
        <v>0</v>
      </c>
      <c r="W36" s="829">
        <f>'3. T3 TASE '!I67/1000</f>
        <v>0</v>
      </c>
      <c r="X36" s="829">
        <f>'3. T3 TASE '!J67/1000</f>
        <v>0</v>
      </c>
      <c r="Y36" s="829">
        <f>'3. T3 TASE '!K67/1000</f>
        <v>0</v>
      </c>
      <c r="AA36" s="833" t="str">
        <f>'4. T7 LAINAT '!B18</f>
        <v>Nykyiset lainat yhteensä</v>
      </c>
      <c r="AB36" s="1617">
        <f>'4. T7 LAINAT '!C18/1000</f>
        <v>0</v>
      </c>
      <c r="AC36" s="1378">
        <v>0</v>
      </c>
      <c r="AD36" s="1530">
        <v>0</v>
      </c>
      <c r="AE36" s="2173">
        <f>SUM(AE29:AF35)</f>
        <v>0</v>
      </c>
      <c r="AF36" s="2137"/>
      <c r="AG36" s="1536">
        <f>SUM(AG29:AG35)</f>
        <v>0</v>
      </c>
      <c r="AH36" s="2136">
        <f>SUM(AH29:AI35)</f>
        <v>0</v>
      </c>
      <c r="AI36" s="2137"/>
      <c r="AJ36" s="1536">
        <f>SUM(AJ29:AJ35)</f>
        <v>0</v>
      </c>
      <c r="AK36" s="2136">
        <f>SUM(AK29:AL35)</f>
        <v>0</v>
      </c>
      <c r="AL36" s="2137"/>
      <c r="AM36" s="1536">
        <f>SUM(AM29:AM35)</f>
        <v>0</v>
      </c>
      <c r="AN36" s="2136">
        <f>SUM(AN29:AO35)</f>
        <v>0</v>
      </c>
      <c r="AO36" s="2137"/>
      <c r="AP36" s="1621">
        <f>SUM(AP29:AP35)</f>
        <v>0</v>
      </c>
    </row>
    <row r="37" spans="2:54" ht="11.25" customHeight="1">
      <c r="B37" s="1292"/>
      <c r="C37" s="815" t="s">
        <v>530</v>
      </c>
      <c r="D37" s="805">
        <f>'1. T1 INVESTOINTISUUN.'!D48/1000</f>
        <v>0</v>
      </c>
      <c r="E37" s="805">
        <f>'1. T1 INVESTOINTISUUN.'!E48/1000</f>
        <v>0</v>
      </c>
      <c r="F37" s="805">
        <f>'1. T1 INVESTOINTISUUN.'!F48/1000</f>
        <v>0</v>
      </c>
      <c r="G37" s="805">
        <f>'1. T1 INVESTOINTISUUN.'!G48/1000</f>
        <v>0</v>
      </c>
      <c r="H37" s="805">
        <f>'1. T1 INVESTOINTISUUN.'!H48/1000</f>
        <v>0</v>
      </c>
      <c r="I37" s="804"/>
      <c r="J37" s="804"/>
      <c r="K37" s="804"/>
      <c r="L37" s="804"/>
      <c r="M37" s="804"/>
      <c r="N37" s="804"/>
      <c r="O37" s="1284"/>
      <c r="Q37" s="807" t="s">
        <v>0</v>
      </c>
      <c r="R37" s="817" t="s">
        <v>226</v>
      </c>
      <c r="S37" s="826"/>
      <c r="T37" s="832">
        <f>'3. T3 TASE '!F68/1000</f>
        <v>0</v>
      </c>
      <c r="U37" s="818">
        <f>'3. T3 TASE '!G68/1000</f>
        <v>0</v>
      </c>
      <c r="V37" s="818">
        <f>'3. T3 TASE '!H68/1000</f>
        <v>0</v>
      </c>
      <c r="W37" s="818">
        <f>'3. T3 TASE '!I68/1000</f>
        <v>0</v>
      </c>
      <c r="X37" s="818">
        <f>'3. T3 TASE '!J68/1000</f>
        <v>0</v>
      </c>
      <c r="Y37" s="818">
        <f>'3. T3 TASE '!K68/1000</f>
        <v>0</v>
      </c>
      <c r="AA37" s="128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</row>
    <row r="38" spans="2:54" ht="11.25" customHeight="1">
      <c r="B38" s="1293"/>
      <c r="C38" s="813" t="s">
        <v>529</v>
      </c>
      <c r="D38" s="805">
        <f>'1. T1 INVESTOINTISUUN.'!D49/1000</f>
        <v>0</v>
      </c>
      <c r="E38" s="805">
        <f>'1. T1 INVESTOINTISUUN.'!E49/1000</f>
        <v>0</v>
      </c>
      <c r="F38" s="805">
        <f>'1. T1 INVESTOINTISUUN.'!F49/1000</f>
        <v>0</v>
      </c>
      <c r="G38" s="805">
        <f>'1. T1 INVESTOINTISUUN.'!G49/1000</f>
        <v>0</v>
      </c>
      <c r="H38" s="805">
        <f>'1. T1 INVESTOINTISUUN.'!H49/1000</f>
        <v>0</v>
      </c>
      <c r="I38" s="804"/>
      <c r="J38" s="804"/>
      <c r="K38" s="804"/>
      <c r="L38" s="804"/>
      <c r="M38" s="804"/>
      <c r="N38" s="804"/>
      <c r="O38" s="1284"/>
      <c r="Q38" s="807" t="s">
        <v>0</v>
      </c>
      <c r="R38" s="863" t="s">
        <v>241</v>
      </c>
      <c r="S38" s="864"/>
      <c r="T38" s="832">
        <f>'3. T3 TASE '!F69/1000</f>
        <v>0</v>
      </c>
      <c r="U38" s="818">
        <f>'3. T3 TASE '!G69/1000</f>
        <v>0</v>
      </c>
      <c r="V38" s="818">
        <f>'3. T3 TASE '!H69/1000</f>
        <v>0</v>
      </c>
      <c r="W38" s="818">
        <f>'3. T3 TASE '!I69/1000</f>
        <v>0</v>
      </c>
      <c r="X38" s="818">
        <f>'3. T3 TASE '!J69/1000</f>
        <v>0</v>
      </c>
      <c r="Y38" s="818">
        <f>'3. T3 TASE '!K69/1000</f>
        <v>0</v>
      </c>
      <c r="AA38" s="1537" t="str">
        <f>'4. T7 LAINAT '!B19</f>
        <v>Nykyiset osamaksuvelat</v>
      </c>
      <c r="AB38" s="1538">
        <f>'4. T7 LAINAT '!C19/1000</f>
        <v>0</v>
      </c>
      <c r="AC38" s="1074">
        <f>'4. T7 LAINAT '!D19</f>
        <v>0</v>
      </c>
      <c r="AD38" s="1539">
        <f>'4. T7 LAINAT '!E19*100</f>
        <v>0</v>
      </c>
      <c r="AE38" s="2130">
        <f>'4. T7 LAINAT '!F19/1000</f>
        <v>0</v>
      </c>
      <c r="AF38" s="2131"/>
      <c r="AG38" s="1540">
        <f>'4. T7 LAINAT '!H19/1000</f>
        <v>0</v>
      </c>
      <c r="AH38" s="2130">
        <f>'4. T7 LAINAT '!I19/1000</f>
        <v>0</v>
      </c>
      <c r="AI38" s="2131"/>
      <c r="AJ38" s="1540">
        <f>'4. T7 LAINAT '!K19/1000</f>
        <v>0</v>
      </c>
      <c r="AK38" s="2130">
        <f>'4. T7 LAINAT '!L19/1000</f>
        <v>0</v>
      </c>
      <c r="AL38" s="2131"/>
      <c r="AM38" s="1540">
        <f>'4. T7 LAINAT '!N19/1000</f>
        <v>0</v>
      </c>
      <c r="AN38" s="2130">
        <f>'4. T7 LAINAT '!O19/1000</f>
        <v>0</v>
      </c>
      <c r="AO38" s="2131"/>
      <c r="AP38" s="1622">
        <f>'4. T7 LAINAT '!Q19/1000</f>
        <v>0</v>
      </c>
    </row>
    <row r="39" spans="2:54" ht="11.25" customHeight="1">
      <c r="B39" s="1292" t="s">
        <v>366</v>
      </c>
      <c r="C39" s="814" t="s">
        <v>528</v>
      </c>
      <c r="D39" s="805">
        <f>'1. T1 INVESTOINTISUUN.'!D50/1000</f>
        <v>0</v>
      </c>
      <c r="E39" s="805">
        <f>'1. T1 INVESTOINTISUUN.'!E50/1000</f>
        <v>0</v>
      </c>
      <c r="F39" s="805">
        <f>'1. T1 INVESTOINTISUUN.'!F50/1000</f>
        <v>0</v>
      </c>
      <c r="G39" s="805">
        <f>'1. T1 INVESTOINTISUUN.'!G50/1000</f>
        <v>0</v>
      </c>
      <c r="H39" s="805">
        <f>'1. T1 INVESTOINTISUUN.'!H50/1000</f>
        <v>0</v>
      </c>
      <c r="I39" s="804"/>
      <c r="J39" s="804"/>
      <c r="K39" s="804"/>
      <c r="L39" s="804"/>
      <c r="M39" s="804"/>
      <c r="N39" s="804"/>
      <c r="O39" s="1284"/>
      <c r="Q39" s="807"/>
      <c r="R39" s="863" t="str">
        <f>'3. T3 TASE '!C70</f>
        <v xml:space="preserve">    - pääomalainen akordi</v>
      </c>
      <c r="S39" s="864"/>
      <c r="T39" s="832"/>
      <c r="U39" s="818"/>
      <c r="V39" s="818">
        <f>'3. T3 TASE '!H70/1000</f>
        <v>0</v>
      </c>
      <c r="W39" s="818">
        <f>'3. T3 TASE '!I70/1000</f>
        <v>0</v>
      </c>
      <c r="X39" s="818">
        <f>'3. T3 TASE '!J70/1000</f>
        <v>0</v>
      </c>
      <c r="Y39" s="818">
        <f>'3. T3 TASE '!K70/1000</f>
        <v>0</v>
      </c>
      <c r="AA39" s="981"/>
      <c r="AB39" s="981"/>
      <c r="AC39" s="709"/>
      <c r="AD39" s="709"/>
      <c r="AE39" s="982"/>
      <c r="AF39" s="982"/>
      <c r="AG39" s="982"/>
      <c r="AH39" s="982"/>
      <c r="AI39" s="982"/>
      <c r="AJ39" s="982"/>
      <c r="AK39" s="982"/>
      <c r="AL39" s="982"/>
      <c r="AM39" s="982"/>
      <c r="AN39" s="982"/>
      <c r="AO39" s="982"/>
      <c r="AP39" s="982"/>
    </row>
    <row r="40" spans="2:54" ht="11.25" customHeight="1">
      <c r="B40" s="1705" t="s">
        <v>170</v>
      </c>
      <c r="C40" s="1706" t="s">
        <v>527</v>
      </c>
      <c r="D40" s="805">
        <f>'1. T1 INVESTOINTISUUN.'!D51/1000</f>
        <v>0</v>
      </c>
      <c r="E40" s="805">
        <f>'1. T1 INVESTOINTISUUN.'!E51/1000</f>
        <v>0</v>
      </c>
      <c r="F40" s="805">
        <f>'1. T1 INVESTOINTISUUN.'!F51/1000</f>
        <v>0</v>
      </c>
      <c r="G40" s="805">
        <f>'1. T1 INVESTOINTISUUN.'!G51/1000</f>
        <v>0</v>
      </c>
      <c r="H40" s="805">
        <f>'1. T1 INVESTOINTISUUN.'!H51/1000</f>
        <v>0</v>
      </c>
      <c r="I40" s="47"/>
      <c r="J40" s="47"/>
      <c r="K40" s="2243" t="s">
        <v>517</v>
      </c>
      <c r="L40" s="1179" t="s">
        <v>555</v>
      </c>
      <c r="M40" s="47"/>
      <c r="N40" s="47"/>
      <c r="O40" s="1294"/>
      <c r="Q40" s="807" t="s">
        <v>0</v>
      </c>
      <c r="R40" s="816" t="s">
        <v>239</v>
      </c>
      <c r="S40" s="834"/>
      <c r="T40" s="832">
        <f>'3. T3 TASE '!F71/1000</f>
        <v>0</v>
      </c>
      <c r="U40" s="818">
        <f>'3. T3 TASE '!G71/1000</f>
        <v>0</v>
      </c>
      <c r="V40" s="818">
        <f>'3. T3 TASE '!H71/1000</f>
        <v>0</v>
      </c>
      <c r="W40" s="818">
        <f>'3. T3 TASE '!I71/1000</f>
        <v>0</v>
      </c>
      <c r="X40" s="818">
        <f>'3. T3 TASE '!J71/1000</f>
        <v>0</v>
      </c>
      <c r="Y40" s="818">
        <f>'3. T3 TASE '!K71/1000</f>
        <v>0</v>
      </c>
      <c r="AA40" s="1583" t="str">
        <f>'4. T7 LAINAT '!B20</f>
        <v>UUDET PITKÄAIKAISET LAINAT</v>
      </c>
      <c r="AB40" s="2181" t="s">
        <v>545</v>
      </c>
      <c r="AC40" s="2181" t="s">
        <v>600</v>
      </c>
      <c r="AD40" s="2191" t="str">
        <f>'4. T7 LAINAT '!E20</f>
        <v>Korko-%</v>
      </c>
      <c r="AE40" s="2127" t="str">
        <f>'4. T7 LAINAT '!F20</f>
        <v>Ennuste 1</v>
      </c>
      <c r="AF40" s="2128"/>
      <c r="AG40" s="2129"/>
      <c r="AH40" s="2149" t="str">
        <f>'4. T7 LAINAT '!I20</f>
        <v>Ennuste 2</v>
      </c>
      <c r="AI40" s="2149"/>
      <c r="AJ40" s="2149"/>
      <c r="AK40" s="2127" t="str">
        <f>'4. T7 LAINAT '!L20</f>
        <v>Ennuste 3</v>
      </c>
      <c r="AL40" s="2128"/>
      <c r="AM40" s="2129"/>
      <c r="AN40" s="2127" t="str">
        <f>'4. T7 LAINAT '!O20</f>
        <v>Ennuste 4</v>
      </c>
      <c r="AO40" s="2128"/>
      <c r="AP40" s="2129"/>
    </row>
    <row r="41" spans="2:54" ht="11.25" customHeight="1">
      <c r="B41" s="1292" t="s">
        <v>171</v>
      </c>
      <c r="C41" s="814" t="s">
        <v>526</v>
      </c>
      <c r="D41" s="805">
        <f>'1. T1 INVESTOINTISUUN.'!D52/1000</f>
        <v>0</v>
      </c>
      <c r="E41" s="805">
        <f>'1. T1 INVESTOINTISUUN.'!E52/1000</f>
        <v>0</v>
      </c>
      <c r="F41" s="805">
        <f>'1. T1 INVESTOINTISUUN.'!F52/1000</f>
        <v>0</v>
      </c>
      <c r="G41" s="805">
        <f>'1. T1 INVESTOINTISUUN.'!G52/1000</f>
        <v>0</v>
      </c>
      <c r="H41" s="805">
        <f>'1. T1 INVESTOINTISUUN.'!H52/1000</f>
        <v>0</v>
      </c>
      <c r="I41" s="1178" t="str">
        <f>'1. T1 INVESTOINTISUUN.'!J53</f>
        <v xml:space="preserve"> Rahoittaja</v>
      </c>
      <c r="J41" s="47"/>
      <c r="K41" s="2244"/>
      <c r="L41" s="1179" t="s">
        <v>343</v>
      </c>
      <c r="M41" s="2241" t="str">
        <f>'1. T1 INVESTOINTISUUN.'!N53</f>
        <v xml:space="preserve"> Käytetty vakuus</v>
      </c>
      <c r="N41" s="2241"/>
      <c r="O41" s="2242"/>
      <c r="Q41" s="807">
        <v>0</v>
      </c>
      <c r="R41" s="816" t="s">
        <v>240</v>
      </c>
      <c r="S41" s="834"/>
      <c r="T41" s="832">
        <f>'3. T3 TASE '!F74/1000</f>
        <v>0</v>
      </c>
      <c r="U41" s="818">
        <f>'3. T3 TASE '!G74/1000</f>
        <v>0</v>
      </c>
      <c r="V41" s="818">
        <f>'3. T3 TASE '!H74/1000</f>
        <v>0</v>
      </c>
      <c r="W41" s="818">
        <f>'3. T3 TASE '!I74/1000</f>
        <v>0</v>
      </c>
      <c r="X41" s="818">
        <f>'3. T3 TASE '!J74/1000</f>
        <v>0</v>
      </c>
      <c r="Y41" s="818">
        <f>'3. T3 TASE '!K74/1000</f>
        <v>0</v>
      </c>
      <c r="AA41" s="1584" t="s">
        <v>524</v>
      </c>
      <c r="AB41" s="2181"/>
      <c r="AC41" s="2181"/>
      <c r="AD41" s="2191"/>
      <c r="AE41" s="2127">
        <f>AE27</f>
        <v>2025</v>
      </c>
      <c r="AF41" s="2128"/>
      <c r="AG41" s="2129"/>
      <c r="AH41" s="2149">
        <f>AH27</f>
        <v>2026</v>
      </c>
      <c r="AI41" s="2149"/>
      <c r="AJ41" s="2149"/>
      <c r="AK41" s="2127">
        <f>AK27</f>
        <v>2027</v>
      </c>
      <c r="AL41" s="2128"/>
      <c r="AM41" s="2129"/>
      <c r="AN41" s="2127">
        <f>AN27</f>
        <v>2028</v>
      </c>
      <c r="AO41" s="2128"/>
      <c r="AP41" s="2129"/>
    </row>
    <row r="42" spans="2:54" ht="11.25" customHeight="1">
      <c r="B42" s="2245" t="s">
        <v>94</v>
      </c>
      <c r="C42" s="2246"/>
      <c r="D42" s="805"/>
      <c r="E42" s="805"/>
      <c r="F42" s="805"/>
      <c r="G42" s="805"/>
      <c r="H42" s="805"/>
      <c r="I42" s="2158" t="str">
        <f>'1. T1 INVESTOINTISUUN.'!J54</f>
        <v xml:space="preserve"> Finnvera</v>
      </c>
      <c r="J42" s="2159"/>
      <c r="K42" s="2123">
        <f>'1. T1 INVESTOINTISUUN.'!L54</f>
        <v>0</v>
      </c>
      <c r="L42" s="2126">
        <f>'1. T1 INVESTOINTISUUN.'!M54</f>
        <v>0</v>
      </c>
      <c r="M42" s="2114">
        <f>'1. T1 INVESTOINTISUUN.'!N54</f>
        <v>0</v>
      </c>
      <c r="N42" s="2115"/>
      <c r="O42" s="2116"/>
      <c r="Q42" s="830" t="s">
        <v>336</v>
      </c>
      <c r="R42" s="836" t="s">
        <v>238</v>
      </c>
      <c r="S42" s="837"/>
      <c r="T42" s="832">
        <f>'3. T3 TASE '!F75/1000</f>
        <v>0</v>
      </c>
      <c r="U42" s="829">
        <f>'3. T3 TASE '!G75/1000</f>
        <v>0</v>
      </c>
      <c r="V42" s="829">
        <f>'3. T3 TASE '!H75/1000</f>
        <v>0</v>
      </c>
      <c r="W42" s="829">
        <f>'3. T3 TASE '!I75/1000</f>
        <v>0</v>
      </c>
      <c r="X42" s="829">
        <f>'3. T3 TASE '!J75/1000</f>
        <v>0</v>
      </c>
      <c r="Y42" s="829">
        <f>'3. T3 TASE '!K75/1000</f>
        <v>0</v>
      </c>
      <c r="AA42" s="1605" t="str">
        <f>'4. T7 LAINAT '!B22</f>
        <v>Luotonantaja</v>
      </c>
      <c r="AB42" s="2182"/>
      <c r="AC42" s="2182"/>
      <c r="AD42" s="2192"/>
      <c r="AE42" s="1602" t="str">
        <f>'4. T7 LAINAT '!F22</f>
        <v>Nosto</v>
      </c>
      <c r="AF42" s="1603" t="s">
        <v>134</v>
      </c>
      <c r="AG42" s="1604" t="str">
        <f>'4. T7 LAINAT '!H22</f>
        <v>Korko</v>
      </c>
      <c r="AH42" s="1602" t="s">
        <v>129</v>
      </c>
      <c r="AI42" s="1603" t="s">
        <v>134</v>
      </c>
      <c r="AJ42" s="1604" t="s">
        <v>126</v>
      </c>
      <c r="AK42" s="1602" t="s">
        <v>129</v>
      </c>
      <c r="AL42" s="1603" t="s">
        <v>134</v>
      </c>
      <c r="AM42" s="1604" t="s">
        <v>126</v>
      </c>
      <c r="AN42" s="1602" t="s">
        <v>129</v>
      </c>
      <c r="AO42" s="1603" t="s">
        <v>134</v>
      </c>
      <c r="AP42" s="1604" t="s">
        <v>126</v>
      </c>
    </row>
    <row r="43" spans="2:54" ht="11.25" customHeight="1">
      <c r="B43" s="1293" t="s">
        <v>172</v>
      </c>
      <c r="C43" s="813" t="s">
        <v>191</v>
      </c>
      <c r="D43" s="805">
        <f>'1. T1 INVESTOINTISUUN.'!D55/1000</f>
        <v>0</v>
      </c>
      <c r="E43" s="805">
        <f>'1. T1 INVESTOINTISUUN.'!E55/1000</f>
        <v>0</v>
      </c>
      <c r="F43" s="805">
        <f>'1. T1 INVESTOINTISUUN.'!F55/1000</f>
        <v>0</v>
      </c>
      <c r="G43" s="805">
        <f>'1. T1 INVESTOINTISUUN.'!G55/1000</f>
        <v>0</v>
      </c>
      <c r="H43" s="805">
        <f>'1. T1 INVESTOINTISUUN.'!H55/1000</f>
        <v>0</v>
      </c>
      <c r="I43" s="2160"/>
      <c r="J43" s="2161"/>
      <c r="K43" s="2124"/>
      <c r="L43" s="2124"/>
      <c r="M43" s="2117"/>
      <c r="N43" s="2118"/>
      <c r="O43" s="2119"/>
      <c r="Q43" s="807" t="s">
        <v>0</v>
      </c>
      <c r="R43" s="817" t="s">
        <v>226</v>
      </c>
      <c r="S43" s="826"/>
      <c r="T43" s="832">
        <f>'3. T3 TASE '!F76/1000</f>
        <v>0</v>
      </c>
      <c r="U43" s="818">
        <f>'3. T3 TASE '!G76/1000</f>
        <v>0</v>
      </c>
      <c r="V43" s="818">
        <f>'3. T3 TASE '!H76/1000</f>
        <v>0</v>
      </c>
      <c r="W43" s="818">
        <f>'3. T3 TASE '!I76/1000</f>
        <v>0</v>
      </c>
      <c r="X43" s="818">
        <f>'3. T3 TASE '!J76/1000</f>
        <v>0</v>
      </c>
      <c r="Y43" s="818">
        <f>'3. T3 TASE '!K76/1000</f>
        <v>0</v>
      </c>
      <c r="AA43" s="1589" t="str">
        <f>'4. T7 LAINAT '!B23</f>
        <v xml:space="preserve"> 1. vuonna nostettavat lainat</v>
      </c>
      <c r="AB43" s="1590"/>
      <c r="AC43" s="1590"/>
      <c r="AD43" s="1590"/>
      <c r="AE43" s="1591" t="s">
        <v>0</v>
      </c>
      <c r="AF43" s="1591"/>
      <c r="AG43" s="1591"/>
      <c r="AH43" s="1591" t="s">
        <v>0</v>
      </c>
      <c r="AI43" s="1591"/>
      <c r="AJ43" s="1591"/>
      <c r="AK43" s="1591"/>
      <c r="AL43" s="1591"/>
      <c r="AM43" s="1591"/>
      <c r="AN43" s="1591" t="s">
        <v>0</v>
      </c>
      <c r="AO43" s="1591"/>
      <c r="AP43" s="1591"/>
    </row>
    <row r="44" spans="2:54" ht="11.25" customHeight="1">
      <c r="B44" s="1292" t="s">
        <v>173</v>
      </c>
      <c r="C44" s="815" t="s">
        <v>348</v>
      </c>
      <c r="D44" s="805">
        <f>'1. T1 INVESTOINTISUUN.'!D56/1000</f>
        <v>0</v>
      </c>
      <c r="E44" s="805">
        <f>'1. T1 INVESTOINTISUUN.'!E56/1000</f>
        <v>0</v>
      </c>
      <c r="F44" s="805">
        <f>'1. T1 INVESTOINTISUUN.'!F56/1000</f>
        <v>0</v>
      </c>
      <c r="G44" s="805">
        <f>'1. T1 INVESTOINTISUUN.'!G56/1000</f>
        <v>0</v>
      </c>
      <c r="H44" s="805">
        <f>'1. T1 INVESTOINTISUUN.'!H56/1000</f>
        <v>0</v>
      </c>
      <c r="I44" s="2114" t="str">
        <f>'1. T1 INVESTOINTISUUN.'!J56</f>
        <v xml:space="preserve"> Pankki</v>
      </c>
      <c r="J44" s="2162"/>
      <c r="K44" s="2123">
        <f>'1. T1 INVESTOINTISUUN.'!L56</f>
        <v>0</v>
      </c>
      <c r="L44" s="2126">
        <f>'1. T1 INVESTOINTISUUN.'!M56</f>
        <v>0</v>
      </c>
      <c r="M44" s="2114">
        <f>'1. T1 INVESTOINTISUUN.'!N56</f>
        <v>0</v>
      </c>
      <c r="N44" s="2115"/>
      <c r="O44" s="2116"/>
      <c r="Q44" s="807">
        <v>0</v>
      </c>
      <c r="R44" s="817" t="s">
        <v>241</v>
      </c>
      <c r="S44" s="826"/>
      <c r="T44" s="832">
        <f>'3. T3 TASE '!F79/1000</f>
        <v>0</v>
      </c>
      <c r="U44" s="818">
        <f>'3. T3 TASE '!G79/1000</f>
        <v>0</v>
      </c>
      <c r="V44" s="818">
        <f>'3. T3 TASE '!H79/1000</f>
        <v>0</v>
      </c>
      <c r="W44" s="818">
        <f>'3. T3 TASE '!I79/1000</f>
        <v>0</v>
      </c>
      <c r="X44" s="818">
        <f>'3. T3 TASE '!J79/1000</f>
        <v>0</v>
      </c>
      <c r="Y44" s="818">
        <f>'3. T3 TASE '!K79/1000</f>
        <v>0</v>
      </c>
      <c r="AA44" s="1541" t="str">
        <f>'4. T7 LAINAT '!B24</f>
        <v xml:space="preserve"> Rahoittaja/rahoitettava kohde</v>
      </c>
      <c r="AB44" s="1554">
        <f>'4. T7 LAINAT '!C24/1000</f>
        <v>0</v>
      </c>
      <c r="AC44" s="1555">
        <f>'4. T7 LAINAT '!D24</f>
        <v>0</v>
      </c>
      <c r="AD44" s="1556">
        <f>'4. T7 LAINAT '!E24*100</f>
        <v>0</v>
      </c>
      <c r="AE44" s="1554">
        <f>'4. T7 LAINAT '!F24/1000</f>
        <v>0</v>
      </c>
      <c r="AF44" s="1557">
        <f>'4. T7 LAINAT '!G24/1000</f>
        <v>0</v>
      </c>
      <c r="AG44" s="1558">
        <f>'4. T7 LAINAT '!H24/1000</f>
        <v>0</v>
      </c>
      <c r="AH44" s="1554"/>
      <c r="AI44" s="1557">
        <f>'4. T7 LAINAT '!J24/1000</f>
        <v>0</v>
      </c>
      <c r="AJ44" s="1558">
        <f>'4. T7 LAINAT '!K24/1000</f>
        <v>0</v>
      </c>
      <c r="AK44" s="1554"/>
      <c r="AL44" s="1557">
        <f>'4. T7 LAINAT '!M24/1000</f>
        <v>0</v>
      </c>
      <c r="AM44" s="1558">
        <f>'4. T7 LAINAT '!N24/1000</f>
        <v>0</v>
      </c>
      <c r="AN44" s="1554"/>
      <c r="AO44" s="1557">
        <f>'4. T7 LAINAT '!P24/1000</f>
        <v>0</v>
      </c>
      <c r="AP44" s="1623">
        <f>'4. T7 LAINAT '!Q24/1000</f>
        <v>0</v>
      </c>
    </row>
    <row r="45" spans="2:54" ht="11.25" customHeight="1">
      <c r="B45" s="1292" t="s">
        <v>174</v>
      </c>
      <c r="C45" s="815" t="str">
        <f>'1. T1 INVESTOINTISUUN.'!C57</f>
        <v>Osamaksurahoitus, eläkelaina tms.</v>
      </c>
      <c r="D45" s="805">
        <f>'1. T1 INVESTOINTISUUN.'!D57/1000</f>
        <v>0</v>
      </c>
      <c r="E45" s="805">
        <f>'1. T1 INVESTOINTISUUN.'!E57/1000</f>
        <v>0</v>
      </c>
      <c r="F45" s="805">
        <f>'1. T1 INVESTOINTISUUN.'!F57/1000</f>
        <v>0</v>
      </c>
      <c r="G45" s="805">
        <f>'1. T1 INVESTOINTISUUN.'!G57/1000</f>
        <v>0</v>
      </c>
      <c r="H45" s="805">
        <f>'1. T1 INVESTOINTISUUN.'!H57/1000</f>
        <v>0</v>
      </c>
      <c r="I45" s="2117"/>
      <c r="J45" s="2163"/>
      <c r="K45" s="2124"/>
      <c r="L45" s="2124"/>
      <c r="M45" s="2117"/>
      <c r="N45" s="2118"/>
      <c r="O45" s="2119"/>
      <c r="Q45" s="807">
        <v>0</v>
      </c>
      <c r="R45" s="817" t="s">
        <v>239</v>
      </c>
      <c r="S45" s="826"/>
      <c r="T45" s="832">
        <f>'3. T3 TASE '!F80/1000</f>
        <v>0</v>
      </c>
      <c r="U45" s="818">
        <f>'3. T3 TASE '!G80/1000</f>
        <v>0</v>
      </c>
      <c r="V45" s="818">
        <f>'3. T3 TASE '!H80/1000</f>
        <v>0</v>
      </c>
      <c r="W45" s="818">
        <f>'3. T3 TASE '!I80/1000</f>
        <v>0</v>
      </c>
      <c r="X45" s="818">
        <f>'3. T3 TASE '!J80/1000</f>
        <v>0</v>
      </c>
      <c r="Y45" s="818">
        <f>'3. T3 TASE '!K80/1000</f>
        <v>0</v>
      </c>
      <c r="AA45" s="1542">
        <f>'4. T7 LAINAT '!B25</f>
        <v>0</v>
      </c>
      <c r="AB45" s="1532">
        <f>'4. T7 LAINAT '!C25/1000</f>
        <v>0</v>
      </c>
      <c r="AC45" s="861">
        <f>'4. T7 LAINAT '!D25</f>
        <v>0</v>
      </c>
      <c r="AD45" s="1545">
        <f>'4. T7 LAINAT '!E25*100</f>
        <v>0</v>
      </c>
      <c r="AE45" s="1532">
        <f>'4. T7 LAINAT '!F25/1000</f>
        <v>0</v>
      </c>
      <c r="AF45" s="818">
        <f>'4. T7 LAINAT '!G25/1000</f>
        <v>0</v>
      </c>
      <c r="AG45" s="1533">
        <f>'4. T7 LAINAT '!H25/1000</f>
        <v>0</v>
      </c>
      <c r="AH45" s="1532"/>
      <c r="AI45" s="818">
        <f>'4. T7 LAINAT '!J25/1000</f>
        <v>0</v>
      </c>
      <c r="AJ45" s="1533">
        <f>'4. T7 LAINAT '!K25/1000</f>
        <v>0</v>
      </c>
      <c r="AK45" s="1532"/>
      <c r="AL45" s="818">
        <f>'4. T7 LAINAT '!M25/1000</f>
        <v>0</v>
      </c>
      <c r="AM45" s="1533">
        <f>'4. T7 LAINAT '!N25/1000</f>
        <v>0</v>
      </c>
      <c r="AN45" s="1532"/>
      <c r="AO45" s="818">
        <f>'4. T7 LAINAT '!P25/1000</f>
        <v>0</v>
      </c>
      <c r="AP45" s="1613">
        <f>'4. T7 LAINAT '!Q25/1000</f>
        <v>0</v>
      </c>
    </row>
    <row r="46" spans="2:54" ht="11.25" customHeight="1">
      <c r="B46" s="1292" t="s">
        <v>175</v>
      </c>
      <c r="C46" s="815" t="s">
        <v>468</v>
      </c>
      <c r="D46" s="805">
        <f>('1. T1 INVESTOINTISUUN.'!D58+'1. T1 INVESTOINTISUUN.'!D59)/1000</f>
        <v>0</v>
      </c>
      <c r="E46" s="805">
        <f>('1. T1 INVESTOINTISUUN.'!E58+'1. T1 INVESTOINTISUUN.'!E59)/1000</f>
        <v>0</v>
      </c>
      <c r="F46" s="805">
        <f>('1. T1 INVESTOINTISUUN.'!F58+'1. T1 INVESTOINTISUUN.'!F59)/1000</f>
        <v>0</v>
      </c>
      <c r="G46" s="805">
        <f>('1. T1 INVESTOINTISUUN.'!G58+'1. T1 INVESTOINTISUUN.'!G59)/1000</f>
        <v>0</v>
      </c>
      <c r="H46" s="805">
        <f>('1. T1 INVESTOINTISUUN.'!H58+'1. T1 INVESTOINTISUUN.'!H59)/1000</f>
        <v>0</v>
      </c>
      <c r="I46" s="2114" t="str">
        <f>'1. T1 INVESTOINTISUUN.'!J58</f>
        <v xml:space="preserve"> Osamaksu</v>
      </c>
      <c r="J46" s="2162"/>
      <c r="K46" s="2123">
        <f>'1. T1 INVESTOINTISUUN.'!L58</f>
        <v>0</v>
      </c>
      <c r="L46" s="2126">
        <f>'1. T1 INVESTOINTISUUN.'!M58</f>
        <v>0</v>
      </c>
      <c r="M46" s="2114">
        <f>'1. T1 INVESTOINTISUUN.'!N58</f>
        <v>0</v>
      </c>
      <c r="N46" s="2115"/>
      <c r="O46" s="2116"/>
      <c r="R46" s="817" t="s">
        <v>242</v>
      </c>
      <c r="S46" s="826"/>
      <c r="T46" s="832">
        <f>'3. T3 TASE '!F84/1000</f>
        <v>0</v>
      </c>
      <c r="U46" s="818">
        <f>'3. T3 TASE '!G84/1000</f>
        <v>0</v>
      </c>
      <c r="V46" s="818">
        <f>'3. T3 TASE '!H84/1000</f>
        <v>0</v>
      </c>
      <c r="W46" s="818">
        <f>'3. T3 TASE '!I84/1000</f>
        <v>0</v>
      </c>
      <c r="X46" s="818">
        <f>'3. T3 TASE '!J84/1000</f>
        <v>0</v>
      </c>
      <c r="Y46" s="818">
        <f>'3. T3 TASE '!K84/1000</f>
        <v>0</v>
      </c>
      <c r="AA46" s="1549">
        <f>'4. T7 LAINAT '!B26</f>
        <v>0</v>
      </c>
      <c r="AB46" s="1550">
        <f>'4. T7 LAINAT '!C26/1000</f>
        <v>0</v>
      </c>
      <c r="AC46" s="1551">
        <f>'4. T7 LAINAT '!D26</f>
        <v>0</v>
      </c>
      <c r="AD46" s="1552">
        <f>'4. T7 LAINAT '!E26*100</f>
        <v>0</v>
      </c>
      <c r="AE46" s="1550">
        <f>'4. T7 LAINAT '!F26/1000</f>
        <v>0</v>
      </c>
      <c r="AF46" s="868">
        <f>'4. T7 LAINAT '!G26/1000</f>
        <v>0</v>
      </c>
      <c r="AG46" s="1553">
        <f>'4. T7 LAINAT '!H26/1000</f>
        <v>0</v>
      </c>
      <c r="AH46" s="1550"/>
      <c r="AI46" s="868">
        <f>'4. T7 LAINAT '!J26/1000</f>
        <v>0</v>
      </c>
      <c r="AJ46" s="1553">
        <f>'4. T7 LAINAT '!K26/1000</f>
        <v>0</v>
      </c>
      <c r="AK46" s="1550"/>
      <c r="AL46" s="868">
        <f>'4. T7 LAINAT '!M26/1000</f>
        <v>0</v>
      </c>
      <c r="AM46" s="1553">
        <f>'4. T7 LAINAT '!N26/1000</f>
        <v>0</v>
      </c>
      <c r="AN46" s="1550"/>
      <c r="AO46" s="868">
        <f>'4. T7 LAINAT '!P26/1000</f>
        <v>0</v>
      </c>
      <c r="AP46" s="1624">
        <f>'4. T7 LAINAT '!Q26/1000</f>
        <v>0</v>
      </c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</row>
    <row r="47" spans="2:54" ht="11.25" customHeight="1">
      <c r="B47" s="1292" t="s">
        <v>439</v>
      </c>
      <c r="C47" s="814" t="s">
        <v>318</v>
      </c>
      <c r="D47" s="805">
        <f>'1. T1 INVESTOINTISUUN.'!D60/1000</f>
        <v>0</v>
      </c>
      <c r="E47" s="805">
        <f>'1. T1 INVESTOINTISUUN.'!E60/1000</f>
        <v>0</v>
      </c>
      <c r="F47" s="805">
        <f>'1. T1 INVESTOINTISUUN.'!F60/1000</f>
        <v>0</v>
      </c>
      <c r="G47" s="805">
        <f>'1. T1 INVESTOINTISUUN.'!G60/1000</f>
        <v>0</v>
      </c>
      <c r="H47" s="805">
        <f>'1. T1 INVESTOINTISUUN.'!H60/1000</f>
        <v>0</v>
      </c>
      <c r="I47" s="2117"/>
      <c r="J47" s="2163"/>
      <c r="K47" s="2124"/>
      <c r="L47" s="2124"/>
      <c r="M47" s="2117"/>
      <c r="N47" s="2118"/>
      <c r="O47" s="2119"/>
      <c r="R47" s="817" t="s">
        <v>243</v>
      </c>
      <c r="S47" s="826"/>
      <c r="T47" s="832">
        <f>'3. T3 TASE '!F91/1000</f>
        <v>0</v>
      </c>
      <c r="U47" s="818">
        <f>'3. T3 TASE '!G91/1000</f>
        <v>0</v>
      </c>
      <c r="V47" s="818">
        <f>'3. T3 TASE '!H91/1000</f>
        <v>0</v>
      </c>
      <c r="W47" s="818">
        <f>'3. T3 TASE '!I91/1000</f>
        <v>0</v>
      </c>
      <c r="X47" s="818">
        <f>'3. T3 TASE '!J91/1000</f>
        <v>0</v>
      </c>
      <c r="Y47" s="818">
        <f>'3. T3 TASE '!K91/1000</f>
        <v>0</v>
      </c>
      <c r="AA47" s="1592" t="str">
        <f>'4. T7 LAINAT '!B27</f>
        <v xml:space="preserve"> 2. vuonna nostettavat lainat</v>
      </c>
      <c r="AB47" s="1593"/>
      <c r="AC47" s="1594"/>
      <c r="AD47" s="1595"/>
      <c r="AE47" s="1593"/>
      <c r="AF47" s="1593"/>
      <c r="AG47" s="1596"/>
      <c r="AH47" s="1593"/>
      <c r="AI47" s="1593"/>
      <c r="AJ47" s="1593"/>
      <c r="AK47" s="1593"/>
      <c r="AL47" s="1593"/>
      <c r="AM47" s="1593"/>
      <c r="AN47" s="1593"/>
      <c r="AO47" s="1593"/>
      <c r="AP47" s="1595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</row>
    <row r="48" spans="2:54" ht="11.25" customHeight="1">
      <c r="B48" s="1295" t="s">
        <v>467</v>
      </c>
      <c r="C48" s="814" t="s">
        <v>319</v>
      </c>
      <c r="D48" s="805">
        <f>'1. T1 INVESTOINTISUUN.'!D61/1000</f>
        <v>0</v>
      </c>
      <c r="E48" s="805">
        <f>'1. T1 INVESTOINTISUUN.'!E61/1000</f>
        <v>0</v>
      </c>
      <c r="F48" s="805">
        <f>'1. T1 INVESTOINTISUUN.'!F61/1000</f>
        <v>0</v>
      </c>
      <c r="G48" s="805">
        <f>'1. T1 INVESTOINTISUUN.'!G61/1000</f>
        <v>0</v>
      </c>
      <c r="H48" s="805">
        <f>'1. T1 INVESTOINTISUUN.'!H61/1000</f>
        <v>0</v>
      </c>
      <c r="I48" s="2114" t="str">
        <f>'1. T1 INVESTOINTISUUN.'!J60</f>
        <v xml:space="preserve"> Eläkelainat</v>
      </c>
      <c r="J48" s="2162"/>
      <c r="K48" s="2123">
        <f>'1. T1 INVESTOINTISUUN.'!L60</f>
        <v>0</v>
      </c>
      <c r="L48" s="2126">
        <f>'1. T1 INVESTOINTISUUN.'!M60</f>
        <v>0</v>
      </c>
      <c r="M48" s="2114">
        <f>'1. T1 INVESTOINTISUUN.'!N60</f>
        <v>0</v>
      </c>
      <c r="N48" s="2115"/>
      <c r="O48" s="2116"/>
      <c r="Q48" s="807"/>
      <c r="R48" s="817" t="s">
        <v>250</v>
      </c>
      <c r="S48" s="826"/>
      <c r="T48" s="832">
        <f>'3. T3 TASE '!F96/1000</f>
        <v>0</v>
      </c>
      <c r="U48" s="818">
        <f>'3. T3 TASE '!G96/1000</f>
        <v>0</v>
      </c>
      <c r="V48" s="818">
        <f>'3. T3 TASE '!H96/1000</f>
        <v>0</v>
      </c>
      <c r="W48" s="818">
        <f>'3. T3 TASE '!I96/1000</f>
        <v>0</v>
      </c>
      <c r="X48" s="818">
        <f>'3. T3 TASE '!J96/1000</f>
        <v>0</v>
      </c>
      <c r="Y48" s="818">
        <f>'3. T3 TASE '!K96/1000</f>
        <v>0</v>
      </c>
      <c r="AA48" s="1541" t="str">
        <f>'4. T7 LAINAT '!B28</f>
        <v xml:space="preserve"> Rahoittaja/rahoitettava kohde</v>
      </c>
      <c r="AB48" s="1554">
        <f>'4. T7 LAINAT '!C28/1000</f>
        <v>0</v>
      </c>
      <c r="AC48" s="1555">
        <f>'4. T7 LAINAT '!D28</f>
        <v>0</v>
      </c>
      <c r="AD48" s="1556">
        <f>'4. T7 LAINAT '!E28*100</f>
        <v>0</v>
      </c>
      <c r="AE48" s="1554"/>
      <c r="AF48" s="1557"/>
      <c r="AG48" s="1558"/>
      <c r="AH48" s="1554">
        <f>'4. T7 LAINAT '!I28/1000</f>
        <v>0</v>
      </c>
      <c r="AI48" s="1557">
        <f>'4. T7 LAINAT '!J28/1000</f>
        <v>0</v>
      </c>
      <c r="AJ48" s="1558">
        <f>'4. T7 LAINAT '!K28/1000</f>
        <v>0</v>
      </c>
      <c r="AK48" s="1554"/>
      <c r="AL48" s="1557">
        <f>'4. T7 LAINAT '!M28/1000</f>
        <v>0</v>
      </c>
      <c r="AM48" s="1558">
        <f>'4. T7 LAINAT '!N28/1000</f>
        <v>0</v>
      </c>
      <c r="AN48" s="1554"/>
      <c r="AO48" s="1557">
        <f>'4. T7 LAINAT '!P28/1000</f>
        <v>0</v>
      </c>
      <c r="AP48" s="1625">
        <f>'4. T7 LAINAT '!Q28/1000</f>
        <v>0</v>
      </c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</row>
    <row r="49" spans="2:54" ht="10.95" customHeight="1">
      <c r="B49" s="1295" t="s">
        <v>478</v>
      </c>
      <c r="C49" s="1296" t="s">
        <v>320</v>
      </c>
      <c r="D49" s="1297">
        <f>'1. T1 INVESTOINTISUUN.'!D62/1000</f>
        <v>0</v>
      </c>
      <c r="E49" s="1297">
        <f>'1. T1 INVESTOINTISUUN.'!E62/1000</f>
        <v>0</v>
      </c>
      <c r="F49" s="1297">
        <f>'1. T1 INVESTOINTISUUN.'!F62/1000</f>
        <v>0</v>
      </c>
      <c r="G49" s="1297">
        <f>'1. T1 INVESTOINTISUUN.'!G62/1000</f>
        <v>0</v>
      </c>
      <c r="H49" s="1297">
        <f>'1. T1 INVESTOINTISUUN.'!H62/1000</f>
        <v>0</v>
      </c>
      <c r="I49" s="2120"/>
      <c r="J49" s="2164"/>
      <c r="K49" s="2125"/>
      <c r="L49" s="2125"/>
      <c r="M49" s="2120"/>
      <c r="N49" s="2121"/>
      <c r="O49" s="2122"/>
      <c r="Q49" s="807" t="s">
        <v>0</v>
      </c>
      <c r="R49" s="2215" t="s">
        <v>259</v>
      </c>
      <c r="S49" s="2216"/>
      <c r="T49" s="831">
        <f>'3. T3 TASE '!F98/1000</f>
        <v>0</v>
      </c>
      <c r="U49" s="829">
        <f>'3. T3 TASE '!G98/1000</f>
        <v>0</v>
      </c>
      <c r="V49" s="829">
        <f>'3. T3 TASE '!H98/1000</f>
        <v>0</v>
      </c>
      <c r="W49" s="829">
        <f>'3. T3 TASE '!I98/1000</f>
        <v>0</v>
      </c>
      <c r="X49" s="829">
        <f>'3. T3 TASE '!J98/1000</f>
        <v>0</v>
      </c>
      <c r="Y49" s="829">
        <f>'3. T3 TASE '!K98/1000</f>
        <v>0</v>
      </c>
      <c r="AA49" s="1542">
        <f>'4. T7 LAINAT '!B29</f>
        <v>0</v>
      </c>
      <c r="AB49" s="1532">
        <f>'4. T7 LAINAT '!C29/1000</f>
        <v>0</v>
      </c>
      <c r="AC49" s="861">
        <f>'4. T7 LAINAT '!D29</f>
        <v>0</v>
      </c>
      <c r="AD49" s="1545">
        <f>'4. T7 LAINAT '!E29*100</f>
        <v>0</v>
      </c>
      <c r="AE49" s="1532"/>
      <c r="AF49" s="818"/>
      <c r="AG49" s="1533"/>
      <c r="AH49" s="1532">
        <f>'4. T7 LAINAT '!I29/1000</f>
        <v>0</v>
      </c>
      <c r="AI49" s="818">
        <f>'4. T7 LAINAT '!J29/1000</f>
        <v>0</v>
      </c>
      <c r="AJ49" s="1533">
        <f>'4. T7 LAINAT '!K29/1000</f>
        <v>0</v>
      </c>
      <c r="AK49" s="1532"/>
      <c r="AL49" s="818">
        <f>'4. T7 LAINAT '!M29/1000</f>
        <v>0</v>
      </c>
      <c r="AM49" s="1533">
        <f>'4. T7 LAINAT '!N29/1000</f>
        <v>0</v>
      </c>
      <c r="AN49" s="1532"/>
      <c r="AO49" s="818">
        <f>'4. T7 LAINAT '!P29/1000</f>
        <v>0</v>
      </c>
      <c r="AP49" s="1613">
        <f>'4. T7 LAINAT '!Q29/1000</f>
        <v>0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</row>
    <row r="50" spans="2:54" ht="11.25" customHeight="1">
      <c r="Q50" s="865" t="s">
        <v>342</v>
      </c>
      <c r="R50" s="865"/>
      <c r="S50" s="865"/>
      <c r="T50" s="866"/>
      <c r="U50" s="866"/>
      <c r="V50" s="830"/>
      <c r="W50" s="830"/>
      <c r="X50" s="830"/>
      <c r="Y50" s="830"/>
      <c r="AA50" s="1549">
        <f>'4. T7 LAINAT '!B30</f>
        <v>0</v>
      </c>
      <c r="AB50" s="1550">
        <f>'4. T7 LAINAT '!C30/1000</f>
        <v>0</v>
      </c>
      <c r="AC50" s="1551">
        <f>'4. T7 LAINAT '!D30</f>
        <v>0</v>
      </c>
      <c r="AD50" s="1552">
        <f>'4. T7 LAINAT '!E30*100</f>
        <v>0</v>
      </c>
      <c r="AE50" s="1550"/>
      <c r="AF50" s="868"/>
      <c r="AG50" s="1553"/>
      <c r="AH50" s="1550">
        <f>'4. T7 LAINAT '!I30/1000</f>
        <v>0</v>
      </c>
      <c r="AI50" s="868">
        <f>'4. T7 LAINAT '!J30/1000</f>
        <v>0</v>
      </c>
      <c r="AJ50" s="1553">
        <f>'4. T7 LAINAT '!K30/1000</f>
        <v>0</v>
      </c>
      <c r="AK50" s="1550"/>
      <c r="AL50" s="868">
        <f>'4. T7 LAINAT '!M30/1000</f>
        <v>0</v>
      </c>
      <c r="AM50" s="1553">
        <f>'4. T7 LAINAT '!N30/1000</f>
        <v>0</v>
      </c>
      <c r="AN50" s="1550"/>
      <c r="AO50" s="868">
        <f>'4. T7 LAINAT '!P30/1000</f>
        <v>0</v>
      </c>
      <c r="AP50" s="1624">
        <f>'4. T7 LAINAT '!Q30/1000</f>
        <v>0</v>
      </c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</row>
    <row r="51" spans="2:54" ht="11.25" customHeight="1">
      <c r="B51" s="2237" t="s">
        <v>434</v>
      </c>
      <c r="C51" s="2238"/>
      <c r="D51" s="2207" t="s">
        <v>107</v>
      </c>
      <c r="E51" s="2207"/>
      <c r="F51" s="2207" t="s">
        <v>107</v>
      </c>
      <c r="G51" s="2207"/>
      <c r="H51" s="2207" t="s">
        <v>110</v>
      </c>
      <c r="I51" s="2207"/>
      <c r="J51" s="2207" t="s">
        <v>98</v>
      </c>
      <c r="K51" s="2207"/>
      <c r="L51" s="2207" t="s">
        <v>100</v>
      </c>
      <c r="M51" s="2207"/>
      <c r="N51" s="2207" t="s">
        <v>257</v>
      </c>
      <c r="O51" s="2247"/>
      <c r="Q51" s="2211" t="s">
        <v>573</v>
      </c>
      <c r="R51" s="2211"/>
      <c r="S51" s="2211"/>
      <c r="T51" s="1276"/>
      <c r="U51" s="1276"/>
      <c r="V51" s="1269" t="str">
        <f t="shared" ref="V51:Y52" si="2">V5</f>
        <v>Ennuste 1</v>
      </c>
      <c r="W51" s="1269" t="str">
        <f t="shared" si="2"/>
        <v>Ennuste 2</v>
      </c>
      <c r="X51" s="1269" t="str">
        <f t="shared" si="2"/>
        <v>Ennuste 3</v>
      </c>
      <c r="Y51" s="1269" t="str">
        <f t="shared" si="2"/>
        <v>Ennuste 4</v>
      </c>
      <c r="AA51" s="1597" t="str">
        <f>'4. T7 LAINAT '!B31</f>
        <v xml:space="preserve"> 3. vuonna nostettavat lainat</v>
      </c>
      <c r="AB51" s="1598"/>
      <c r="AC51" s="1599"/>
      <c r="AD51" s="1600"/>
      <c r="AE51" s="1598"/>
      <c r="AF51" s="1598"/>
      <c r="AG51" s="1601"/>
      <c r="AH51" s="1598"/>
      <c r="AI51" s="1598"/>
      <c r="AJ51" s="1601"/>
      <c r="AK51" s="1598"/>
      <c r="AL51" s="1598"/>
      <c r="AM51" s="1598"/>
      <c r="AN51" s="1598"/>
      <c r="AO51" s="1598"/>
      <c r="AP51" s="1600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</row>
    <row r="52" spans="2:54" ht="12" customHeight="1">
      <c r="B52" s="2239"/>
      <c r="C52" s="2240"/>
      <c r="D52" s="2166">
        <f>'2. &amp; 7. T2 TULOSSUUN. '!E8</f>
        <v>2023</v>
      </c>
      <c r="E52" s="2166"/>
      <c r="F52" s="2166">
        <f>'2. &amp; 7. T2 TULOSSUUN. '!G8</f>
        <v>2024</v>
      </c>
      <c r="G52" s="2166"/>
      <c r="H52" s="2165">
        <f>'2. &amp; 7. T2 TULOSSUUN. '!I8</f>
        <v>2025</v>
      </c>
      <c r="I52" s="2165"/>
      <c r="J52" s="2166">
        <f>'2. &amp; 7. T2 TULOSSUUN. '!K8</f>
        <v>2026</v>
      </c>
      <c r="K52" s="2166"/>
      <c r="L52" s="2166">
        <f>'2. &amp; 7. T2 TULOSSUUN. '!M8</f>
        <v>2027</v>
      </c>
      <c r="M52" s="2166"/>
      <c r="N52" s="2166">
        <f>'2. &amp; 7. T2 TULOSSUUN. '!O8</f>
        <v>2028</v>
      </c>
      <c r="O52" s="2167"/>
      <c r="Q52" s="2211"/>
      <c r="R52" s="2211"/>
      <c r="S52" s="2211"/>
      <c r="T52" s="1191"/>
      <c r="U52" s="1191"/>
      <c r="V52" s="1275">
        <f t="shared" si="2"/>
        <v>2025</v>
      </c>
      <c r="W52" s="1275">
        <f t="shared" si="2"/>
        <v>2026</v>
      </c>
      <c r="X52" s="1275">
        <f t="shared" si="2"/>
        <v>2027</v>
      </c>
      <c r="Y52" s="1275">
        <f t="shared" si="2"/>
        <v>2028</v>
      </c>
      <c r="AA52" s="1541" t="str">
        <f>'4. T7 LAINAT '!B32</f>
        <v xml:space="preserve"> Rahoittaja/rahoitettava kohde</v>
      </c>
      <c r="AB52" s="1554">
        <f>'4. T7 LAINAT '!C32/1000</f>
        <v>0</v>
      </c>
      <c r="AC52" s="1555">
        <f>'4. T7 LAINAT '!D32</f>
        <v>0</v>
      </c>
      <c r="AD52" s="1556">
        <f>'4. T7 LAINAT '!E32*100</f>
        <v>0</v>
      </c>
      <c r="AE52" s="1554"/>
      <c r="AF52" s="1557"/>
      <c r="AG52" s="1558"/>
      <c r="AH52" s="1554"/>
      <c r="AI52" s="1557"/>
      <c r="AJ52" s="1558"/>
      <c r="AK52" s="1554">
        <f>'4. T7 LAINAT '!L32/1000</f>
        <v>0</v>
      </c>
      <c r="AL52" s="1557">
        <f>'4. T7 LAINAT '!M32/1000</f>
        <v>0</v>
      </c>
      <c r="AM52" s="1558">
        <f>'4. T7 LAINAT '!N32/1000</f>
        <v>0</v>
      </c>
      <c r="AN52" s="1554"/>
      <c r="AO52" s="1557">
        <f>'4. T7 LAINAT '!P32/1000</f>
        <v>0</v>
      </c>
      <c r="AP52" s="1623">
        <f>'4. T7 LAINAT '!Q32/1000</f>
        <v>0</v>
      </c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</row>
    <row r="53" spans="2:54" ht="11.25" customHeight="1">
      <c r="B53" s="2239"/>
      <c r="C53" s="2240"/>
      <c r="D53" s="1272" t="s">
        <v>429</v>
      </c>
      <c r="E53" s="1273" t="s">
        <v>14</v>
      </c>
      <c r="F53" s="1272" t="s">
        <v>429</v>
      </c>
      <c r="G53" s="1273" t="s">
        <v>14</v>
      </c>
      <c r="H53" s="1272" t="s">
        <v>429</v>
      </c>
      <c r="I53" s="1273" t="s">
        <v>14</v>
      </c>
      <c r="J53" s="1272" t="s">
        <v>429</v>
      </c>
      <c r="K53" s="1273" t="s">
        <v>14</v>
      </c>
      <c r="L53" s="1272" t="s">
        <v>429</v>
      </c>
      <c r="M53" s="1273" t="s">
        <v>14</v>
      </c>
      <c r="N53" s="1272" t="s">
        <v>429</v>
      </c>
      <c r="O53" s="1298" t="s">
        <v>14</v>
      </c>
      <c r="Q53" s="783" t="s">
        <v>346</v>
      </c>
      <c r="R53" s="709"/>
      <c r="S53" s="709"/>
      <c r="T53" s="806"/>
      <c r="U53" s="397"/>
      <c r="V53" s="838"/>
      <c r="W53" s="838"/>
      <c r="X53" s="838"/>
      <c r="Y53" s="838"/>
      <c r="AA53" s="1542">
        <f>'4. T7 LAINAT '!B33</f>
        <v>0</v>
      </c>
      <c r="AB53" s="1532">
        <f>'4. T7 LAINAT '!C33/1000</f>
        <v>0</v>
      </c>
      <c r="AC53" s="861">
        <f>'4. T7 LAINAT '!D33</f>
        <v>0</v>
      </c>
      <c r="AD53" s="1545">
        <f>'4. T7 LAINAT '!E33*100</f>
        <v>0</v>
      </c>
      <c r="AE53" s="1532"/>
      <c r="AF53" s="818"/>
      <c r="AG53" s="1533"/>
      <c r="AH53" s="1532"/>
      <c r="AI53" s="818"/>
      <c r="AJ53" s="1533"/>
      <c r="AK53" s="1532">
        <f>'4. T7 LAINAT '!L33/1000</f>
        <v>0</v>
      </c>
      <c r="AL53" s="818">
        <f>'4. T7 LAINAT '!M33/1000</f>
        <v>0</v>
      </c>
      <c r="AM53" s="1533">
        <f>'4. T7 LAINAT '!N33/1000</f>
        <v>0</v>
      </c>
      <c r="AN53" s="1532"/>
      <c r="AO53" s="818">
        <f>'4. T7 LAINAT '!P33/1000</f>
        <v>0</v>
      </c>
      <c r="AP53" s="1613">
        <f>'4. T7 LAINAT '!Q33/1000</f>
        <v>0</v>
      </c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</row>
    <row r="54" spans="2:54" ht="12" customHeight="1">
      <c r="B54" s="1299"/>
      <c r="C54" s="824" t="s">
        <v>392</v>
      </c>
      <c r="D54" s="1695">
        <f>'2. &amp; 7. T2 TULOSSUUN. '!E10</f>
        <v>12</v>
      </c>
      <c r="E54" s="1696"/>
      <c r="F54" s="1695" t="str">
        <f>'2. &amp; 7. T2 TULOSSUUN. '!G10</f>
        <v>12</v>
      </c>
      <c r="G54" s="1696"/>
      <c r="H54" s="1695">
        <f>'2. &amp; 7. T2 TULOSSUUN. '!I10</f>
        <v>12</v>
      </c>
      <c r="I54" s="1696"/>
      <c r="J54" s="1695" t="str">
        <f>'2. &amp; 7. T2 TULOSSUUN. '!K10</f>
        <v>12</v>
      </c>
      <c r="K54" s="1696"/>
      <c r="L54" s="1695" t="str">
        <f>'2. &amp; 7. T2 TULOSSUUN. '!M10</f>
        <v>12</v>
      </c>
      <c r="M54" s="1696"/>
      <c r="N54" s="1695" t="str">
        <f>'2. &amp; 7. T2 TULOSSUUN. '!O10</f>
        <v>12</v>
      </c>
      <c r="O54" s="1697"/>
      <c r="Q54" s="807"/>
      <c r="R54" s="844" t="s">
        <v>575</v>
      </c>
      <c r="S54" s="844"/>
      <c r="T54" s="844"/>
      <c r="U54" s="834"/>
      <c r="V54" s="818">
        <f>'8. T4 RAHOITUSSUUN. '!H15/1000</f>
        <v>0</v>
      </c>
      <c r="W54" s="818">
        <f>'8. T4 RAHOITUSSUUN. '!I15/1000</f>
        <v>0</v>
      </c>
      <c r="X54" s="818">
        <f>'8. T4 RAHOITUSSUUN. '!J15/1000</f>
        <v>0</v>
      </c>
      <c r="Y54" s="818">
        <f>'8. T4 RAHOITUSSUUN. '!K15/1000</f>
        <v>0</v>
      </c>
      <c r="AA54" s="1549">
        <f>'4. T7 LAINAT '!B34</f>
        <v>0</v>
      </c>
      <c r="AB54" s="1550">
        <f>'4. T7 LAINAT '!C34/1000</f>
        <v>0</v>
      </c>
      <c r="AC54" s="1551">
        <f>'4. T7 LAINAT '!D34</f>
        <v>0</v>
      </c>
      <c r="AD54" s="1552">
        <f>'4. T7 LAINAT '!E34*100</f>
        <v>0</v>
      </c>
      <c r="AE54" s="1550"/>
      <c r="AF54" s="868"/>
      <c r="AG54" s="1553"/>
      <c r="AH54" s="1550"/>
      <c r="AI54" s="868"/>
      <c r="AJ54" s="1553"/>
      <c r="AK54" s="1550">
        <f>'4. T7 LAINAT '!L34/1000</f>
        <v>0</v>
      </c>
      <c r="AL54" s="868">
        <f>'4. T7 LAINAT '!M34/1000</f>
        <v>0</v>
      </c>
      <c r="AM54" s="1553">
        <f>'4. T7 LAINAT '!N34/1000</f>
        <v>0</v>
      </c>
      <c r="AN54" s="1550"/>
      <c r="AO54" s="868">
        <f>'4. T7 LAINAT '!P34/1000</f>
        <v>0</v>
      </c>
      <c r="AP54" s="1624">
        <f>'4. T7 LAINAT '!Q34/1000</f>
        <v>0</v>
      </c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</row>
    <row r="55" spans="2:54" ht="11.25" customHeight="1">
      <c r="B55" s="1283" t="s">
        <v>2</v>
      </c>
      <c r="C55" s="825" t="s">
        <v>77</v>
      </c>
      <c r="D55" s="829">
        <f>'2. &amp; 7. T2 TULOSSUUN. '!E11/1000</f>
        <v>0</v>
      </c>
      <c r="E55" s="821">
        <v>0</v>
      </c>
      <c r="F55" s="829">
        <f>'2. &amp; 7. T2 TULOSSUUN. '!G11/1000</f>
        <v>0</v>
      </c>
      <c r="G55" s="821">
        <v>0</v>
      </c>
      <c r="H55" s="829">
        <f>'2. &amp; 7. T2 TULOSSUUN. '!I11/1000</f>
        <v>0</v>
      </c>
      <c r="I55" s="821">
        <v>0</v>
      </c>
      <c r="J55" s="829">
        <f>'2. &amp; 7. T2 TULOSSUUN. '!K11/1000</f>
        <v>0</v>
      </c>
      <c r="K55" s="821">
        <v>0</v>
      </c>
      <c r="L55" s="829">
        <f>'2. &amp; 7. T2 TULOSSUUN. '!M11/1000</f>
        <v>0</v>
      </c>
      <c r="M55" s="821">
        <v>0</v>
      </c>
      <c r="N55" s="829">
        <f>'2. &amp; 7. T2 TULOSSUUN. '!O11/1000</f>
        <v>0</v>
      </c>
      <c r="O55" s="1300">
        <v>0</v>
      </c>
      <c r="Q55" s="807"/>
      <c r="R55" s="863" t="s">
        <v>576</v>
      </c>
      <c r="S55" s="863"/>
      <c r="T55" s="863"/>
      <c r="U55" s="826"/>
      <c r="V55" s="818">
        <f>'8. T4 RAHOITUSSUUN. '!H16/1000</f>
        <v>0</v>
      </c>
      <c r="W55" s="818">
        <f>'8. T4 RAHOITUSSUUN. '!I16/1000</f>
        <v>0</v>
      </c>
      <c r="X55" s="818">
        <f>'8. T4 RAHOITUSSUUN. '!J16/1000</f>
        <v>0</v>
      </c>
      <c r="Y55" s="818">
        <f>'8. T4 RAHOITUSSUUN. '!K16/1000</f>
        <v>0</v>
      </c>
      <c r="AA55" s="1592" t="str">
        <f>'4. T7 LAINAT '!B35</f>
        <v xml:space="preserve"> 4. vuonna nostettavat lainat</v>
      </c>
      <c r="AB55" s="1593"/>
      <c r="AC55" s="1594"/>
      <c r="AD55" s="1595"/>
      <c r="AE55" s="1593"/>
      <c r="AF55" s="1593"/>
      <c r="AG55" s="1596"/>
      <c r="AH55" s="1593"/>
      <c r="AI55" s="1593"/>
      <c r="AJ55" s="1596"/>
      <c r="AK55" s="1593"/>
      <c r="AL55" s="1593"/>
      <c r="AM55" s="1596"/>
      <c r="AN55" s="1593"/>
      <c r="AO55" s="1593"/>
      <c r="AP55" s="1595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</row>
    <row r="56" spans="2:54" ht="11.25" customHeight="1">
      <c r="B56" s="1285" t="s">
        <v>3</v>
      </c>
      <c r="C56" s="826" t="s">
        <v>80</v>
      </c>
      <c r="D56" s="818">
        <f>'2. &amp; 7. T2 TULOSSUUN. '!E12/1000</f>
        <v>0</v>
      </c>
      <c r="E56" s="822">
        <v>0</v>
      </c>
      <c r="F56" s="818">
        <f>'2. &amp; 7. T2 TULOSSUUN. '!G12/1000</f>
        <v>0</v>
      </c>
      <c r="G56" s="822">
        <v>0</v>
      </c>
      <c r="H56" s="818">
        <f>'2. &amp; 7. T2 TULOSSUUN. '!I12/1000</f>
        <v>0</v>
      </c>
      <c r="I56" s="822"/>
      <c r="J56" s="818">
        <f>'2. &amp; 7. T2 TULOSSUUN. '!K12/1000</f>
        <v>0</v>
      </c>
      <c r="K56" s="822"/>
      <c r="L56" s="818">
        <f>'2. &amp; 7. T2 TULOSSUUN. '!M12/1000</f>
        <v>0</v>
      </c>
      <c r="M56" s="822"/>
      <c r="N56" s="818">
        <f>'2. &amp; 7. T2 TULOSSUUN. '!O12/1000</f>
        <v>0</v>
      </c>
      <c r="O56" s="1301"/>
      <c r="Q56" s="807"/>
      <c r="R56" s="863" t="s">
        <v>577</v>
      </c>
      <c r="S56" s="863"/>
      <c r="T56" s="863"/>
      <c r="U56" s="826"/>
      <c r="V56" s="818">
        <f>'8. T4 RAHOITUSSUUN. '!H17/1000</f>
        <v>0</v>
      </c>
      <c r="W56" s="818">
        <f>'8. T4 RAHOITUSSUUN. '!I17/1000</f>
        <v>0</v>
      </c>
      <c r="X56" s="818">
        <f>'8. T4 RAHOITUSSUUN. '!J17/1000</f>
        <v>0</v>
      </c>
      <c r="Y56" s="818">
        <f>'8. T4 RAHOITUSSUUN. '!K17/1000</f>
        <v>0</v>
      </c>
      <c r="AA56" s="1541" t="str">
        <f>'4. T7 LAINAT '!B36</f>
        <v xml:space="preserve"> Rahoittaja/rahoitettava kohde</v>
      </c>
      <c r="AB56" s="1554">
        <f>'4. T7 LAINAT '!C36/1000</f>
        <v>0</v>
      </c>
      <c r="AC56" s="1555">
        <f>'4. T7 LAINAT '!D36</f>
        <v>0</v>
      </c>
      <c r="AD56" s="1556">
        <f>'4. T7 LAINAT '!E36*100</f>
        <v>0</v>
      </c>
      <c r="AE56" s="1554"/>
      <c r="AF56" s="1557"/>
      <c r="AG56" s="1558"/>
      <c r="AH56" s="1554"/>
      <c r="AI56" s="1557"/>
      <c r="AJ56" s="1558"/>
      <c r="AK56" s="1554"/>
      <c r="AL56" s="1557"/>
      <c r="AM56" s="1558"/>
      <c r="AN56" s="1554">
        <f>'4. T7 LAINAT '!O36/1000</f>
        <v>0</v>
      </c>
      <c r="AO56" s="1557">
        <f>'4. T7 LAINAT '!P36/1000</f>
        <v>0</v>
      </c>
      <c r="AP56" s="1625">
        <f>'4. T7 LAINAT '!Q36/1000</f>
        <v>0</v>
      </c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</row>
    <row r="57" spans="2:54" ht="11.25" customHeight="1">
      <c r="B57" s="1285" t="s">
        <v>4</v>
      </c>
      <c r="C57" s="826" t="s">
        <v>421</v>
      </c>
      <c r="D57" s="818">
        <f>'2. &amp; 7. T2 TULOSSUUN. '!E13/1000</f>
        <v>0</v>
      </c>
      <c r="E57" s="822"/>
      <c r="F57" s="818">
        <f>'2. &amp; 7. T2 TULOSSUUN. '!G13/1000</f>
        <v>0</v>
      </c>
      <c r="G57" s="822"/>
      <c r="H57" s="818">
        <f>'2. &amp; 7. T2 TULOSSUUN. '!I13/1000</f>
        <v>0</v>
      </c>
      <c r="I57" s="822"/>
      <c r="J57" s="818">
        <f>'2. &amp; 7. T2 TULOSSUUN. '!K13/1000</f>
        <v>0</v>
      </c>
      <c r="K57" s="822"/>
      <c r="L57" s="818">
        <f>'2. &amp; 7. T2 TULOSSUUN. '!M13/1000</f>
        <v>0</v>
      </c>
      <c r="M57" s="822"/>
      <c r="N57" s="818">
        <f>'2. &amp; 7. T2 TULOSSUUN. '!O13/1000</f>
        <v>0</v>
      </c>
      <c r="O57" s="1301"/>
      <c r="Q57" s="807"/>
      <c r="R57" s="2112" t="s">
        <v>578</v>
      </c>
      <c r="S57" s="2112"/>
      <c r="T57" s="2112"/>
      <c r="U57" s="2113"/>
      <c r="V57" s="818">
        <f>'8. T4 RAHOITUSSUUN. '!H18/1000</f>
        <v>0</v>
      </c>
      <c r="W57" s="818">
        <f>'8. T4 RAHOITUSSUUN. '!I18/1000</f>
        <v>0</v>
      </c>
      <c r="X57" s="818">
        <f>'8. T4 RAHOITUSSUUN. '!J18/1000</f>
        <v>0</v>
      </c>
      <c r="Y57" s="818">
        <f>'8. T4 RAHOITUSSUUN. '!K18/1000</f>
        <v>0</v>
      </c>
      <c r="AA57" s="1542">
        <f>'4. T7 LAINAT '!B37</f>
        <v>0</v>
      </c>
      <c r="AB57" s="1532">
        <f>'4. T7 LAINAT '!C37/1000</f>
        <v>0</v>
      </c>
      <c r="AC57" s="861">
        <f>'4. T7 LAINAT '!D37</f>
        <v>0</v>
      </c>
      <c r="AD57" s="1545">
        <f>'4. T7 LAINAT '!E37*100</f>
        <v>0</v>
      </c>
      <c r="AE57" s="1532"/>
      <c r="AF57" s="818"/>
      <c r="AG57" s="1533"/>
      <c r="AH57" s="1532"/>
      <c r="AI57" s="818"/>
      <c r="AJ57" s="1533"/>
      <c r="AK57" s="1532"/>
      <c r="AL57" s="818"/>
      <c r="AM57" s="1533"/>
      <c r="AN57" s="1532">
        <f>'4. T7 LAINAT '!O37/1000</f>
        <v>0</v>
      </c>
      <c r="AO57" s="818">
        <f>'4. T7 LAINAT '!P37/1000</f>
        <v>0</v>
      </c>
      <c r="AP57" s="1613">
        <f>'4. T7 LAINAT '!Q37/1000</f>
        <v>0</v>
      </c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</row>
    <row r="58" spans="2:54" ht="11.25" customHeight="1" thickBot="1">
      <c r="B58" s="1285" t="s">
        <v>5</v>
      </c>
      <c r="C58" s="827" t="s">
        <v>84</v>
      </c>
      <c r="D58" s="829">
        <f>'2. &amp; 7. T2 TULOSSUUN. '!E14/1000</f>
        <v>0</v>
      </c>
      <c r="E58" s="823">
        <v>100</v>
      </c>
      <c r="F58" s="829">
        <f>'2. &amp; 7. T2 TULOSSUUN. '!G14/1000</f>
        <v>0</v>
      </c>
      <c r="G58" s="823">
        <v>100</v>
      </c>
      <c r="H58" s="829">
        <f>'2. &amp; 7. T2 TULOSSUUN. '!I14/1000</f>
        <v>0</v>
      </c>
      <c r="I58" s="823">
        <v>100</v>
      </c>
      <c r="J58" s="829">
        <f>'2. &amp; 7. T2 TULOSSUUN. '!K14/1000</f>
        <v>0</v>
      </c>
      <c r="K58" s="823">
        <v>100</v>
      </c>
      <c r="L58" s="829">
        <f>'2. &amp; 7. T2 TULOSSUUN. '!M14/1000</f>
        <v>0</v>
      </c>
      <c r="M58" s="823">
        <v>100</v>
      </c>
      <c r="N58" s="829">
        <f>'2. &amp; 7. T2 TULOSSUUN. '!O14/1000</f>
        <v>0</v>
      </c>
      <c r="O58" s="1302">
        <v>100</v>
      </c>
      <c r="Q58" s="807"/>
      <c r="R58" s="2112" t="s">
        <v>579</v>
      </c>
      <c r="S58" s="2112"/>
      <c r="T58" s="2112"/>
      <c r="U58" s="2113"/>
      <c r="V58" s="818">
        <f>'8. T4 RAHOITUSSUUN. '!H19/1000</f>
        <v>0</v>
      </c>
      <c r="W58" s="818">
        <f>'8. T4 RAHOITUSSUUN. '!I19/1000</f>
        <v>0</v>
      </c>
      <c r="X58" s="818">
        <f>'8. T4 RAHOITUSSUUN. '!J19/1000</f>
        <v>0</v>
      </c>
      <c r="Y58" s="818">
        <f>'8. T4 RAHOITUSSUUN. '!K19/1000</f>
        <v>0</v>
      </c>
      <c r="AA58" s="1543">
        <f>'4. T7 LAINAT '!B38</f>
        <v>0</v>
      </c>
      <c r="AB58" s="1534">
        <f>'4. T7 LAINAT '!C38/1000</f>
        <v>0</v>
      </c>
      <c r="AC58" s="1175">
        <f>'4. T7 LAINAT '!D38</f>
        <v>0</v>
      </c>
      <c r="AD58" s="1546">
        <f>'4. T7 LAINAT '!E38*100</f>
        <v>0</v>
      </c>
      <c r="AE58" s="1534"/>
      <c r="AF58" s="1176"/>
      <c r="AG58" s="1535"/>
      <c r="AH58" s="1534"/>
      <c r="AI58" s="1176"/>
      <c r="AJ58" s="1535"/>
      <c r="AK58" s="1534"/>
      <c r="AL58" s="1176"/>
      <c r="AM58" s="1535"/>
      <c r="AN58" s="1534">
        <f>'4. T7 LAINAT '!O38/1000</f>
        <v>0</v>
      </c>
      <c r="AO58" s="1176">
        <f>'4. T7 LAINAT '!P38/1000</f>
        <v>0</v>
      </c>
      <c r="AP58" s="1614">
        <f>'4. T7 LAINAT '!Q38/1000</f>
        <v>0</v>
      </c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</row>
    <row r="59" spans="2:54" ht="11.25" customHeight="1" thickTop="1">
      <c r="B59" s="1285" t="s">
        <v>6</v>
      </c>
      <c r="C59" s="826" t="s">
        <v>81</v>
      </c>
      <c r="D59" s="818">
        <f>'2. &amp; 7. T2 TULOSSUUN. '!E15/1000</f>
        <v>0</v>
      </c>
      <c r="E59" s="822">
        <f>'2. &amp; 7. T2 TULOSSUUN. '!F15</f>
        <v>0</v>
      </c>
      <c r="F59" s="818">
        <f>'2. &amp; 7. T2 TULOSSUUN. '!G15/1000</f>
        <v>0</v>
      </c>
      <c r="G59" s="822">
        <f>'2. &amp; 7. T2 TULOSSUUN. '!H15</f>
        <v>0</v>
      </c>
      <c r="H59" s="818">
        <f>'2. &amp; 7. T2 TULOSSUUN. '!I15/1000</f>
        <v>0</v>
      </c>
      <c r="I59" s="822">
        <f>'2. &amp; 7. T2 TULOSSUUN. '!J15</f>
        <v>0</v>
      </c>
      <c r="J59" s="818">
        <f>'2. &amp; 7. T2 TULOSSUUN. '!K15/1000</f>
        <v>0</v>
      </c>
      <c r="K59" s="822">
        <f>'2. &amp; 7. T2 TULOSSUUN. '!L15</f>
        <v>0</v>
      </c>
      <c r="L59" s="818">
        <f>'2. &amp; 7. T2 TULOSSUUN. '!M15/1000</f>
        <v>0</v>
      </c>
      <c r="M59" s="822">
        <f>'2. &amp; 7. T2 TULOSSUUN. '!N15</f>
        <v>0</v>
      </c>
      <c r="N59" s="818">
        <f>'2. &amp; 7. T2 TULOSSUUN. '!O15/1000</f>
        <v>0</v>
      </c>
      <c r="O59" s="1301">
        <f>'2. &amp; 7. T2 TULOSSUUN. '!P15</f>
        <v>0</v>
      </c>
      <c r="Q59" s="807"/>
      <c r="R59" s="2146" t="s">
        <v>580</v>
      </c>
      <c r="S59" s="2146"/>
      <c r="T59" s="2146"/>
      <c r="U59" s="2147"/>
      <c r="V59" s="818">
        <f>'8. T4 RAHOITUSSUUN. '!H20/1000</f>
        <v>0</v>
      </c>
      <c r="W59" s="818">
        <f>'8. T4 RAHOITUSSUUN. '!I20/1000</f>
        <v>0</v>
      </c>
      <c r="X59" s="818">
        <f>'8. T4 RAHOITUSSUUN. '!J20/1000</f>
        <v>0</v>
      </c>
      <c r="Y59" s="818">
        <f>'8. T4 RAHOITUSSUUN. '!K20/1000</f>
        <v>0</v>
      </c>
      <c r="AA59" s="1544" t="str">
        <f>'4. T7 LAINAT '!B39</f>
        <v xml:space="preserve"> Uudet lainat yhteensä</v>
      </c>
      <c r="AB59" s="1547">
        <f>SUM(AB44:AB58)</f>
        <v>0</v>
      </c>
      <c r="AC59" s="1378">
        <v>0</v>
      </c>
      <c r="AD59" s="1530">
        <v>0</v>
      </c>
      <c r="AE59" s="1547">
        <f t="shared" ref="AE59:AM59" si="3">SUM(AE44:AE58)</f>
        <v>0</v>
      </c>
      <c r="AF59" s="1379">
        <f t="shared" si="3"/>
        <v>0</v>
      </c>
      <c r="AG59" s="1548">
        <f t="shared" si="3"/>
        <v>0</v>
      </c>
      <c r="AH59" s="1547">
        <f t="shared" si="3"/>
        <v>0</v>
      </c>
      <c r="AI59" s="1379">
        <f t="shared" si="3"/>
        <v>0</v>
      </c>
      <c r="AJ59" s="1548">
        <f t="shared" si="3"/>
        <v>0</v>
      </c>
      <c r="AK59" s="1547">
        <f t="shared" si="3"/>
        <v>0</v>
      </c>
      <c r="AL59" s="1379">
        <f t="shared" si="3"/>
        <v>0</v>
      </c>
      <c r="AM59" s="1548">
        <f t="shared" si="3"/>
        <v>0</v>
      </c>
      <c r="AN59" s="1547">
        <f>SUM(AN44:AN58)</f>
        <v>0</v>
      </c>
      <c r="AO59" s="1379">
        <f>SUM(AO44:AO58)</f>
        <v>0</v>
      </c>
      <c r="AP59" s="1626">
        <f>SUM(AP44:AP58)</f>
        <v>0</v>
      </c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</row>
    <row r="60" spans="2:54" ht="11.25" customHeight="1">
      <c r="B60" s="1285" t="s">
        <v>7</v>
      </c>
      <c r="C60" s="826" t="s">
        <v>82</v>
      </c>
      <c r="D60" s="818">
        <f>'2. &amp; 7. T2 TULOSSUUN. '!E16/1000</f>
        <v>0</v>
      </c>
      <c r="E60" s="822">
        <f>'2. &amp; 7. T2 TULOSSUUN. '!F16</f>
        <v>0</v>
      </c>
      <c r="F60" s="818">
        <f>'2. &amp; 7. T2 TULOSSUUN. '!G16/1000</f>
        <v>0</v>
      </c>
      <c r="G60" s="822">
        <f>'2. &amp; 7. T2 TULOSSUUN. '!H16</f>
        <v>0</v>
      </c>
      <c r="H60" s="818">
        <f>'2. &amp; 7. T2 TULOSSUUN. '!I16/1000</f>
        <v>0</v>
      </c>
      <c r="I60" s="822">
        <f>'2. &amp; 7. T2 TULOSSUUN. '!J16</f>
        <v>0</v>
      </c>
      <c r="J60" s="818">
        <f>'2. &amp; 7. T2 TULOSSUUN. '!K16/1000</f>
        <v>0</v>
      </c>
      <c r="K60" s="822">
        <f>'2. &amp; 7. T2 TULOSSUUN. '!L16</f>
        <v>0</v>
      </c>
      <c r="L60" s="818">
        <f>'2. &amp; 7. T2 TULOSSUUN. '!M16/1000</f>
        <v>0</v>
      </c>
      <c r="M60" s="822">
        <f>'2. &amp; 7. T2 TULOSSUUN. '!N16</f>
        <v>0</v>
      </c>
      <c r="N60" s="818">
        <f>'2. &amp; 7. T2 TULOSSUUN. '!O16/1000</f>
        <v>0</v>
      </c>
      <c r="O60" s="1301">
        <f>'2. &amp; 7. T2 TULOSSUUN. '!P16</f>
        <v>0</v>
      </c>
      <c r="Q60" s="830"/>
      <c r="R60" s="845" t="s">
        <v>581</v>
      </c>
      <c r="S60" s="845"/>
      <c r="T60" s="846"/>
      <c r="U60" s="827"/>
      <c r="V60" s="829">
        <f>'8. T4 RAHOITUSSUUN. '!H21/1000</f>
        <v>0</v>
      </c>
      <c r="W60" s="829">
        <f>'8. T4 RAHOITUSSUUN. '!I21/1000</f>
        <v>0</v>
      </c>
      <c r="X60" s="829">
        <f>'8. T4 RAHOITUSSUUN. '!J21/1000</f>
        <v>0</v>
      </c>
      <c r="Y60" s="829">
        <f>'8. T4 RAHOITUSSUUN. '!K21/1000</f>
        <v>0</v>
      </c>
      <c r="AA60" s="806"/>
      <c r="AB60" s="708"/>
      <c r="AC60" s="709"/>
      <c r="AD60" s="709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</row>
    <row r="61" spans="2:54" ht="11.25" customHeight="1">
      <c r="B61" s="1285" t="s">
        <v>8</v>
      </c>
      <c r="C61" s="826" t="s">
        <v>13</v>
      </c>
      <c r="D61" s="818">
        <f>'2. &amp; 7. T2 TULOSSUUN. '!E17/1000</f>
        <v>0</v>
      </c>
      <c r="E61" s="822">
        <f>'2. &amp; 7. T2 TULOSSUUN. '!F17</f>
        <v>0</v>
      </c>
      <c r="F61" s="818">
        <f>'2. &amp; 7. T2 TULOSSUUN. '!G17/1000</f>
        <v>0</v>
      </c>
      <c r="G61" s="822">
        <f>'2. &amp; 7. T2 TULOSSUUN. '!H17</f>
        <v>0</v>
      </c>
      <c r="H61" s="818">
        <f>'2. &amp; 7. T2 TULOSSUUN. '!I17/1000</f>
        <v>0</v>
      </c>
      <c r="I61" s="822">
        <f>'2. &amp; 7. T2 TULOSSUUN. '!J17</f>
        <v>0</v>
      </c>
      <c r="J61" s="818">
        <f>'2. &amp; 7. T2 TULOSSUUN. '!K17/1000</f>
        <v>0</v>
      </c>
      <c r="K61" s="822">
        <f>'2. &amp; 7. T2 TULOSSUUN. '!L17</f>
        <v>0</v>
      </c>
      <c r="L61" s="818">
        <f>'2. &amp; 7. T2 TULOSSUUN. '!M17/1000</f>
        <v>0</v>
      </c>
      <c r="M61" s="822">
        <f>'2. &amp; 7. T2 TULOSSUUN. '!N17</f>
        <v>0</v>
      </c>
      <c r="N61" s="818">
        <f>'2. &amp; 7. T2 TULOSSUUN. '!O17/1000</f>
        <v>0</v>
      </c>
      <c r="O61" s="1301">
        <f>'2. &amp; 7. T2 TULOSSUUN. '!P17</f>
        <v>0</v>
      </c>
      <c r="Q61" s="783" t="s">
        <v>345</v>
      </c>
      <c r="R61" s="709"/>
      <c r="S61" s="709"/>
      <c r="T61" s="806"/>
      <c r="U61" s="806"/>
      <c r="V61" s="839"/>
      <c r="W61" s="839"/>
      <c r="X61" s="839"/>
      <c r="Y61" s="839"/>
      <c r="AA61" s="2210" t="str">
        <f>'4. T7 LAINAT '!B40</f>
        <v xml:space="preserve"> UUDET OSAMAKSUVELAT</v>
      </c>
      <c r="AB61" s="2185" t="s">
        <v>545</v>
      </c>
      <c r="AC61" s="2186" t="s">
        <v>598</v>
      </c>
      <c r="AD61" s="2187" t="s">
        <v>123</v>
      </c>
      <c r="AE61" s="2128">
        <f>AE41</f>
        <v>2025</v>
      </c>
      <c r="AF61" s="2128"/>
      <c r="AG61" s="2129"/>
      <c r="AH61" s="2127">
        <f>AH41</f>
        <v>2026</v>
      </c>
      <c r="AI61" s="2128"/>
      <c r="AJ61" s="2129"/>
      <c r="AK61" s="2127">
        <f>AK41</f>
        <v>2027</v>
      </c>
      <c r="AL61" s="2128"/>
      <c r="AM61" s="2129"/>
      <c r="AN61" s="2128">
        <f>AN41</f>
        <v>2028</v>
      </c>
      <c r="AO61" s="2128"/>
      <c r="AP61" s="2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</row>
    <row r="62" spans="2:54" ht="11.25" customHeight="1">
      <c r="B62" s="1285" t="s">
        <v>9</v>
      </c>
      <c r="C62" s="864" t="s">
        <v>83</v>
      </c>
      <c r="D62" s="818">
        <f>'2. &amp; 7. T2 TULOSSUUN. '!E18/1000</f>
        <v>0</v>
      </c>
      <c r="E62" s="822">
        <f>'2. &amp; 7. T2 TULOSSUUN. '!F18</f>
        <v>0</v>
      </c>
      <c r="F62" s="818">
        <f>'2. &amp; 7. T2 TULOSSUUN. '!G18/1000</f>
        <v>0</v>
      </c>
      <c r="G62" s="822">
        <f>'2. &amp; 7. T2 TULOSSUUN. '!H18</f>
        <v>0</v>
      </c>
      <c r="H62" s="818">
        <f>'2. &amp; 7. T2 TULOSSUUN. '!I18/1000</f>
        <v>0</v>
      </c>
      <c r="I62" s="822">
        <f>'2. &amp; 7. T2 TULOSSUUN. '!J18</f>
        <v>0</v>
      </c>
      <c r="J62" s="818">
        <f>'2. &amp; 7. T2 TULOSSUUN. '!K18/1000</f>
        <v>0</v>
      </c>
      <c r="K62" s="822">
        <f>'2. &amp; 7. T2 TULOSSUUN. '!L18</f>
        <v>0</v>
      </c>
      <c r="L62" s="818">
        <f>'2. &amp; 7. T2 TULOSSUUN. '!M18/1000</f>
        <v>0</v>
      </c>
      <c r="M62" s="822">
        <f>'2. &amp; 7. T2 TULOSSUUN. '!N18</f>
        <v>0</v>
      </c>
      <c r="N62" s="818">
        <f>'2. &amp; 7. T2 TULOSSUUN. '!O18/1000</f>
        <v>0</v>
      </c>
      <c r="O62" s="1301">
        <f>'2. &amp; 7. T2 TULOSSUUN. '!P18</f>
        <v>0</v>
      </c>
      <c r="Q62" s="807"/>
      <c r="R62" s="2196" t="s">
        <v>582</v>
      </c>
      <c r="S62" s="2196"/>
      <c r="T62" s="2196"/>
      <c r="U62" s="2197"/>
      <c r="V62" s="818">
        <f>('8. T4 RAHOITUSSUUN. '!H24+'8. T4 RAHOITUSSUUN. '!H25+'8. T4 RAHOITUSSUUN. '!H26+'8. T4 RAHOITUSSUUN. '!H27)/1000</f>
        <v>0</v>
      </c>
      <c r="W62" s="818">
        <f>('8. T4 RAHOITUSSUUN. '!I24+'8. T4 RAHOITUSSUUN. '!I25+'8. T4 RAHOITUSSUUN. '!I26+'8. T4 RAHOITUSSUUN. '!I27)/1000</f>
        <v>0</v>
      </c>
      <c r="X62" s="818">
        <f>('8. T4 RAHOITUSSUUN. '!J24+'8. T4 RAHOITUSSUUN. '!J25+'8. T4 RAHOITUSSUUN. '!J26+'8. T4 RAHOITUSSUUN. '!J27)/1000</f>
        <v>0</v>
      </c>
      <c r="Y62" s="818">
        <f>('8. T4 RAHOITUSSUUN. '!K24+'8. T4 RAHOITUSSUUN. '!K25+'8. T4 RAHOITUSSUUN. '!K26+'8. T4 RAHOITUSSUUN. '!K27)/1000</f>
        <v>0</v>
      </c>
      <c r="AA62" s="2210"/>
      <c r="AB62" s="2185"/>
      <c r="AC62" s="2186"/>
      <c r="AD62" s="2187"/>
      <c r="AE62" s="1278" t="s">
        <v>129</v>
      </c>
      <c r="AF62" s="1277" t="s">
        <v>134</v>
      </c>
      <c r="AG62" s="1566" t="s">
        <v>126</v>
      </c>
      <c r="AH62" s="1573" t="s">
        <v>129</v>
      </c>
      <c r="AI62" s="1277" t="s">
        <v>134</v>
      </c>
      <c r="AJ62" s="1566" t="s">
        <v>126</v>
      </c>
      <c r="AK62" s="1573" t="s">
        <v>129</v>
      </c>
      <c r="AL62" s="1277" t="s">
        <v>134</v>
      </c>
      <c r="AM62" s="1566" t="s">
        <v>126</v>
      </c>
      <c r="AN62" s="1278" t="s">
        <v>129</v>
      </c>
      <c r="AO62" s="1278" t="s">
        <v>134</v>
      </c>
      <c r="AP62" s="1279" t="s">
        <v>126</v>
      </c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</row>
    <row r="63" spans="2:54" ht="11.25" customHeight="1">
      <c r="B63" s="1285" t="s">
        <v>10</v>
      </c>
      <c r="C63" s="864" t="s">
        <v>95</v>
      </c>
      <c r="D63" s="818">
        <f>'2. &amp; 7. T2 TULOSSUUN. '!E19/1000</f>
        <v>0</v>
      </c>
      <c r="E63" s="822">
        <f>'2. &amp; 7. T2 TULOSSUUN. '!F19</f>
        <v>0</v>
      </c>
      <c r="F63" s="818">
        <f>'2. &amp; 7. T2 TULOSSUUN. '!G19/1000</f>
        <v>0</v>
      </c>
      <c r="G63" s="822">
        <f>'2. &amp; 7. T2 TULOSSUUN. '!H19</f>
        <v>0</v>
      </c>
      <c r="H63" s="818">
        <f>'2. &amp; 7. T2 TULOSSUUN. '!I19/1000</f>
        <v>0</v>
      </c>
      <c r="I63" s="822">
        <f>'2. &amp; 7. T2 TULOSSUUN. '!J19</f>
        <v>0</v>
      </c>
      <c r="J63" s="818">
        <f>'2. &amp; 7. T2 TULOSSUUN. '!K19/1000</f>
        <v>0</v>
      </c>
      <c r="K63" s="822">
        <f>'2. &amp; 7. T2 TULOSSUUN. '!L19</f>
        <v>0</v>
      </c>
      <c r="L63" s="818">
        <f>'2. &amp; 7. T2 TULOSSUUN. '!M19/1000</f>
        <v>0</v>
      </c>
      <c r="M63" s="822">
        <f>'2. &amp; 7. T2 TULOSSUUN. '!N19</f>
        <v>0</v>
      </c>
      <c r="N63" s="818">
        <f>'2. &amp; 7. T2 TULOSSUUN. '!O19/1000</f>
        <v>0</v>
      </c>
      <c r="O63" s="1301">
        <f>'2. &amp; 7. T2 TULOSSUUN. '!P19</f>
        <v>0</v>
      </c>
      <c r="Q63" s="807"/>
      <c r="R63" s="2112" t="s">
        <v>583</v>
      </c>
      <c r="S63" s="2112"/>
      <c r="T63" s="2112"/>
      <c r="U63" s="2113"/>
      <c r="V63" s="818">
        <f>'8. T4 RAHOITUSSUUN. '!H28/1000</f>
        <v>0</v>
      </c>
      <c r="W63" s="818">
        <f>'8. T4 RAHOITUSSUUN. '!I28/1000</f>
        <v>0</v>
      </c>
      <c r="X63" s="818">
        <f>'8. T4 RAHOITUSSUUN. '!J28/1000</f>
        <v>0</v>
      </c>
      <c r="Y63" s="818">
        <f>'8. T4 RAHOITUSSUUN. '!K28/1000</f>
        <v>0</v>
      </c>
      <c r="AA63" s="1541" t="str">
        <f>'4. T7 LAINAT '!B41</f>
        <v xml:space="preserve"> Rahoittaja/rahoitettava kohde 1. vuosi</v>
      </c>
      <c r="AB63" s="1562">
        <f>'4. T7 LAINAT '!C41/1000</f>
        <v>0</v>
      </c>
      <c r="AC63" s="860">
        <f>'4. T7 LAINAT '!D41</f>
        <v>0</v>
      </c>
      <c r="AD63" s="1528">
        <f>'4. T7 LAINAT '!E41*100</f>
        <v>0</v>
      </c>
      <c r="AE63" s="1372">
        <f>'4. T7 LAINAT '!F41/1000</f>
        <v>0</v>
      </c>
      <c r="AF63" s="818">
        <f>'4. T7 LAINAT '!G41/1000</f>
        <v>0</v>
      </c>
      <c r="AG63" s="1567">
        <f>'4. T7 LAINAT '!H41/1000</f>
        <v>0</v>
      </c>
      <c r="AH63" s="1574"/>
      <c r="AI63" s="818">
        <f>'4. T7 LAINAT '!J41/1000</f>
        <v>0</v>
      </c>
      <c r="AJ63" s="1567">
        <f>'4. T7 LAINAT '!K41/1000</f>
        <v>0</v>
      </c>
      <c r="AK63" s="1574"/>
      <c r="AL63" s="818">
        <f>'4. T7 LAINAT '!M41/1000</f>
        <v>0</v>
      </c>
      <c r="AM63" s="1567">
        <f>'4. T7 LAINAT '!N41/1000</f>
        <v>0</v>
      </c>
      <c r="AN63" s="1372"/>
      <c r="AO63" s="818">
        <f>'4. T7 LAINAT '!P41/1000</f>
        <v>0</v>
      </c>
      <c r="AP63" s="818">
        <f>'4. T7 LAINAT '!Q41/1000</f>
        <v>0</v>
      </c>
      <c r="AQ63" s="74"/>
      <c r="AT63" s="989"/>
      <c r="AU63" s="989"/>
      <c r="AV63" s="989"/>
      <c r="AW63" s="989"/>
      <c r="AX63" s="989"/>
      <c r="AY63" s="989"/>
      <c r="AZ63" s="989"/>
      <c r="BB63" s="152"/>
    </row>
    <row r="64" spans="2:54" ht="11.25" customHeight="1">
      <c r="B64" s="1285" t="s">
        <v>11</v>
      </c>
      <c r="C64" s="828" t="s">
        <v>85</v>
      </c>
      <c r="D64" s="829">
        <f>'2. &amp; 7. T2 TULOSSUUN. '!E20/1000</f>
        <v>0</v>
      </c>
      <c r="E64" s="1281">
        <f>'2. &amp; 7. T2 TULOSSUUN. '!F20</f>
        <v>0</v>
      </c>
      <c r="F64" s="829">
        <f>'2. &amp; 7. T2 TULOSSUUN. '!G20/1000</f>
        <v>0</v>
      </c>
      <c r="G64" s="1281">
        <f>'2. &amp; 7. T2 TULOSSUUN. '!H20</f>
        <v>0</v>
      </c>
      <c r="H64" s="829">
        <f>'2. &amp; 7. T2 TULOSSUUN. '!I20/1000</f>
        <v>0</v>
      </c>
      <c r="I64" s="1281">
        <f>'2. &amp; 7. T2 TULOSSUUN. '!J20</f>
        <v>0</v>
      </c>
      <c r="J64" s="829">
        <f>'2. &amp; 7. T2 TULOSSUUN. '!K20/1000</f>
        <v>0</v>
      </c>
      <c r="K64" s="1281">
        <f>'2. &amp; 7. T2 TULOSSUUN. '!L20</f>
        <v>0</v>
      </c>
      <c r="L64" s="829">
        <f>'2. &amp; 7. T2 TULOSSUUN. '!M20/1000</f>
        <v>0</v>
      </c>
      <c r="M64" s="1281">
        <f>'2. &amp; 7. T2 TULOSSUUN. '!N20</f>
        <v>0</v>
      </c>
      <c r="N64" s="829">
        <f>'2. &amp; 7. T2 TULOSSUUN. '!O20/1000</f>
        <v>0</v>
      </c>
      <c r="O64" s="1303">
        <f>'2. &amp; 7. T2 TULOSSUUN. '!P20</f>
        <v>0</v>
      </c>
      <c r="Q64" s="807"/>
      <c r="R64" s="2112" t="s">
        <v>584</v>
      </c>
      <c r="S64" s="2112"/>
      <c r="T64" s="2112"/>
      <c r="U64" s="2113"/>
      <c r="V64" s="818">
        <f>'8. T4 RAHOITUSSUUN. '!H29/1000</f>
        <v>0</v>
      </c>
      <c r="W64" s="818">
        <f>'8. T4 RAHOITUSSUUN. '!I29/1000</f>
        <v>0</v>
      </c>
      <c r="X64" s="818">
        <f>'8. T4 RAHOITUSSUUN. '!J29/1000</f>
        <v>0</v>
      </c>
      <c r="Y64" s="818">
        <f>'8. T4 RAHOITUSSUUN. '!K29/1000</f>
        <v>0</v>
      </c>
      <c r="AA64" s="1542" t="str">
        <f>'4. T7 LAINAT '!B42</f>
        <v xml:space="preserve"> Rahoittaja/rahoitettava kohde 2. vuosi</v>
      </c>
      <c r="AB64" s="1562">
        <f>'4. T7 LAINAT '!C42/1000</f>
        <v>0</v>
      </c>
      <c r="AC64" s="860">
        <f>'4. T7 LAINAT '!D42</f>
        <v>0</v>
      </c>
      <c r="AD64" s="1528">
        <f>'4. T7 LAINAT '!E42*100</f>
        <v>0</v>
      </c>
      <c r="AE64" s="1372"/>
      <c r="AF64" s="818"/>
      <c r="AG64" s="1567"/>
      <c r="AH64" s="1574">
        <f>'4. T7 LAINAT '!I42/1000</f>
        <v>0</v>
      </c>
      <c r="AI64" s="818">
        <f>'4. T7 LAINAT '!J42/1000</f>
        <v>0</v>
      </c>
      <c r="AJ64" s="1567">
        <f>'4. T7 LAINAT '!K42/1000</f>
        <v>0</v>
      </c>
      <c r="AK64" s="1574"/>
      <c r="AL64" s="818">
        <f>'4. T7 LAINAT '!M42/1000</f>
        <v>0</v>
      </c>
      <c r="AM64" s="1567">
        <f>'4. T7 LAINAT '!N42/1000</f>
        <v>0</v>
      </c>
      <c r="AN64" s="1372"/>
      <c r="AO64" s="818">
        <f>'4. T7 LAINAT '!P42/1000</f>
        <v>0</v>
      </c>
      <c r="AP64" s="818">
        <f>'4. T7 LAINAT '!Q42/1000</f>
        <v>0</v>
      </c>
    </row>
    <row r="65" spans="2:61" ht="11.25" customHeight="1">
      <c r="B65" s="1285" t="s">
        <v>168</v>
      </c>
      <c r="C65" s="864" t="s">
        <v>362</v>
      </c>
      <c r="D65" s="818">
        <f>'2. &amp; 7. T2 TULOSSUUN. '!E21/1000</f>
        <v>0</v>
      </c>
      <c r="E65" s="822">
        <f>'2. &amp; 7. T2 TULOSSUUN. '!F21</f>
        <v>0</v>
      </c>
      <c r="F65" s="818">
        <f>'2. &amp; 7. T2 TULOSSUUN. '!G21/1000</f>
        <v>0</v>
      </c>
      <c r="G65" s="822">
        <f>'2. &amp; 7. T2 TULOSSUUN. '!H21</f>
        <v>0</v>
      </c>
      <c r="H65" s="818">
        <f>'2. &amp; 7. T2 TULOSSUUN. '!I21/1000</f>
        <v>0</v>
      </c>
      <c r="I65" s="822">
        <f>'2. &amp; 7. T2 TULOSSUUN. '!J21</f>
        <v>0</v>
      </c>
      <c r="J65" s="818">
        <f>'2. &amp; 7. T2 TULOSSUUN. '!K21/1000</f>
        <v>0</v>
      </c>
      <c r="K65" s="822">
        <f>'2. &amp; 7. T2 TULOSSUUN. '!L21</f>
        <v>0</v>
      </c>
      <c r="L65" s="818">
        <f>'2. &amp; 7. T2 TULOSSUUN. '!M21/1000</f>
        <v>0</v>
      </c>
      <c r="M65" s="822">
        <f>'2. &amp; 7. T2 TULOSSUUN. '!N21</f>
        <v>0</v>
      </c>
      <c r="N65" s="818">
        <f>'2. &amp; 7. T2 TULOSSUUN. '!O21/1000</f>
        <v>0</v>
      </c>
      <c r="O65" s="1301">
        <f>'2. &amp; 7. T2 TULOSSUUN. '!P21</f>
        <v>0</v>
      </c>
      <c r="Q65" s="807"/>
      <c r="R65" s="2146" t="s">
        <v>585</v>
      </c>
      <c r="S65" s="2146"/>
      <c r="T65" s="2146"/>
      <c r="U65" s="2147"/>
      <c r="V65" s="818">
        <f>'8. T4 RAHOITUSSUUN. '!H30/1000</f>
        <v>0</v>
      </c>
      <c r="W65" s="818">
        <f>'8. T4 RAHOITUSSUUN. '!I30/1000</f>
        <v>0</v>
      </c>
      <c r="X65" s="818">
        <f>'8. T4 RAHOITUSSUUN. '!J30/1000</f>
        <v>0</v>
      </c>
      <c r="Y65" s="818">
        <f>'8. T4 RAHOITUSSUUN. '!K30/1000</f>
        <v>0</v>
      </c>
      <c r="AA65" s="1559" t="str">
        <f>'4. T7 LAINAT '!B43</f>
        <v xml:space="preserve"> Rahoittaja/rahoitettava kohde 3. vuosi</v>
      </c>
      <c r="AB65" s="1562">
        <f>'4. T7 LAINAT '!C43/1000</f>
        <v>0</v>
      </c>
      <c r="AC65" s="860">
        <f>'4. T7 LAINAT '!D43</f>
        <v>0</v>
      </c>
      <c r="AD65" s="1528">
        <f>'4. T7 LAINAT '!E43*100</f>
        <v>0</v>
      </c>
      <c r="AE65" s="1372"/>
      <c r="AF65" s="818"/>
      <c r="AG65" s="1567"/>
      <c r="AH65" s="1574"/>
      <c r="AI65" s="818"/>
      <c r="AJ65" s="1567"/>
      <c r="AK65" s="1574">
        <f>'4. T7 LAINAT '!L43/1000</f>
        <v>0</v>
      </c>
      <c r="AL65" s="818">
        <f>'4. T7 LAINAT '!M43/1000</f>
        <v>0</v>
      </c>
      <c r="AM65" s="1567">
        <f>'4. T7 LAINAT '!N43/1000</f>
        <v>0</v>
      </c>
      <c r="AN65" s="1372"/>
      <c r="AO65" s="818">
        <f>'4. T7 LAINAT '!P43/1000</f>
        <v>0</v>
      </c>
      <c r="AP65" s="818">
        <f>'4. T7 LAINAT '!Q43/1000</f>
        <v>0</v>
      </c>
    </row>
    <row r="66" spans="2:61" ht="11.25" customHeight="1" thickBot="1">
      <c r="B66" s="1285" t="s">
        <v>169</v>
      </c>
      <c r="C66" s="828" t="s">
        <v>363</v>
      </c>
      <c r="D66" s="829">
        <f>'2. &amp; 7. T2 TULOSSUUN. '!E22/1000</f>
        <v>0</v>
      </c>
      <c r="E66" s="1281">
        <f>'2. &amp; 7. T2 TULOSSUUN. '!F22</f>
        <v>0</v>
      </c>
      <c r="F66" s="829">
        <f>'2. &amp; 7. T2 TULOSSUUN. '!G22/1000</f>
        <v>0</v>
      </c>
      <c r="G66" s="1281">
        <f>'2. &amp; 7. T2 TULOSSUUN. '!H22</f>
        <v>0</v>
      </c>
      <c r="H66" s="829">
        <f>'2. &amp; 7. T2 TULOSSUUN. '!I22/1000</f>
        <v>0</v>
      </c>
      <c r="I66" s="1281">
        <f>'2. &amp; 7. T2 TULOSSUUN. '!J22</f>
        <v>0</v>
      </c>
      <c r="J66" s="829">
        <f>'2. &amp; 7. T2 TULOSSUUN. '!K22/1000</f>
        <v>0</v>
      </c>
      <c r="K66" s="1281">
        <f>'2. &amp; 7. T2 TULOSSUUN. '!L22</f>
        <v>0</v>
      </c>
      <c r="L66" s="829">
        <f>'2. &amp; 7. T2 TULOSSUUN. '!M22/1000</f>
        <v>0</v>
      </c>
      <c r="M66" s="1281">
        <f>'2. &amp; 7. T2 TULOSSUUN. '!N22</f>
        <v>0</v>
      </c>
      <c r="N66" s="829">
        <f>'2. &amp; 7. T2 TULOSSUUN. '!O22/1000</f>
        <v>0</v>
      </c>
      <c r="O66" s="1303">
        <f>'2. &amp; 7. T2 TULOSSUUN. '!P22</f>
        <v>0</v>
      </c>
      <c r="Q66" s="807"/>
      <c r="R66" s="2146" t="s">
        <v>586</v>
      </c>
      <c r="S66" s="2146"/>
      <c r="T66" s="2146"/>
      <c r="U66" s="2147"/>
      <c r="V66" s="818">
        <f>'8. T4 RAHOITUSSUUN. '!H31/1000+'8. T4 RAHOITUSSUUN. '!H32/1000</f>
        <v>0</v>
      </c>
      <c r="W66" s="818">
        <f>'8. T4 RAHOITUSSUUN. '!I31/1000+'8. T4 RAHOITUSSUUN. '!I32/1000</f>
        <v>0</v>
      </c>
      <c r="X66" s="818">
        <f>'8. T4 RAHOITUSSUUN. '!J31/1000+'8. T4 RAHOITUSSUUN. '!J32/1000</f>
        <v>0</v>
      </c>
      <c r="Y66" s="818">
        <f>'8. T4 RAHOITUSSUUN. '!K31/1000+'8. T4 RAHOITUSSUUN. '!K32/1000</f>
        <v>0</v>
      </c>
      <c r="AA66" s="1560" t="str">
        <f>'4. T7 LAINAT '!B44</f>
        <v xml:space="preserve"> Rahoittaja/rahoitettava kohde 4. vuosi</v>
      </c>
      <c r="AB66" s="1563">
        <f>'4. T7 LAINAT '!C44/1000</f>
        <v>0</v>
      </c>
      <c r="AC66" s="1175">
        <f>'4. T7 LAINAT '!D44</f>
        <v>0</v>
      </c>
      <c r="AD66" s="1529">
        <f>'4. T7 LAINAT '!E44*100</f>
        <v>0</v>
      </c>
      <c r="AE66" s="1373"/>
      <c r="AF66" s="1176"/>
      <c r="AG66" s="1568"/>
      <c r="AH66" s="1575"/>
      <c r="AI66" s="1176"/>
      <c r="AJ66" s="1568"/>
      <c r="AK66" s="1575"/>
      <c r="AL66" s="1176"/>
      <c r="AM66" s="1568"/>
      <c r="AN66" s="1373">
        <f>'4. T7 LAINAT '!O44/1000</f>
        <v>0</v>
      </c>
      <c r="AO66" s="1176">
        <f>'4. T7 LAINAT '!P44/1000</f>
        <v>0</v>
      </c>
      <c r="AP66" s="1176">
        <f>'4. T7 LAINAT '!Q44/1000</f>
        <v>0</v>
      </c>
    </row>
    <row r="67" spans="2:61" ht="11.25" customHeight="1" thickTop="1">
      <c r="B67" s="1285" t="s">
        <v>366</v>
      </c>
      <c r="C67" s="864" t="s">
        <v>97</v>
      </c>
      <c r="D67" s="818">
        <f>'2. &amp; 7. T2 TULOSSUUN. '!E23/1000</f>
        <v>0</v>
      </c>
      <c r="E67" s="822">
        <f>'2. &amp; 7. T2 TULOSSUUN. '!F23</f>
        <v>0</v>
      </c>
      <c r="F67" s="818">
        <f>'2. &amp; 7. T2 TULOSSUUN. '!G23/1000</f>
        <v>0</v>
      </c>
      <c r="G67" s="822">
        <f>'2. &amp; 7. T2 TULOSSUUN. '!H23</f>
        <v>0</v>
      </c>
      <c r="H67" s="818">
        <f>'2. &amp; 7. T2 TULOSSUUN. '!I23/1000</f>
        <v>0</v>
      </c>
      <c r="I67" s="822">
        <f>'2. &amp; 7. T2 TULOSSUUN. '!J23</f>
        <v>0</v>
      </c>
      <c r="J67" s="818">
        <f>'2. &amp; 7. T2 TULOSSUUN. '!K23/1000</f>
        <v>0</v>
      </c>
      <c r="K67" s="822">
        <f>'2. &amp; 7. T2 TULOSSUUN. '!L23</f>
        <v>0</v>
      </c>
      <c r="L67" s="818">
        <f>'2. &amp; 7. T2 TULOSSUUN. '!M23/1000</f>
        <v>0</v>
      </c>
      <c r="M67" s="822">
        <f>'2. &amp; 7. T2 TULOSSUUN. '!N23</f>
        <v>0</v>
      </c>
      <c r="N67" s="818">
        <f>'2. &amp; 7. T2 TULOSSUUN. '!O23/1000</f>
        <v>0</v>
      </c>
      <c r="O67" s="1301">
        <f>'2. &amp; 7. T2 TULOSSUUN. '!P23</f>
        <v>0</v>
      </c>
      <c r="Q67" s="807"/>
      <c r="R67" s="2112" t="s">
        <v>587</v>
      </c>
      <c r="S67" s="2112"/>
      <c r="T67" s="2112"/>
      <c r="U67" s="2113"/>
      <c r="V67" s="818">
        <f>'8. T4 RAHOITUSSUUN. '!H34/1000+'8. T4 RAHOITUSSUUN. '!H33/1000</f>
        <v>0</v>
      </c>
      <c r="W67" s="818">
        <f>'8. T4 RAHOITUSSUUN. '!I34/1000+'8. T4 RAHOITUSSUUN. '!I33/1000</f>
        <v>0</v>
      </c>
      <c r="X67" s="818">
        <f>'8. T4 RAHOITUSSUUN. '!J34/1000+'8. T4 RAHOITUSSUUN. '!J33/1000</f>
        <v>0</v>
      </c>
      <c r="Y67" s="818">
        <f>'8. T4 RAHOITUSSUUN. '!K34/1000+'8. T4 RAHOITUSSUUN. '!K33/1000</f>
        <v>0</v>
      </c>
      <c r="AA67" s="1561" t="str">
        <f>'4. T7 LAINAT '!B45</f>
        <v>Uudet osamaksuvelat yht.</v>
      </c>
      <c r="AB67" s="1564">
        <f>SUM(AB63:AB66)</f>
        <v>0</v>
      </c>
      <c r="AC67" s="1313">
        <v>0</v>
      </c>
      <c r="AD67" s="1565">
        <v>0</v>
      </c>
      <c r="AE67" s="1374">
        <f>'4. T7 LAINAT '!F45/1000</f>
        <v>0</v>
      </c>
      <c r="AF67" s="1314">
        <f t="shared" ref="AF67:AO67" si="4">SUM(AF63:AF66)</f>
        <v>0</v>
      </c>
      <c r="AG67" s="1569">
        <f t="shared" si="4"/>
        <v>0</v>
      </c>
      <c r="AH67" s="1576">
        <f t="shared" si="4"/>
        <v>0</v>
      </c>
      <c r="AI67" s="1314">
        <f t="shared" si="4"/>
        <v>0</v>
      </c>
      <c r="AJ67" s="1569">
        <f t="shared" si="4"/>
        <v>0</v>
      </c>
      <c r="AK67" s="1576">
        <f t="shared" si="4"/>
        <v>0</v>
      </c>
      <c r="AL67" s="1314">
        <f t="shared" si="4"/>
        <v>0</v>
      </c>
      <c r="AM67" s="1569">
        <f t="shared" si="4"/>
        <v>0</v>
      </c>
      <c r="AN67" s="1374">
        <f t="shared" si="4"/>
        <v>0</v>
      </c>
      <c r="AO67" s="1314">
        <f t="shared" si="4"/>
        <v>0</v>
      </c>
      <c r="AP67" s="1314">
        <f t="shared" ref="AP67" si="5">SUM(AP63:AP66)</f>
        <v>0</v>
      </c>
    </row>
    <row r="68" spans="2:61" ht="11.25" customHeight="1">
      <c r="B68" s="1285" t="s">
        <v>170</v>
      </c>
      <c r="C68" s="826" t="s">
        <v>364</v>
      </c>
      <c r="D68" s="818">
        <f>'2. &amp; 7. T2 TULOSSUUN. '!E24/1000</f>
        <v>0</v>
      </c>
      <c r="E68" s="822">
        <f>'2. &amp; 7. T2 TULOSSUUN. '!F24</f>
        <v>0</v>
      </c>
      <c r="F68" s="818">
        <f>'2. &amp; 7. T2 TULOSSUUN. '!G24/1000</f>
        <v>0</v>
      </c>
      <c r="G68" s="822">
        <f>'2. &amp; 7. T2 TULOSSUUN. '!H24</f>
        <v>0</v>
      </c>
      <c r="H68" s="818">
        <f>'2. &amp; 7. T2 TULOSSUUN. '!I24/1000</f>
        <v>0</v>
      </c>
      <c r="I68" s="822">
        <f>'2. &amp; 7. T2 TULOSSUUN. '!J24</f>
        <v>0</v>
      </c>
      <c r="J68" s="818">
        <f>'2. &amp; 7. T2 TULOSSUUN. '!K24/1000</f>
        <v>0</v>
      </c>
      <c r="K68" s="822">
        <f>'2. &amp; 7. T2 TULOSSUUN. '!L24</f>
        <v>0</v>
      </c>
      <c r="L68" s="818">
        <f>'2. &amp; 7. T2 TULOSSUUN. '!M24/1000</f>
        <v>0</v>
      </c>
      <c r="M68" s="822">
        <f>'2. &amp; 7. T2 TULOSSUUN. '!N24</f>
        <v>0</v>
      </c>
      <c r="N68" s="818">
        <f>'2. &amp; 7. T2 TULOSSUUN. '!O24/1000</f>
        <v>0</v>
      </c>
      <c r="O68" s="1301">
        <f>'2. &amp; 7. T2 TULOSSUUN. '!P24</f>
        <v>0</v>
      </c>
      <c r="Q68" s="807"/>
      <c r="R68" s="2112" t="s">
        <v>588</v>
      </c>
      <c r="S68" s="2112"/>
      <c r="T68" s="2112"/>
      <c r="U68" s="2113"/>
      <c r="V68" s="818">
        <f>'8. T4 RAHOITUSSUUN. '!H35/1000</f>
        <v>0</v>
      </c>
      <c r="W68" s="818">
        <f>'8. T4 RAHOITUSSUUN. '!I35/1000</f>
        <v>0</v>
      </c>
      <c r="X68" s="818">
        <f>'8. T4 RAHOITUSSUUN. '!J35/1000</f>
        <v>0</v>
      </c>
      <c r="Y68" s="818">
        <f>'8. T4 RAHOITUSSUUN. '!K35/1000</f>
        <v>0</v>
      </c>
      <c r="AA68" s="1585" t="str">
        <f>'4. T7 LAINAT '!B46</f>
        <v>Lyhytaikaisten lainojen korot</v>
      </c>
      <c r="AB68" s="1586">
        <f>'4. T7 LAINAT '!C46/1000</f>
        <v>0</v>
      </c>
      <c r="AC68" s="1585"/>
      <c r="AD68" s="1587">
        <f>'4. T7 LAINAT '!E46*100</f>
        <v>10</v>
      </c>
      <c r="AE68" s="859"/>
      <c r="AF68" s="859"/>
      <c r="AG68" s="1570">
        <f>'4. T7 LAINAT '!H46/1000</f>
        <v>0</v>
      </c>
      <c r="AH68" s="1577"/>
      <c r="AI68" s="859"/>
      <c r="AJ68" s="1570">
        <f>'4. T7 LAINAT '!K46/1000</f>
        <v>0</v>
      </c>
      <c r="AK68" s="1577"/>
      <c r="AL68" s="859"/>
      <c r="AM68" s="1570">
        <f>'4. T7 LAINAT '!N46/1000</f>
        <v>0</v>
      </c>
      <c r="AN68" s="859"/>
      <c r="AO68" s="859"/>
      <c r="AP68" s="1174">
        <f>'4. T7 LAINAT '!Q46/1000</f>
        <v>0</v>
      </c>
    </row>
    <row r="69" spans="2:61" ht="10.95" customHeight="1">
      <c r="B69" s="1285" t="s">
        <v>171</v>
      </c>
      <c r="C69" s="826" t="s">
        <v>365</v>
      </c>
      <c r="D69" s="818">
        <f>'2. &amp; 7. T2 TULOSSUUN. '!E25/1000</f>
        <v>0</v>
      </c>
      <c r="E69" s="822">
        <f>'2. &amp; 7. T2 TULOSSUUN. '!F25</f>
        <v>0</v>
      </c>
      <c r="F69" s="818">
        <f>'2. &amp; 7. T2 TULOSSUUN. '!G25/1000</f>
        <v>0</v>
      </c>
      <c r="G69" s="822">
        <f>'2. &amp; 7. T2 TULOSSUUN. '!H25</f>
        <v>0</v>
      </c>
      <c r="H69" s="818">
        <f>'2. &amp; 7. T2 TULOSSUUN. '!I25/1000</f>
        <v>0</v>
      </c>
      <c r="I69" s="822">
        <f>'2. &amp; 7. T2 TULOSSUUN. '!J25</f>
        <v>0</v>
      </c>
      <c r="J69" s="818">
        <f>'2. &amp; 7. T2 TULOSSUUN. '!K25/1000</f>
        <v>0</v>
      </c>
      <c r="K69" s="822">
        <f>'2. &amp; 7. T2 TULOSSUUN. '!L25</f>
        <v>0</v>
      </c>
      <c r="L69" s="818">
        <f>'2. &amp; 7. T2 TULOSSUUN. '!M25/1000</f>
        <v>0</v>
      </c>
      <c r="M69" s="822">
        <f>'2. &amp; 7. T2 TULOSSUUN. '!N25</f>
        <v>0</v>
      </c>
      <c r="N69" s="818">
        <f>'2. &amp; 7. T2 TULOSSUUN. '!O25/1000</f>
        <v>0</v>
      </c>
      <c r="O69" s="1301">
        <f>'2. &amp; 7. T2 TULOSSUUN. '!P25</f>
        <v>0</v>
      </c>
      <c r="Q69" s="807"/>
      <c r="R69" s="2112" t="s">
        <v>589</v>
      </c>
      <c r="S69" s="2112"/>
      <c r="T69" s="2112"/>
      <c r="U69" s="2113"/>
      <c r="V69" s="818">
        <f>'8. T4 RAHOITUSSUUN. '!H36/1000</f>
        <v>0</v>
      </c>
      <c r="W69" s="818">
        <f>'8. T4 RAHOITUSSUUN. '!I36/1000</f>
        <v>0</v>
      </c>
      <c r="X69" s="818">
        <f>'8. T4 RAHOITUSSUUN. '!J36/1000</f>
        <v>0</v>
      </c>
      <c r="Y69" s="818">
        <f>'8. T4 RAHOITUSSUUN. '!K36/1000</f>
        <v>0</v>
      </c>
      <c r="AA69" s="2150" t="str">
        <f>'4. T7 LAINAT '!B48</f>
        <v>Korot pitkäaikaisista veloista, ei velkakirjaa</v>
      </c>
      <c r="AB69" s="2150"/>
      <c r="AC69" s="2150"/>
      <c r="AD69" s="2151"/>
      <c r="AE69" s="859"/>
      <c r="AF69" s="859"/>
      <c r="AG69" s="1571">
        <f>'4. T7 LAINAT '!H48/1000</f>
        <v>0</v>
      </c>
      <c r="AH69" s="1577"/>
      <c r="AI69" s="859"/>
      <c r="AJ69" s="1571">
        <f>'4. T7 LAINAT '!K48/1000</f>
        <v>0</v>
      </c>
      <c r="AK69" s="1577"/>
      <c r="AL69" s="859"/>
      <c r="AM69" s="1571">
        <f>'4. T7 LAINAT '!N48/1000</f>
        <v>0</v>
      </c>
      <c r="AN69" s="859"/>
      <c r="AO69" s="859"/>
      <c r="AP69" s="829">
        <f>'4. T7 LAINAT '!Q48/1000</f>
        <v>0</v>
      </c>
    </row>
    <row r="70" spans="2:61" ht="11.25" customHeight="1">
      <c r="B70" s="2154" t="s">
        <v>172</v>
      </c>
      <c r="C70" s="2152" t="s">
        <v>86</v>
      </c>
      <c r="D70" s="829">
        <f>'2. &amp; 7. T2 TULOSSUUN. '!E26/1000</f>
        <v>0</v>
      </c>
      <c r="E70" s="1281">
        <f>'2. &amp; 7. T2 TULOSSUUN. '!F26</f>
        <v>0</v>
      </c>
      <c r="F70" s="829">
        <f>'2. &amp; 7. T2 TULOSSUUN. '!G26/1000</f>
        <v>0</v>
      </c>
      <c r="G70" s="1281">
        <f>'2. &amp; 7. T2 TULOSSUUN. '!H26</f>
        <v>0</v>
      </c>
      <c r="H70" s="829">
        <f>'2. &amp; 7. T2 TULOSSUUN. '!I26/1000</f>
        <v>0</v>
      </c>
      <c r="I70" s="1281">
        <f>'2. &amp; 7. T2 TULOSSUUN. '!J26</f>
        <v>0</v>
      </c>
      <c r="J70" s="829">
        <f>'2. &amp; 7. T2 TULOSSUUN. '!K26/1000</f>
        <v>0</v>
      </c>
      <c r="K70" s="1281">
        <f>'2. &amp; 7. T2 TULOSSUUN. '!L26</f>
        <v>0</v>
      </c>
      <c r="L70" s="829">
        <f>'2. &amp; 7. T2 TULOSSUUN. '!M26/1000</f>
        <v>0</v>
      </c>
      <c r="M70" s="1281">
        <f>'2. &amp; 7. T2 TULOSSUUN. '!N26</f>
        <v>0</v>
      </c>
      <c r="N70" s="829">
        <f>'2. &amp; 7. T2 TULOSSUUN. '!O26/1000</f>
        <v>0</v>
      </c>
      <c r="O70" s="1303">
        <f>'2. &amp; 7. T2 TULOSSUUN. '!P26</f>
        <v>0</v>
      </c>
      <c r="Q70" s="807"/>
      <c r="R70" s="2112" t="s">
        <v>590</v>
      </c>
      <c r="S70" s="2112"/>
      <c r="T70" s="2112"/>
      <c r="U70" s="2113"/>
      <c r="V70" s="818">
        <f>'8. T4 RAHOITUSSUUN. '!H37/1000</f>
        <v>0</v>
      </c>
      <c r="W70" s="818">
        <f>'8. T4 RAHOITUSSUUN. '!I37/1000</f>
        <v>0</v>
      </c>
      <c r="X70" s="818">
        <f>'8. T4 RAHOITUSSUUN. '!J37/1000</f>
        <v>0</v>
      </c>
      <c r="Y70" s="818">
        <f>'8. T4 RAHOITUSSUUN. '!K37/1000</f>
        <v>0</v>
      </c>
      <c r="AA70" s="1309" t="str">
        <f>'4. T7 LAINAT '!B49</f>
        <v>Lainojen toimitusmaksut, pankkitakausmaksut</v>
      </c>
      <c r="AB70" s="1310"/>
      <c r="AC70" s="1309"/>
      <c r="AD70" s="1588"/>
      <c r="AE70" s="1311"/>
      <c r="AF70" s="1311"/>
      <c r="AG70" s="1572">
        <f>'4. T7 LAINAT '!H49/1000</f>
        <v>0</v>
      </c>
      <c r="AH70" s="1578"/>
      <c r="AI70" s="1311"/>
      <c r="AJ70" s="1572">
        <f>'4. T7 LAINAT '!K49/1000</f>
        <v>0</v>
      </c>
      <c r="AK70" s="1578"/>
      <c r="AL70" s="1311"/>
      <c r="AM70" s="1572">
        <f>'4. T7 LAINAT '!N49/1000</f>
        <v>0</v>
      </c>
      <c r="AN70" s="1311"/>
      <c r="AO70" s="1311"/>
      <c r="AP70" s="1312">
        <f>'4. T7 LAINAT '!Q49/1000</f>
        <v>0</v>
      </c>
    </row>
    <row r="71" spans="2:61" ht="11.25" customHeight="1">
      <c r="B71" s="2155"/>
      <c r="C71" s="2153"/>
      <c r="D71" s="829"/>
      <c r="E71" s="1281"/>
      <c r="F71" s="829"/>
      <c r="G71" s="1281"/>
      <c r="H71" s="829"/>
      <c r="I71" s="1281"/>
      <c r="J71" s="829"/>
      <c r="K71" s="1281"/>
      <c r="L71" s="829"/>
      <c r="M71" s="1281"/>
      <c r="N71" s="829"/>
      <c r="O71" s="1303"/>
      <c r="Q71" s="807"/>
      <c r="R71" s="2112" t="s">
        <v>591</v>
      </c>
      <c r="S71" s="2112"/>
      <c r="T71" s="2112"/>
      <c r="U71" s="2113"/>
      <c r="V71" s="818">
        <f>'8. T4 RAHOITUSSUUN. '!H38/1000</f>
        <v>0</v>
      </c>
      <c r="W71" s="818">
        <f>'8. T4 RAHOITUSSUUN. '!I38/1000</f>
        <v>0</v>
      </c>
      <c r="X71" s="818">
        <f>'8. T4 RAHOITUSSUUN. '!J38/1000</f>
        <v>0</v>
      </c>
      <c r="Y71" s="818">
        <f>'8. T4 RAHOITUSSUUN. '!K38/1000</f>
        <v>0</v>
      </c>
      <c r="AA71" s="711"/>
      <c r="AB71" s="712"/>
      <c r="AC71" s="710"/>
      <c r="AD71" s="713"/>
      <c r="AE71" s="714"/>
      <c r="AF71" s="714"/>
      <c r="AG71" s="712"/>
      <c r="AH71" s="714"/>
      <c r="AI71" s="714"/>
      <c r="AJ71" s="712"/>
      <c r="AK71" s="714"/>
      <c r="AL71" s="714"/>
      <c r="AM71" s="712"/>
      <c r="AN71" s="714"/>
      <c r="AO71" s="714"/>
      <c r="AP71" s="712"/>
    </row>
    <row r="72" spans="2:61" ht="11.25" customHeight="1">
      <c r="B72" s="1285" t="s">
        <v>173</v>
      </c>
      <c r="C72" s="826" t="s">
        <v>87</v>
      </c>
      <c r="D72" s="818">
        <f>'2. &amp; 7. T2 TULOSSUUN. '!E27/1000</f>
        <v>0</v>
      </c>
      <c r="E72" s="822">
        <f>'2. &amp; 7. T2 TULOSSUUN. '!F27</f>
        <v>0</v>
      </c>
      <c r="F72" s="818">
        <f>'2. &amp; 7. T2 TULOSSUUN. '!G27/1000</f>
        <v>0</v>
      </c>
      <c r="G72" s="822">
        <f>'2. &amp; 7. T2 TULOSSUUN. '!H27</f>
        <v>0</v>
      </c>
      <c r="H72" s="818">
        <f>'2. &amp; 7. T2 TULOSSUUN. '!I27/1000</f>
        <v>0</v>
      </c>
      <c r="I72" s="822">
        <f>'2. &amp; 7. T2 TULOSSUUN. '!J27</f>
        <v>0</v>
      </c>
      <c r="J72" s="818">
        <f>'2. &amp; 7. T2 TULOSSUUN. '!K27/1000</f>
        <v>0</v>
      </c>
      <c r="K72" s="822">
        <f>'2. &amp; 7. T2 TULOSSUUN. '!L27</f>
        <v>0</v>
      </c>
      <c r="L72" s="818">
        <f>'2. &amp; 7. T2 TULOSSUUN. '!M27/1000</f>
        <v>0</v>
      </c>
      <c r="M72" s="822">
        <f>'2. &amp; 7. T2 TULOSSUUN. '!N27</f>
        <v>0</v>
      </c>
      <c r="N72" s="818">
        <f>'2. &amp; 7. T2 TULOSSUUN. '!O27/1000</f>
        <v>0</v>
      </c>
      <c r="O72" s="1301">
        <f>'2. &amp; 7. T2 TULOSSUUN. '!P27</f>
        <v>0</v>
      </c>
      <c r="Q72" s="807"/>
      <c r="R72" s="2112" t="s">
        <v>592</v>
      </c>
      <c r="S72" s="2112"/>
      <c r="T72" s="2112"/>
      <c r="U72" s="2113"/>
      <c r="V72" s="818">
        <f>'8. T4 RAHOITUSSUUN. '!H39/1000</f>
        <v>0</v>
      </c>
      <c r="W72" s="818">
        <f>'8. T4 RAHOITUSSUUN. '!I39/1000</f>
        <v>0</v>
      </c>
      <c r="X72" s="818">
        <f>'8. T4 RAHOITUSSUUN. '!J39/1000</f>
        <v>0</v>
      </c>
      <c r="Y72" s="818">
        <f>'8. T4 RAHOITUSSUUN. '!K39/1000</f>
        <v>0</v>
      </c>
      <c r="AA72" s="1628" t="str">
        <f>'4. T7 LAINAT '!B50</f>
        <v>KAIKKI YHTEENSÄ</v>
      </c>
      <c r="AB72" s="1377">
        <f>'4. T7 LAINAT '!C50/1000</f>
        <v>0</v>
      </c>
      <c r="AC72" s="1375"/>
      <c r="AD72" s="1580"/>
      <c r="AE72" s="1579">
        <f>'4. T7 LAINAT '!F50/1000</f>
        <v>0</v>
      </c>
      <c r="AF72" s="1376">
        <f>'4. T7 LAINAT '!G50/1000</f>
        <v>0</v>
      </c>
      <c r="AG72" s="1581">
        <f>'4. T7 LAINAT '!H50/1000</f>
        <v>0</v>
      </c>
      <c r="AH72" s="1377">
        <f>'4. T7 LAINAT '!I50/1000</f>
        <v>0</v>
      </c>
      <c r="AI72" s="1376">
        <f>'4. T7 LAINAT '!J50/1000</f>
        <v>0</v>
      </c>
      <c r="AJ72" s="1581">
        <f>'4. T7 LAINAT '!K50/1000</f>
        <v>0</v>
      </c>
      <c r="AK72" s="1377">
        <f>'4. T7 LAINAT '!L50/1000</f>
        <v>0</v>
      </c>
      <c r="AL72" s="1376">
        <f>'4. T7 LAINAT '!M50/1000</f>
        <v>0</v>
      </c>
      <c r="AM72" s="1582">
        <f>'4. T7 LAINAT '!N50/1000</f>
        <v>0</v>
      </c>
      <c r="AN72" s="1377">
        <f>'4. T7 LAINAT '!O50/1000</f>
        <v>0</v>
      </c>
      <c r="AO72" s="1376">
        <f>'4. T7 LAINAT '!P50/1000</f>
        <v>0</v>
      </c>
      <c r="AP72" s="1627">
        <f>'4. T7 LAINAT '!Q50/1000</f>
        <v>0</v>
      </c>
    </row>
    <row r="73" spans="2:61" ht="11.25" customHeight="1">
      <c r="B73" s="1285" t="s">
        <v>174</v>
      </c>
      <c r="C73" s="826" t="s">
        <v>106</v>
      </c>
      <c r="D73" s="818">
        <f>'2. &amp; 7. T2 TULOSSUUN. '!E29/1000</f>
        <v>0</v>
      </c>
      <c r="E73" s="822">
        <f>'2. &amp; 7. T2 TULOSSUUN. '!F28</f>
        <v>0</v>
      </c>
      <c r="F73" s="818">
        <f>'2. &amp; 7. T2 TULOSSUUN. '!G29/1000</f>
        <v>0</v>
      </c>
      <c r="G73" s="822">
        <f>'2. &amp; 7. T2 TULOSSUUN. '!H28</f>
        <v>0</v>
      </c>
      <c r="H73" s="818">
        <f>'2. &amp; 7. T2 TULOSSUUN. '!I29/1000</f>
        <v>0</v>
      </c>
      <c r="I73" s="822">
        <f>'2. &amp; 7. T2 TULOSSUUN. '!J28</f>
        <v>0</v>
      </c>
      <c r="J73" s="818">
        <f>'2. &amp; 7. T2 TULOSSUUN. '!K29/1000</f>
        <v>0</v>
      </c>
      <c r="K73" s="822">
        <f>'2. &amp; 7. T2 TULOSSUUN. '!L28</f>
        <v>0</v>
      </c>
      <c r="L73" s="818">
        <f>'2. &amp; 7. T2 TULOSSUUN. '!M29/1000</f>
        <v>0</v>
      </c>
      <c r="M73" s="822">
        <f>'2. &amp; 7. T2 TULOSSUUN. '!N28</f>
        <v>0</v>
      </c>
      <c r="N73" s="818">
        <f>'2. &amp; 7. T2 TULOSSUUN. '!O29/1000</f>
        <v>0</v>
      </c>
      <c r="O73" s="1301">
        <f>'2. &amp; 7. T2 TULOSSUUN. '!P28</f>
        <v>0</v>
      </c>
      <c r="Q73" s="807"/>
      <c r="R73" s="2112" t="s">
        <v>593</v>
      </c>
      <c r="S73" s="2112"/>
      <c r="T73" s="2112"/>
      <c r="U73" s="2113"/>
      <c r="V73" s="818">
        <f>'8. T4 RAHOITUSSUUN. '!H40/1000</f>
        <v>0</v>
      </c>
      <c r="W73" s="818">
        <f>'8. T4 RAHOITUSSUUN. '!I40/1000</f>
        <v>0</v>
      </c>
      <c r="X73" s="818">
        <f>'8. T4 RAHOITUSSUUN. '!J40/1000</f>
        <v>0</v>
      </c>
      <c r="Y73" s="818">
        <f>'8. T4 RAHOITUSSUUN. '!K40/1000</f>
        <v>0</v>
      </c>
    </row>
    <row r="74" spans="2:61" ht="11.25" customHeight="1">
      <c r="B74" s="1285" t="s">
        <v>175</v>
      </c>
      <c r="C74" s="826" t="s">
        <v>430</v>
      </c>
      <c r="D74" s="818">
        <f>'2. &amp; 7. T2 TULOSSUUN. '!E30/1000</f>
        <v>0</v>
      </c>
      <c r="E74" s="822">
        <f>'2. &amp; 7. T2 TULOSSUUN. '!F29</f>
        <v>0</v>
      </c>
      <c r="F74" s="818">
        <f>'2. &amp; 7. T2 TULOSSUUN. '!G30/1000</f>
        <v>0</v>
      </c>
      <c r="G74" s="822">
        <f>'2. &amp; 7. T2 TULOSSUUN. '!H29</f>
        <v>0</v>
      </c>
      <c r="H74" s="818">
        <f>'2. &amp; 7. T2 TULOSSUUN. '!I30/1000</f>
        <v>0</v>
      </c>
      <c r="I74" s="822">
        <f>'2. &amp; 7. T2 TULOSSUUN. '!J29</f>
        <v>0</v>
      </c>
      <c r="J74" s="818">
        <f>'2. &amp; 7. T2 TULOSSUUN. '!K30/1000</f>
        <v>0</v>
      </c>
      <c r="K74" s="822">
        <f>'2. &amp; 7. T2 TULOSSUUN. '!L29</f>
        <v>0</v>
      </c>
      <c r="L74" s="818">
        <f>'2. &amp; 7. T2 TULOSSUUN. '!M30/1000</f>
        <v>0</v>
      </c>
      <c r="M74" s="822">
        <f>'2. &amp; 7. T2 TULOSSUUN. '!N29</f>
        <v>0</v>
      </c>
      <c r="N74" s="818">
        <f>'2. &amp; 7. T2 TULOSSUUN. '!O30/1000</f>
        <v>0</v>
      </c>
      <c r="O74" s="1301">
        <f>'2. &amp; 7. T2 TULOSSUUN. '!P29</f>
        <v>0</v>
      </c>
      <c r="Q74" s="807"/>
      <c r="R74" s="2112" t="s">
        <v>594</v>
      </c>
      <c r="S74" s="2112"/>
      <c r="T74" s="2112"/>
      <c r="U74" s="2113"/>
      <c r="V74" s="818">
        <f>'8. T4 RAHOITUSSUUN. '!H41/1000</f>
        <v>0</v>
      </c>
      <c r="W74" s="818">
        <f>'8. T4 RAHOITUSSUUN. '!I41/1000</f>
        <v>0</v>
      </c>
      <c r="X74" s="818">
        <f>'8. T4 RAHOITUSSUUN. '!J41/1000</f>
        <v>0</v>
      </c>
      <c r="Y74" s="818">
        <f>'8. T4 RAHOITUSSUUN. '!K41/1000</f>
        <v>0</v>
      </c>
      <c r="AG74" s="37"/>
    </row>
    <row r="75" spans="2:61" ht="11.25" customHeight="1">
      <c r="B75" s="1285" t="s">
        <v>439</v>
      </c>
      <c r="C75" s="828" t="s">
        <v>91</v>
      </c>
      <c r="D75" s="829">
        <f>'2. &amp; 7. T2 TULOSSUUN. '!E31/1000</f>
        <v>0</v>
      </c>
      <c r="E75" s="1281">
        <f>'2. &amp; 7. T2 TULOSSUUN. '!F30</f>
        <v>0</v>
      </c>
      <c r="F75" s="829">
        <f>'2. &amp; 7. T2 TULOSSUUN. '!G31/1000</f>
        <v>0</v>
      </c>
      <c r="G75" s="1281">
        <f>'2. &amp; 7. T2 TULOSSUUN. '!H30</f>
        <v>0</v>
      </c>
      <c r="H75" s="829">
        <f>'2. &amp; 7. T2 TULOSSUUN. '!I31/1000</f>
        <v>0</v>
      </c>
      <c r="I75" s="1281">
        <f>'2. &amp; 7. T2 TULOSSUUN. '!J30</f>
        <v>0</v>
      </c>
      <c r="J75" s="829">
        <f>'2. &amp; 7. T2 TULOSSUUN. '!K31/1000</f>
        <v>0</v>
      </c>
      <c r="K75" s="822">
        <f>'2. &amp; 7. T2 TULOSSUUN. '!L30</f>
        <v>0</v>
      </c>
      <c r="L75" s="829">
        <f>'2. &amp; 7. T2 TULOSSUUN. '!M31/1000</f>
        <v>0</v>
      </c>
      <c r="M75" s="1281">
        <f>'2. &amp; 7. T2 TULOSSUUN. '!N30</f>
        <v>0</v>
      </c>
      <c r="N75" s="829">
        <f>'2. &amp; 7. T2 TULOSSUUN. '!O31/1000</f>
        <v>0</v>
      </c>
      <c r="O75" s="1303">
        <f>'2. &amp; 7. T2 TULOSSUUN. '!P30</f>
        <v>0</v>
      </c>
      <c r="Q75" s="807"/>
      <c r="R75" s="2112" t="s">
        <v>595</v>
      </c>
      <c r="S75" s="2112"/>
      <c r="T75" s="2112"/>
      <c r="U75" s="2113"/>
      <c r="V75" s="818">
        <f>'8. T4 RAHOITUSSUUN. '!H42/1000</f>
        <v>0</v>
      </c>
      <c r="W75" s="818">
        <f>'8. T4 RAHOITUSSUUN. '!I42/1000</f>
        <v>0</v>
      </c>
      <c r="X75" s="818">
        <f>'8. T4 RAHOITUSSUUN. '!J42/1000</f>
        <v>0</v>
      </c>
      <c r="Y75" s="818">
        <f>'8. T4 RAHOITUSSUUN. '!K42/1000</f>
        <v>0</v>
      </c>
    </row>
    <row r="76" spans="2:61" ht="10.95" customHeight="1">
      <c r="B76" s="1291"/>
      <c r="C76" s="826" t="s">
        <v>102</v>
      </c>
      <c r="D76" s="2104">
        <f>'2. &amp; 7. T2 TULOSSUUN. '!E33</f>
        <v>1</v>
      </c>
      <c r="E76" s="2105"/>
      <c r="F76" s="2104">
        <f>'2. &amp; 7. T2 TULOSSUUN. '!G33</f>
        <v>1</v>
      </c>
      <c r="G76" s="2105"/>
      <c r="H76" s="2104">
        <f>'2. &amp; 7. T2 TULOSSUUN. '!I33</f>
        <v>1</v>
      </c>
      <c r="I76" s="2105"/>
      <c r="J76" s="2104">
        <f>'2. &amp; 7. T2 TULOSSUUN. '!K33</f>
        <v>1</v>
      </c>
      <c r="K76" s="2105"/>
      <c r="L76" s="2104">
        <f>'2. &amp; 7. T2 TULOSSUUN. '!M33</f>
        <v>1</v>
      </c>
      <c r="M76" s="2105"/>
      <c r="N76" s="2104">
        <f>'2. &amp; 7. T2 TULOSSUUN. '!O33</f>
        <v>1</v>
      </c>
      <c r="O76" s="2106"/>
      <c r="Q76" s="830"/>
      <c r="R76" s="835" t="s">
        <v>596</v>
      </c>
      <c r="S76" s="835"/>
      <c r="T76" s="847">
        <v>0</v>
      </c>
      <c r="U76" s="827"/>
      <c r="V76" s="829">
        <f>'8. T4 RAHOITUSSUUN. '!H43/1000</f>
        <v>0</v>
      </c>
      <c r="W76" s="829">
        <f>'8. T4 RAHOITUSSUUN. '!I43/1000</f>
        <v>0</v>
      </c>
      <c r="X76" s="829">
        <f>'8. T4 RAHOITUSSUUN. '!J43/1000</f>
        <v>0</v>
      </c>
      <c r="Y76" s="829">
        <f>'8. T4 RAHOITUSSUUN. '!K43/1000</f>
        <v>0</v>
      </c>
    </row>
    <row r="77" spans="2:61" ht="12" customHeight="1">
      <c r="B77" s="1286"/>
      <c r="C77" s="1304" t="s">
        <v>525</v>
      </c>
      <c r="D77" s="2107">
        <f>'8. T4 RAHOITUSSUUN. '!P14</f>
        <v>0</v>
      </c>
      <c r="E77" s="2108"/>
      <c r="F77" s="2107">
        <f>'8. T4 RAHOITUSSUUN. '!Q14</f>
        <v>0</v>
      </c>
      <c r="G77" s="2108"/>
      <c r="H77" s="2107">
        <f>'8. T4 RAHOITUSSUUN. '!R14</f>
        <v>0</v>
      </c>
      <c r="I77" s="2108"/>
      <c r="J77" s="2107">
        <f>'8. T4 RAHOITUSSUUN. '!S14</f>
        <v>0</v>
      </c>
      <c r="K77" s="2108"/>
      <c r="L77" s="2107">
        <f>'8. T4 RAHOITUSSUUN. '!T14</f>
        <v>0</v>
      </c>
      <c r="M77" s="2108"/>
      <c r="N77" s="2107">
        <f>'8. T4 RAHOITUSSUUN. '!U14</f>
        <v>0</v>
      </c>
      <c r="O77" s="2109"/>
      <c r="Q77" s="862"/>
      <c r="R77" s="2156" t="str">
        <f>'8. T4 RAHOITUSSUUN. '!C44</f>
        <v>Kassan riittävyys / Muut kiinteät kulut (pv)</v>
      </c>
      <c r="S77" s="2156"/>
      <c r="T77" s="2156"/>
      <c r="U77" s="2157"/>
      <c r="V77" s="840">
        <f>'8. T4 RAHOITUSSUUN. '!H44</f>
        <v>0</v>
      </c>
      <c r="W77" s="840">
        <f>'8. T4 RAHOITUSSUUN. '!I44</f>
        <v>0</v>
      </c>
      <c r="X77" s="840">
        <f>'8. T4 RAHOITUSSUUN. '!J44</f>
        <v>0</v>
      </c>
      <c r="Y77" s="840">
        <f>'8. T4 RAHOITUSSUUN. '!K44</f>
        <v>0</v>
      </c>
      <c r="AA77" s="43"/>
    </row>
    <row r="78" spans="2:61" ht="12.75" customHeight="1">
      <c r="Q78" s="2139"/>
      <c r="R78" s="2139"/>
      <c r="S78" s="2139"/>
      <c r="AA78" s="2190"/>
      <c r="AB78" s="2190"/>
      <c r="AC78" s="2190"/>
      <c r="AD78" s="2190"/>
    </row>
    <row r="79" spans="2:61" ht="11.25" customHeight="1">
      <c r="BF79" s="2177" t="s">
        <v>0</v>
      </c>
      <c r="BG79" s="2177"/>
      <c r="BH79" s="2177"/>
      <c r="BI79" s="2177"/>
    </row>
    <row r="80" spans="2:61" ht="11.25" customHeight="1">
      <c r="B80" s="1739" t="str">
        <f>OHJE!I5</f>
        <v>Yritystulkin tarjoaa</v>
      </c>
      <c r="C80" s="1739"/>
      <c r="I80" s="1735"/>
      <c r="J80" s="1735"/>
      <c r="K80" s="1735"/>
      <c r="L80" s="1735"/>
      <c r="M80" s="1735"/>
      <c r="N80" s="1735"/>
      <c r="O80" s="1735"/>
      <c r="P80" s="720"/>
      <c r="Q80" s="1383"/>
      <c r="R80" s="1385" t="str">
        <f>OHJE!I5</f>
        <v>Yritystulkin tarjoaa</v>
      </c>
      <c r="S80" s="1383"/>
      <c r="T80" s="717"/>
      <c r="U80" s="717"/>
      <c r="V80" s="718"/>
      <c r="W80" s="2148"/>
      <c r="X80" s="2148"/>
      <c r="Y80" s="2148"/>
      <c r="Z80" s="719"/>
      <c r="AA80" s="1739" t="str">
        <f>OHJE!I5</f>
        <v>Yritystulkin tarjoaa</v>
      </c>
      <c r="AB80" s="1739"/>
      <c r="AK80" s="1735"/>
      <c r="AL80" s="1735"/>
      <c r="AM80" s="1735"/>
      <c r="AN80" s="1735"/>
      <c r="AO80" s="1735"/>
      <c r="AP80" s="1735"/>
      <c r="AR80" s="50" t="str">
        <f>OHJE!I5</f>
        <v>Yritystulkin tarjoaa</v>
      </c>
      <c r="AW80" s="1732"/>
      <c r="AX80" s="1732"/>
      <c r="AY80" s="1732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</row>
    <row r="81" spans="2:61" ht="10.95" customHeight="1">
      <c r="B81" s="976" t="str">
        <f>OHJE!H7</f>
        <v>Alavuden Kehitys Oy</v>
      </c>
      <c r="C81" s="260"/>
      <c r="D81" s="260"/>
      <c r="E81" s="260"/>
      <c r="F81" s="1382"/>
      <c r="G81" s="1382"/>
      <c r="H81" s="1382"/>
      <c r="I81" s="1382"/>
      <c r="J81" s="2168" t="str">
        <f>OHJE!G24</f>
        <v>YT22 Toimivan yrityksen tulossuunnitelma</v>
      </c>
      <c r="K81" s="2168"/>
      <c r="L81" s="2168"/>
      <c r="M81" s="2168"/>
      <c r="N81" s="2168"/>
      <c r="O81" s="2168"/>
      <c r="Q81" s="709"/>
      <c r="R81" s="2138" t="str">
        <f>OHJE!H7</f>
        <v>Alavuden Kehitys Oy</v>
      </c>
      <c r="S81" s="2138"/>
      <c r="T81" s="2138"/>
      <c r="U81" s="2138"/>
      <c r="V81" s="2138"/>
      <c r="W81" s="2168" t="str">
        <f>OHJE!G24</f>
        <v>YT22 Toimivan yrityksen tulossuunnitelma</v>
      </c>
      <c r="X81" s="2168"/>
      <c r="Y81" s="2168"/>
      <c r="AA81" s="2138" t="str">
        <f>OHJE!H7</f>
        <v>Alavuden Kehitys Oy</v>
      </c>
      <c r="AB81" s="2138"/>
      <c r="AC81" s="2138"/>
      <c r="AD81" s="2138"/>
      <c r="AE81" s="2138"/>
      <c r="AF81" s="2138"/>
      <c r="AG81" s="2138"/>
      <c r="AH81" s="2138"/>
      <c r="AI81" s="2138"/>
      <c r="AJ81" s="2138"/>
      <c r="AK81" s="1732" t="str">
        <f>OHJE!G24</f>
        <v>YT22 Toimivan yrityksen tulossuunnitelma</v>
      </c>
      <c r="AL81" s="1732"/>
      <c r="AM81" s="1732"/>
      <c r="AN81" s="1732"/>
      <c r="AO81" s="1732"/>
      <c r="AP81" s="1732"/>
      <c r="AR81" s="2139" t="str">
        <f>OHJE!H7</f>
        <v>Alavuden Kehitys Oy</v>
      </c>
      <c r="AS81" s="2139"/>
      <c r="AT81" s="2139"/>
      <c r="AU81" s="2139"/>
      <c r="AV81" s="2139"/>
      <c r="AW81" s="1732" t="str">
        <f>OHJE!G24</f>
        <v>YT22 Toimivan yrityksen tulossuunnitelma</v>
      </c>
      <c r="AX81" s="1732"/>
      <c r="AY81" s="1732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</row>
    <row r="82" spans="2:61" ht="11.25" customHeight="1">
      <c r="AY82" s="721">
        <f>AM82</f>
        <v>0</v>
      </c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</row>
    <row r="83" spans="2:61" ht="11.25" customHeight="1"/>
    <row r="84" spans="2:61" ht="11.25" customHeight="1"/>
    <row r="85" spans="2:61" ht="11.25" customHeight="1"/>
    <row r="86" spans="2:61" ht="11.25" customHeight="1">
      <c r="U86">
        <v>0</v>
      </c>
    </row>
    <row r="87" spans="2:61" ht="11.25" customHeight="1"/>
    <row r="88" spans="2:61" ht="11.25" customHeight="1"/>
    <row r="89" spans="2:61" ht="11.25" customHeight="1"/>
    <row r="90" spans="2:61" ht="11.25" customHeight="1"/>
    <row r="91" spans="2:61" ht="11.25" customHeight="1"/>
    <row r="92" spans="2:61" ht="11.25" customHeight="1"/>
    <row r="93" spans="2:61" ht="11.25" customHeight="1"/>
    <row r="94" spans="2:61" s="50" customFormat="1" ht="11.25" customHeight="1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/>
    <row r="96" spans="2:61" ht="11.25" customHeight="1"/>
    <row r="97" spans="43:54" s="50" customFormat="1" ht="11.25" customHeight="1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/>
    <row r="99" spans="43:54" ht="11.25" customHeight="1"/>
    <row r="100" spans="43:54" ht="11.25" customHeight="1"/>
    <row r="101" spans="43:54" ht="11.25" customHeight="1"/>
    <row r="102" spans="43:54" ht="11.25" customHeight="1"/>
    <row r="103" spans="43:54" ht="11.25" customHeight="1"/>
    <row r="104" spans="43:54" ht="11.25" customHeight="1"/>
    <row r="105" spans="43:54" ht="11.25" customHeight="1"/>
    <row r="106" spans="43:54" ht="11.25" customHeight="1"/>
    <row r="107" spans="43:54" ht="11.25" customHeight="1"/>
    <row r="108" spans="43:54" ht="11.25" customHeight="1"/>
    <row r="109" spans="43:54" ht="11.25" customHeight="1"/>
    <row r="110" spans="43:54" ht="11.25" customHeight="1"/>
    <row r="111" spans="43:54" ht="11.25" customHeight="1"/>
    <row r="112" spans="43:54" ht="11.25" customHeight="1">
      <c r="AQ112" s="50" t="s">
        <v>519</v>
      </c>
      <c r="AT112" s="152" t="str">
        <f>OHJE!H7</f>
        <v>Alavuden Kehitys Oy</v>
      </c>
      <c r="AU112" s="152"/>
      <c r="AV112" s="152"/>
      <c r="AW112" s="152"/>
      <c r="AX112" s="152"/>
      <c r="AY112" s="152"/>
      <c r="AZ112" s="152"/>
      <c r="BA112" s="152"/>
      <c r="BB112" s="152"/>
    </row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s="50" customFormat="1" ht="11.25" customHeight="1"/>
    <row r="125" ht="11.25" customHeight="1"/>
    <row r="126" ht="11.25" customHeight="1"/>
    <row r="127" ht="11.25" customHeight="1"/>
    <row r="128" ht="11.25" customHeight="1"/>
    <row r="129" ht="4.5" customHeight="1"/>
    <row r="130" ht="10.5" customHeight="1"/>
    <row r="131" ht="10.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5.25" customHeight="1"/>
    <row r="157" ht="11.25" customHeight="1"/>
    <row r="158" ht="12" customHeight="1"/>
    <row r="159" ht="12" customHeight="1"/>
    <row r="160" ht="13.2" customHeight="1"/>
    <row r="161" spans="18:19" ht="12" customHeight="1"/>
    <row r="162" spans="18:19" ht="11.25" customHeight="1"/>
    <row r="163" spans="18:19" ht="9.75" customHeight="1"/>
    <row r="164" spans="18:19">
      <c r="R164" s="37"/>
      <c r="S164" s="37"/>
    </row>
    <row r="177" ht="10.95" customHeight="1"/>
    <row r="181" ht="11.7" customHeight="1"/>
    <row r="196" spans="17:21" ht="4.2" customHeight="1"/>
    <row r="197" spans="17:21" ht="12" customHeight="1"/>
    <row r="198" spans="17:21" ht="12" customHeight="1"/>
    <row r="199" spans="17:21" ht="15" customHeight="1">
      <c r="Q199" s="38"/>
      <c r="R199" s="38">
        <f>'8. T4 RAHOITUSSUUN. '!AB43</f>
        <v>0</v>
      </c>
      <c r="S199" s="38"/>
      <c r="T199" s="38"/>
      <c r="U199" s="38"/>
    </row>
    <row r="200" spans="17:21" ht="15" customHeight="1"/>
    <row r="201" spans="17:21" ht="15" customHeight="1"/>
    <row r="202" spans="17:21" ht="15" customHeight="1"/>
    <row r="203" spans="17:21" ht="15" customHeight="1"/>
    <row r="204" spans="17:21" ht="15" customHeight="1"/>
    <row r="205" spans="17:21" ht="15" customHeight="1"/>
    <row r="206" spans="17:21" ht="15" customHeight="1"/>
    <row r="207" spans="17:21" ht="15" customHeight="1"/>
    <row r="208" spans="17:21" ht="15" customHeight="1"/>
    <row r="209" ht="15" customHeight="1"/>
    <row r="210" ht="15" customHeight="1"/>
    <row r="211" ht="15" customHeight="1"/>
  </sheetData>
  <sheetProtection algorithmName="SHA-512" hashValue="lbWjdqUcjiE1sZucZ9LDGcHJId2/HR6Iix0M6ImmisnJsB2XpCegzVE7QG66CBRyGTxuGZ9gZbT/DErCeaJXoA==" saltValue="XYeEe4nZkEfeApNEQMFWGg==" spinCount="100000" sheet="1" objects="1" scenarios="1" selectLockedCells="1"/>
  <mergeCells count="287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I18:AJ18"/>
    <mergeCell ref="AN30:AO30"/>
    <mergeCell ref="AN31:AO31"/>
    <mergeCell ref="AN27:AP27"/>
    <mergeCell ref="AK12:AL12"/>
    <mergeCell ref="AK18:AL18"/>
    <mergeCell ref="AK27:AM27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V5:AV6"/>
    <mergeCell ref="AT5:AT6"/>
    <mergeCell ref="B2:C2"/>
    <mergeCell ref="H14:H15"/>
    <mergeCell ref="I14:O15"/>
    <mergeCell ref="I6:O6"/>
    <mergeCell ref="I7:O7"/>
    <mergeCell ref="G6:H6"/>
    <mergeCell ref="E4:F4"/>
    <mergeCell ref="I5:O5"/>
    <mergeCell ref="B6:F6"/>
    <mergeCell ref="B8:H8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A2:AB2"/>
    <mergeCell ref="Q4:S4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R57:U57"/>
    <mergeCell ref="Q51:S52"/>
    <mergeCell ref="AG14:AH14"/>
    <mergeCell ref="Q24:S24"/>
    <mergeCell ref="AA25:AA27"/>
    <mergeCell ref="Q26:S27"/>
    <mergeCell ref="R49:S49"/>
    <mergeCell ref="Q3:S3"/>
    <mergeCell ref="AE29:AF29"/>
    <mergeCell ref="AE24:AP25"/>
    <mergeCell ref="AM8:AN8"/>
    <mergeCell ref="AK36:AL36"/>
    <mergeCell ref="R62:U62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AN38:AO38"/>
    <mergeCell ref="H51:I51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AN29:AO29"/>
    <mergeCell ref="AD40:AD42"/>
    <mergeCell ref="AK41:AM41"/>
    <mergeCell ref="AE31:AF31"/>
    <mergeCell ref="AE32:AF32"/>
    <mergeCell ref="AE33:AF33"/>
    <mergeCell ref="AE34:AF34"/>
    <mergeCell ref="AK33:AL33"/>
    <mergeCell ref="AK34:AL34"/>
    <mergeCell ref="AE27:AG27"/>
    <mergeCell ref="AI15:AJ15"/>
    <mergeCell ref="AE26:AG26"/>
    <mergeCell ref="AE30:AF30"/>
    <mergeCell ref="AK15:AL15"/>
    <mergeCell ref="AE36:AF36"/>
    <mergeCell ref="AH36:AI36"/>
    <mergeCell ref="AE35:AF35"/>
    <mergeCell ref="AH35:AI35"/>
    <mergeCell ref="AK35:AL35"/>
    <mergeCell ref="AK17:AL17"/>
    <mergeCell ref="AI17:AJ17"/>
    <mergeCell ref="AE19:AF19"/>
    <mergeCell ref="AI16:AJ16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6:AP16"/>
    <mergeCell ref="AK10:AL10"/>
    <mergeCell ref="AK16:AL16"/>
    <mergeCell ref="AM16:AN16"/>
    <mergeCell ref="AA10:AD10"/>
    <mergeCell ref="R68:U68"/>
    <mergeCell ref="R63:U63"/>
    <mergeCell ref="R70:U70"/>
    <mergeCell ref="R71:U71"/>
    <mergeCell ref="R72:U72"/>
    <mergeCell ref="R73:U73"/>
    <mergeCell ref="H52:I52"/>
    <mergeCell ref="J52:K52"/>
    <mergeCell ref="L52:M52"/>
    <mergeCell ref="N52:O52"/>
    <mergeCell ref="AN41:AP41"/>
    <mergeCell ref="AK40:AM40"/>
    <mergeCell ref="AN40:AP4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C70:C71"/>
    <mergeCell ref="B70:B71"/>
    <mergeCell ref="R77:U77"/>
    <mergeCell ref="R58:U58"/>
    <mergeCell ref="I42:J43"/>
    <mergeCell ref="I44:J45"/>
    <mergeCell ref="I46:J47"/>
    <mergeCell ref="I48:J49"/>
    <mergeCell ref="R66:U66"/>
    <mergeCell ref="R69:U69"/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N33:AO33"/>
    <mergeCell ref="AN34:AO34"/>
    <mergeCell ref="AK29:AL29"/>
    <mergeCell ref="AK30:AL30"/>
    <mergeCell ref="AO9:AP9"/>
    <mergeCell ref="AM9:AN9"/>
    <mergeCell ref="AG13:AH13"/>
    <mergeCell ref="R67:U67"/>
    <mergeCell ref="M42:O43"/>
    <mergeCell ref="M44:O45"/>
    <mergeCell ref="M46:O47"/>
    <mergeCell ref="M48:O49"/>
    <mergeCell ref="K42:K43"/>
    <mergeCell ref="K44:K45"/>
    <mergeCell ref="K46:K47"/>
    <mergeCell ref="K48:K49"/>
    <mergeCell ref="L42:L43"/>
    <mergeCell ref="L44:L45"/>
    <mergeCell ref="L46:L47"/>
    <mergeCell ref="L48:L49"/>
    <mergeCell ref="AE41:AG41"/>
    <mergeCell ref="AE38:AF38"/>
    <mergeCell ref="AH38:AI38"/>
    <mergeCell ref="AK38:AL38"/>
    <mergeCell ref="AK31:AL31"/>
    <mergeCell ref="AK32:AL32"/>
    <mergeCell ref="AN35:AO35"/>
    <mergeCell ref="AN36:AO36"/>
    <mergeCell ref="D76:E76"/>
    <mergeCell ref="F76:G76"/>
    <mergeCell ref="H76:I76"/>
    <mergeCell ref="J76:K76"/>
    <mergeCell ref="L76:M76"/>
    <mergeCell ref="N76:O76"/>
    <mergeCell ref="D77:E77"/>
    <mergeCell ref="F77:G77"/>
    <mergeCell ref="H77:I77"/>
    <mergeCell ref="J77:K77"/>
    <mergeCell ref="L77:M77"/>
    <mergeCell ref="N77:O77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45"/>
  <cols>
    <col min="2" max="3" width="10.3046875" customWidth="1"/>
    <col min="4" max="4" width="11.3046875" customWidth="1"/>
    <col min="5" max="5" width="54.3046875" customWidth="1"/>
  </cols>
  <sheetData>
    <row r="2" spans="2:5">
      <c r="B2" t="s">
        <v>680</v>
      </c>
      <c r="C2" t="s">
        <v>678</v>
      </c>
      <c r="D2" t="s">
        <v>679</v>
      </c>
      <c r="E2" t="s">
        <v>681</v>
      </c>
    </row>
    <row r="3" spans="2:5">
      <c r="B3" s="15">
        <v>44420</v>
      </c>
      <c r="C3" t="s">
        <v>682</v>
      </c>
      <c r="D3" t="s">
        <v>683</v>
      </c>
      <c r="E3" t="s">
        <v>684</v>
      </c>
    </row>
    <row r="4" spans="2:5">
      <c r="B4" s="15">
        <v>44497</v>
      </c>
      <c r="C4" s="476" t="s">
        <v>686</v>
      </c>
      <c r="D4" s="476" t="s">
        <v>687</v>
      </c>
      <c r="E4" s="476" t="s">
        <v>688</v>
      </c>
    </row>
    <row r="5" spans="2:5">
      <c r="C5" s="476" t="s">
        <v>689</v>
      </c>
      <c r="E5" s="476" t="s">
        <v>690</v>
      </c>
    </row>
    <row r="6" spans="2:5">
      <c r="C6" s="476" t="s">
        <v>691</v>
      </c>
      <c r="E6" s="476" t="s">
        <v>692</v>
      </c>
    </row>
    <row r="7" spans="2:5">
      <c r="C7" s="476" t="s">
        <v>693</v>
      </c>
      <c r="E7" s="476" t="s">
        <v>694</v>
      </c>
    </row>
    <row r="8" spans="2:5">
      <c r="C8" s="476" t="s">
        <v>695</v>
      </c>
      <c r="E8" s="476" t="s">
        <v>696</v>
      </c>
    </row>
    <row r="9" spans="2:5">
      <c r="C9" s="476" t="s">
        <v>695</v>
      </c>
      <c r="E9" s="476" t="s">
        <v>697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O5" sqref="O5"/>
    </sheetView>
  </sheetViews>
  <sheetFormatPr defaultRowHeight="12.45"/>
  <cols>
    <col min="2" max="2" width="41" customWidth="1"/>
    <col min="7" max="7" width="4.84375" customWidth="1"/>
    <col min="9" max="9" width="31.07421875" customWidth="1"/>
    <col min="10" max="10" width="7.3046875" customWidth="1"/>
  </cols>
  <sheetData>
    <row r="1" spans="1:22" ht="12.9" thickBot="1"/>
    <row r="2" spans="1:22" ht="15.75" customHeight="1">
      <c r="B2" s="2248" t="s">
        <v>206</v>
      </c>
      <c r="C2" s="45" t="s">
        <v>16</v>
      </c>
      <c r="D2" s="45" t="s">
        <v>1</v>
      </c>
      <c r="E2" s="45" t="s">
        <v>12</v>
      </c>
      <c r="F2" s="175" t="s">
        <v>286</v>
      </c>
      <c r="G2" s="23"/>
      <c r="H2" s="23"/>
      <c r="I2" s="429" t="s">
        <v>355</v>
      </c>
      <c r="J2" t="str">
        <f>'9. T5 KASSABUDJETTI  '!F9</f>
        <v>Alv-%</v>
      </c>
      <c r="K2" s="430">
        <f>'9. T5 KASSABUDJETTI  '!G9</f>
        <v>45658</v>
      </c>
      <c r="L2" s="430">
        <f>'9. T5 KASSABUDJETTI  '!H9</f>
        <v>45689</v>
      </c>
      <c r="M2" s="430">
        <f>'9. T5 KASSABUDJETTI  '!I9</f>
        <v>45720</v>
      </c>
      <c r="N2" s="430">
        <f>'9. T5 KASSABUDJETTI  '!J9</f>
        <v>45751</v>
      </c>
      <c r="O2" s="430">
        <f>'9. T5 KASSABUDJETTI  '!K9</f>
        <v>45782</v>
      </c>
      <c r="P2" s="430">
        <f>'9. T5 KASSABUDJETTI  '!L9</f>
        <v>45813</v>
      </c>
      <c r="Q2" s="430">
        <f>'9. T5 KASSABUDJETTI  '!M9</f>
        <v>45844</v>
      </c>
      <c r="R2" s="430">
        <f>'9. T5 KASSABUDJETTI  '!N9</f>
        <v>45875</v>
      </c>
      <c r="S2" s="430">
        <f>'9. T5 KASSABUDJETTI  '!O9</f>
        <v>45906</v>
      </c>
      <c r="T2" s="430">
        <f>'9. T5 KASSABUDJETTI  '!P9</f>
        <v>45937</v>
      </c>
      <c r="U2" s="430">
        <f>'9. T5 KASSABUDJETTI  '!Q9</f>
        <v>45968</v>
      </c>
      <c r="V2" s="430">
        <f>'9. T5 KASSABUDJETTI  '!R9</f>
        <v>45999</v>
      </c>
    </row>
    <row r="3" spans="1:22">
      <c r="B3" s="2249"/>
      <c r="C3" s="176">
        <f>'1. T1 INVESTOINTISUUN.'!D16</f>
        <v>2025</v>
      </c>
      <c r="D3" s="176">
        <f>'1. T1 INVESTOINTISUUN.'!E16</f>
        <v>2026</v>
      </c>
      <c r="E3" s="176">
        <f>'1. T1 INVESTOINTISUUN.'!F16</f>
        <v>2027</v>
      </c>
      <c r="F3" s="176">
        <f>'1. T1 INVESTOINTISUUN.'!G16</f>
        <v>2028</v>
      </c>
      <c r="G3" s="431"/>
      <c r="H3" s="24">
        <f>'9. T5 KASSABUDJETTI  '!B12</f>
        <v>2</v>
      </c>
      <c r="I3" s="436" t="str">
        <f>'9. T5 KASSABUDJETTI  '!C12</f>
        <v xml:space="preserve"> Käteismyynti, myyntisosuus</v>
      </c>
      <c r="J3">
        <f>'9. T5 KASSABUDJETTI  '!F12</f>
        <v>24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</row>
    <row r="4" spans="1:22">
      <c r="A4" t="str">
        <f>'1. T1 INVESTOINTISUUN.'!B17</f>
        <v>1.</v>
      </c>
      <c r="B4" s="84" t="str">
        <f>'1. T1 INVESTOINTISUUN.'!C17</f>
        <v xml:space="preserve"> Maa-alueet ja vesialueet, liittymät yms.</v>
      </c>
      <c r="C4" s="84">
        <f>'1. T1 INVESTOINTISUUN.'!D17</f>
        <v>0</v>
      </c>
      <c r="D4" s="84">
        <f>'1. T1 INVESTOINTISUUN.'!E17</f>
        <v>0</v>
      </c>
      <c r="E4" s="84">
        <f>'1. T1 INVESTOINTISUUN.'!F17</f>
        <v>0</v>
      </c>
      <c r="F4" s="84">
        <f>'1. T1 INVESTOINTISUUN.'!G17</f>
        <v>0</v>
      </c>
      <c r="I4" s="437" t="s">
        <v>356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>
      <c r="A5" s="1" t="s">
        <v>0</v>
      </c>
      <c r="B5" s="84" t="str">
        <f>'1. T1 INVESTOINTISUUN.'!C19</f>
        <v xml:space="preserve"> - avustus-%</v>
      </c>
      <c r="C5" s="180">
        <f>'1. T1 INVESTOINTISUUN.'!D19</f>
        <v>0</v>
      </c>
      <c r="D5" s="180">
        <f>'1. T1 INVESTOINTISUUN.'!E19</f>
        <v>0</v>
      </c>
      <c r="E5" s="180">
        <f>'1. T1 INVESTOINTISUUN.'!F19</f>
        <v>0</v>
      </c>
      <c r="F5" s="180">
        <f>'1. T1 INVESTOINTISUUN.'!G19</f>
        <v>0</v>
      </c>
      <c r="G5" s="432"/>
      <c r="H5" s="24">
        <f>'9. T5 KASSABUDJETTI  '!B14</f>
        <v>3</v>
      </c>
      <c r="I5" s="436" t="str">
        <f>'9. T5 KASSABUDJETTI  '!C14</f>
        <v xml:space="preserve"> Laskutusmyynti</v>
      </c>
      <c r="J5">
        <f>'9. T5 KASSABUDJETTI  '!F14</f>
        <v>24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</row>
    <row r="6" spans="1:22">
      <c r="B6" s="177" t="s">
        <v>203</v>
      </c>
      <c r="C6" s="84">
        <f>C4*C5</f>
        <v>0</v>
      </c>
      <c r="D6" s="84">
        <f>D4*D5</f>
        <v>0</v>
      </c>
      <c r="E6" s="84">
        <f>E4*E5</f>
        <v>0</v>
      </c>
      <c r="F6" s="84">
        <f>F4*F5</f>
        <v>0</v>
      </c>
      <c r="I6" s="437" t="s">
        <v>356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>
      <c r="B7" s="177" t="s">
        <v>245</v>
      </c>
      <c r="C7" s="84">
        <f>C4-C6</f>
        <v>0</v>
      </c>
      <c r="D7" s="84">
        <f>D4-D6</f>
        <v>0</v>
      </c>
      <c r="E7" s="84">
        <f>E4-E6</f>
        <v>0</v>
      </c>
      <c r="F7" s="84">
        <f>F4-F6</f>
        <v>0</v>
      </c>
      <c r="H7" s="24">
        <f>'9. T5 KASSABUDJETTI  '!B17</f>
        <v>4</v>
      </c>
      <c r="I7" s="436" t="str">
        <f>'9. T5 KASSABUDJETTI  '!C17</f>
        <v xml:space="preserve"> Satunnaiset tuotot, omaisuuden myyntitulot</v>
      </c>
      <c r="J7">
        <f>'9. T5 KASSABUDJETTI  '!F17</f>
        <v>24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</row>
    <row r="8" spans="1:22">
      <c r="A8" s="4" t="str">
        <f>'1. T1 INVESTOINTISUUN.'!B20</f>
        <v>2.</v>
      </c>
      <c r="B8" s="177" t="str">
        <f>'1. T1 INVESTOINTISUUN.'!C20</f>
        <v xml:space="preserve"> Uudisrakennukset ja rakennelmat sis. alv </v>
      </c>
      <c r="C8" s="177">
        <f>'1. T1 INVESTOINTISUUN.'!D20</f>
        <v>0</v>
      </c>
      <c r="D8" s="177">
        <f>'1. T1 INVESTOINTISUUN.'!E20</f>
        <v>0</v>
      </c>
      <c r="E8" s="177">
        <f>'1. T1 INVESTOINTISUUN.'!F20</f>
        <v>0</v>
      </c>
      <c r="F8" s="177">
        <f>'1. T1 INVESTOINTISUUN.'!G20</f>
        <v>0</v>
      </c>
      <c r="G8" s="4"/>
      <c r="H8" s="37"/>
      <c r="I8" s="437" t="s">
        <v>356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>
      <c r="A9" s="4"/>
      <c r="B9" s="177" t="str">
        <f>'1. T1 INVESTOINTISUUN.'!C22</f>
        <v xml:space="preserve"> - arvonlisävero-%</v>
      </c>
      <c r="C9" s="178">
        <f>'1. T1 INVESTOINTISUUN.'!D22</f>
        <v>0.24</v>
      </c>
      <c r="D9" s="178">
        <f>'1. T1 INVESTOINTISUUN.'!E22</f>
        <v>0.24</v>
      </c>
      <c r="E9" s="178">
        <f>'1. T1 INVESTOINTISUUN.'!F22</f>
        <v>0.24</v>
      </c>
      <c r="F9" s="178">
        <f>'1. T1 INVESTOINTISUUN.'!G22</f>
        <v>0.24</v>
      </c>
      <c r="G9" s="433"/>
      <c r="H9" s="37"/>
      <c r="I9" s="438" t="s">
        <v>357</v>
      </c>
      <c r="J9" s="439"/>
      <c r="K9" s="439">
        <f>K4+K6+K8</f>
        <v>0</v>
      </c>
      <c r="L9" s="439">
        <f t="shared" ref="L9:V9" si="3">L4+L6+L8</f>
        <v>0</v>
      </c>
      <c r="M9" s="439">
        <f t="shared" si="3"/>
        <v>0</v>
      </c>
      <c r="N9" s="439">
        <f t="shared" si="3"/>
        <v>0</v>
      </c>
      <c r="O9" s="439">
        <f t="shared" si="3"/>
        <v>0</v>
      </c>
      <c r="P9" s="439">
        <f t="shared" si="3"/>
        <v>0</v>
      </c>
      <c r="Q9" s="439">
        <f t="shared" si="3"/>
        <v>0</v>
      </c>
      <c r="R9" s="439">
        <f t="shared" si="3"/>
        <v>0</v>
      </c>
      <c r="S9" s="439">
        <f t="shared" si="3"/>
        <v>0</v>
      </c>
      <c r="T9" s="439">
        <f t="shared" si="3"/>
        <v>0</v>
      </c>
      <c r="U9" s="439">
        <f t="shared" si="3"/>
        <v>0</v>
      </c>
      <c r="V9" s="439">
        <f t="shared" si="3"/>
        <v>0</v>
      </c>
    </row>
    <row r="10" spans="1:22">
      <c r="A10" s="4"/>
      <c r="B10" s="177" t="s">
        <v>202</v>
      </c>
      <c r="C10" s="179">
        <f>C8/(1+C9)</f>
        <v>0</v>
      </c>
      <c r="D10" s="179">
        <f>D8/(1+D9)</f>
        <v>0</v>
      </c>
      <c r="E10" s="179">
        <f>E8/(1+E9)</f>
        <v>0</v>
      </c>
      <c r="F10" s="179">
        <f>F8/(1+F9)</f>
        <v>0</v>
      </c>
      <c r="G10" s="434"/>
      <c r="H10" s="37">
        <f>'9. T5 KASSABUDJETTI  '!B22</f>
        <v>6</v>
      </c>
      <c r="I10" s="37" t="str">
        <f>'9. T5 KASSABUDJETTI  '!C22</f>
        <v xml:space="preserve"> Aineet ja tarvikkeet</v>
      </c>
      <c r="J10">
        <f>'9. T5 KASSABUDJETTI  '!F22</f>
        <v>24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</row>
    <row r="11" spans="1:22">
      <c r="A11" s="4" t="s">
        <v>0</v>
      </c>
      <c r="B11" s="177" t="s">
        <v>201</v>
      </c>
      <c r="C11" s="179">
        <f>C8-C10</f>
        <v>0</v>
      </c>
      <c r="D11" s="179">
        <f>D8-D10</f>
        <v>0</v>
      </c>
      <c r="E11" s="179">
        <f>E8-E10</f>
        <v>0</v>
      </c>
      <c r="F11" s="179">
        <f>F8-F10</f>
        <v>0</v>
      </c>
      <c r="G11" s="434"/>
      <c r="I11" s="437" t="s">
        <v>356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>
      <c r="A12" s="4"/>
      <c r="B12" s="177" t="str">
        <f>'1. T1 INVESTOINTISUUN.'!C23</f>
        <v xml:space="preserve"> - avustus-%</v>
      </c>
      <c r="C12" s="178">
        <f>'1. T1 INVESTOINTISUUN.'!D23</f>
        <v>0</v>
      </c>
      <c r="D12" s="178">
        <f>'1. T1 INVESTOINTISUUN.'!E23</f>
        <v>0</v>
      </c>
      <c r="E12" s="178">
        <f>'1. T1 INVESTOINTISUUN.'!F23</f>
        <v>0</v>
      </c>
      <c r="F12" s="178">
        <f>'1. T1 INVESTOINTISUUN.'!G23</f>
        <v>0</v>
      </c>
      <c r="G12" s="433"/>
      <c r="H12" s="37">
        <f>'9. T5 KASSABUDJETTI  '!B24</f>
        <v>7</v>
      </c>
      <c r="I12" s="37" t="str">
        <f>'9. T5 KASSABUDJETTI  '!C24</f>
        <v xml:space="preserve"> Liiketoimintakaupan tavaravarasto, alkuvarasto</v>
      </c>
      <c r="J12">
        <f>'9. T5 KASSABUDJETTI  '!F24</f>
        <v>0</v>
      </c>
      <c r="K12">
        <f>'9. T5 KASSABUDJETTI  '!G24</f>
        <v>0</v>
      </c>
      <c r="L12">
        <f>'9. T5 KASSABUDJETTI  '!H24</f>
        <v>0</v>
      </c>
      <c r="M12">
        <f>'9. T5 KASSABUDJETTI  '!I24</f>
        <v>0</v>
      </c>
      <c r="N12">
        <f>'9. T5 KASSABUDJETTI  '!J24</f>
        <v>0</v>
      </c>
      <c r="O12">
        <f>'9. T5 KASSABUDJETTI  '!K24</f>
        <v>0</v>
      </c>
      <c r="P12">
        <f>'9. T5 KASSABUDJETTI  '!L24</f>
        <v>0</v>
      </c>
      <c r="Q12">
        <f>'9. T5 KASSABUDJETTI  '!M24</f>
        <v>0</v>
      </c>
      <c r="R12">
        <f>'9. T5 KASSABUDJETTI  '!N24</f>
        <v>0</v>
      </c>
      <c r="S12">
        <f>'9. T5 KASSABUDJETTI  '!O24</f>
        <v>0</v>
      </c>
      <c r="T12">
        <f>'9. T5 KASSABUDJETTI  '!P24</f>
        <v>0</v>
      </c>
      <c r="U12">
        <f>'9. T5 KASSABUDJETTI  '!Q24</f>
        <v>0</v>
      </c>
      <c r="V12">
        <f>'9. T5 KASSABUDJETTI  '!R24</f>
        <v>0</v>
      </c>
    </row>
    <row r="13" spans="1:22">
      <c r="A13" s="4"/>
      <c r="B13" s="177" t="s">
        <v>203</v>
      </c>
      <c r="C13" s="179">
        <f>C10*C12</f>
        <v>0</v>
      </c>
      <c r="D13" s="179">
        <f>D10*D12</f>
        <v>0</v>
      </c>
      <c r="E13" s="179">
        <f>E10*E12</f>
        <v>0</v>
      </c>
      <c r="F13" s="179">
        <f>F10*F12</f>
        <v>0</v>
      </c>
      <c r="G13" s="434"/>
      <c r="I13" s="437" t="s">
        <v>356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>
      <c r="B14" s="177" t="s">
        <v>245</v>
      </c>
      <c r="C14" s="199">
        <f>C10-C13</f>
        <v>0</v>
      </c>
      <c r="D14" s="199">
        <f>D10-D13</f>
        <v>0</v>
      </c>
      <c r="E14" s="199">
        <f>E10-E13</f>
        <v>0</v>
      </c>
      <c r="F14" s="199">
        <f>F10-F13</f>
        <v>0</v>
      </c>
      <c r="G14" s="37"/>
      <c r="H14" s="37">
        <f>'9. T5 KASSABUDJETTI  '!B25</f>
        <v>8</v>
      </c>
      <c r="I14" s="37" t="str">
        <f>'9. T5 KASSABUDJETTI  '!C25</f>
        <v xml:space="preserve"> Ulkopuoliset palvelut</v>
      </c>
      <c r="J14">
        <f>'9. T5 KASSABUDJETTI  '!F25</f>
        <v>24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</row>
    <row r="15" spans="1:22">
      <c r="A15" s="4" t="str">
        <f>'1. T1 INVESTOINTISUUN.'!B24</f>
        <v>3.</v>
      </c>
      <c r="B15" s="177" t="str">
        <f>'1. T1 INVESTOINTISUUN.'!C24</f>
        <v xml:space="preserve"> Rakennukset ja rakennelmat </v>
      </c>
      <c r="C15" s="177">
        <f>'1. T1 INVESTOINTISUUN.'!D24</f>
        <v>0</v>
      </c>
      <c r="D15" s="177">
        <f>'1. T1 INVESTOINTISUUN.'!E24</f>
        <v>0</v>
      </c>
      <c r="E15" s="177">
        <f>'1. T1 INVESTOINTISUUN.'!F24</f>
        <v>0</v>
      </c>
      <c r="F15" s="177">
        <f>'1. T1 INVESTOINTISUUN.'!G24</f>
        <v>0</v>
      </c>
      <c r="G15" s="4"/>
      <c r="I15" s="437" t="s">
        <v>356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>
      <c r="A16" s="4"/>
      <c r="B16" s="177" t="s">
        <v>198</v>
      </c>
      <c r="C16" s="178">
        <f>'1. T1 INVESTOINTISUUN.'!D26</f>
        <v>0</v>
      </c>
      <c r="D16" s="178">
        <f>'1. T1 INVESTOINTISUUN.'!E26</f>
        <v>0</v>
      </c>
      <c r="E16" s="178">
        <f>'1. T1 INVESTOINTISUUN.'!F26</f>
        <v>0</v>
      </c>
      <c r="F16" s="178">
        <f>'1. T1 INVESTOINTISUUN.'!G26</f>
        <v>0</v>
      </c>
      <c r="G16" s="433"/>
      <c r="H16" s="37">
        <f>'9. T5 KASSABUDJETTI  '!B26</f>
        <v>9</v>
      </c>
      <c r="I16" s="37" t="str">
        <f>'9. T5 KASSABUDJETTI  '!C26</f>
        <v xml:space="preserve"> Investoinnit sis. alv</v>
      </c>
      <c r="J16">
        <f>'9. T5 KASSABUDJETTI  '!F26</f>
        <v>24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</row>
    <row r="17" spans="1:22">
      <c r="A17" s="4"/>
      <c r="B17" s="177" t="s">
        <v>203</v>
      </c>
      <c r="C17" s="84">
        <f>C16*C15</f>
        <v>0</v>
      </c>
      <c r="D17" s="84">
        <f t="shared" ref="D17:F17" si="7">D16*D15</f>
        <v>0</v>
      </c>
      <c r="E17" s="84">
        <f t="shared" si="7"/>
        <v>0</v>
      </c>
      <c r="F17" s="84">
        <f t="shared" si="7"/>
        <v>0</v>
      </c>
      <c r="I17" s="437" t="s">
        <v>356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>
      <c r="B18" s="177" t="s">
        <v>488</v>
      </c>
      <c r="C18" s="84">
        <f>C15-C17</f>
        <v>0</v>
      </c>
      <c r="D18" s="84">
        <f t="shared" ref="D18:F18" si="9">D15-D17</f>
        <v>0</v>
      </c>
      <c r="E18" s="84">
        <f t="shared" si="9"/>
        <v>0</v>
      </c>
      <c r="F18" s="84">
        <f t="shared" si="9"/>
        <v>0</v>
      </c>
      <c r="H18" s="37">
        <f>'9. T5 KASSABUDJETTI  '!B27</f>
        <v>10</v>
      </c>
      <c r="I18" s="37" t="str">
        <f>'9. T5 KASSABUDJETTI  '!C27</f>
        <v xml:space="preserve"> Vuokrat ja vastikkeet sis. alv</v>
      </c>
      <c r="J18">
        <f>'9. T5 KASSABUDJETTI  '!F27</f>
        <v>24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</row>
    <row r="19" spans="1:22">
      <c r="A19" s="4" t="str">
        <f>'1. T1 INVESTOINTISUUN.'!B27</f>
        <v>4.</v>
      </c>
      <c r="B19" s="177" t="str">
        <f>'1. T1 INVESTOINTISUUN.'!C27</f>
        <v xml:space="preserve">Koneet ja kalusto sis. alv </v>
      </c>
      <c r="C19" s="177">
        <f>'1. T1 INVESTOINTISUUN.'!D27</f>
        <v>0</v>
      </c>
      <c r="D19" s="177">
        <f>'1. T1 INVESTOINTISUUN.'!E27</f>
        <v>0</v>
      </c>
      <c r="E19" s="177">
        <f>'1. T1 INVESTOINTISUUN.'!F27</f>
        <v>0</v>
      </c>
      <c r="F19" s="177">
        <f>'1. T1 INVESTOINTISUUN.'!G27</f>
        <v>0</v>
      </c>
      <c r="G19" s="4"/>
      <c r="I19" s="437" t="s">
        <v>356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>
      <c r="A20" s="4"/>
      <c r="B20" s="177" t="s">
        <v>456</v>
      </c>
      <c r="C20" s="528">
        <f>'1. T1 INVESTOINTISUUN.'!D58</f>
        <v>0</v>
      </c>
      <c r="D20" s="528">
        <f>'1. T1 INVESTOINTISUUN.'!E58</f>
        <v>0</v>
      </c>
      <c r="E20" s="528">
        <f>'1. T1 INVESTOINTISUUN.'!F58</f>
        <v>0</v>
      </c>
      <c r="F20" s="528">
        <f>'1. T1 INVESTOINTISUUN.'!G58</f>
        <v>0</v>
      </c>
      <c r="G20" s="4"/>
      <c r="I20" s="437"/>
    </row>
    <row r="21" spans="1:22">
      <c r="A21" s="4" t="s">
        <v>0</v>
      </c>
      <c r="B21" s="177" t="s">
        <v>457</v>
      </c>
      <c r="C21" s="199">
        <f>C19-C20</f>
        <v>0</v>
      </c>
      <c r="D21" s="199">
        <f>D19-D20</f>
        <v>0</v>
      </c>
      <c r="E21" s="199">
        <f>E19-E20</f>
        <v>0</v>
      </c>
      <c r="F21" s="199">
        <f>F19-F20</f>
        <v>0</v>
      </c>
      <c r="G21" s="433"/>
      <c r="H21" s="37">
        <f>'9. T5 KASSABUDJETTI  '!B28</f>
        <v>11</v>
      </c>
      <c r="I21" s="37" t="str">
        <f>'9. T5 KASSABUDJETTI  '!C28</f>
        <v xml:space="preserve"> Ajoneuvojen leasing- ja vuokrakulut, liikekäyttö</v>
      </c>
      <c r="J21">
        <f>'9. T5 KASSABUDJETTI  '!F28</f>
        <v>24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</row>
    <row r="22" spans="1:22">
      <c r="A22" s="4"/>
      <c r="B22" s="177" t="str">
        <f>'1. T1 INVESTOINTISUUN.'!C28</f>
        <v xml:space="preserve"> - arvonlisävero-%</v>
      </c>
      <c r="C22" s="178">
        <f>'1. T1 INVESTOINTISUUN.'!D28</f>
        <v>0.24</v>
      </c>
      <c r="D22" s="178">
        <f>'1. T1 INVESTOINTISUUN.'!E28</f>
        <v>0.24</v>
      </c>
      <c r="E22" s="178">
        <f>'1. T1 INVESTOINTISUUN.'!F28</f>
        <v>0.24</v>
      </c>
      <c r="F22" s="178">
        <f>'1. T1 INVESTOINTISUUN.'!G28</f>
        <v>0.24</v>
      </c>
      <c r="G22" s="434"/>
      <c r="I22" s="437" t="s">
        <v>356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>
      <c r="A23" s="4"/>
      <c r="B23" s="177" t="s">
        <v>458</v>
      </c>
      <c r="C23" s="179">
        <f>C21/(1+C22)</f>
        <v>0</v>
      </c>
      <c r="D23" s="179">
        <f>D21/(1+D22)</f>
        <v>0</v>
      </c>
      <c r="E23" s="179">
        <f>E21/(1+E22)</f>
        <v>0</v>
      </c>
      <c r="F23" s="179">
        <f>F21/(1+F22)</f>
        <v>0</v>
      </c>
      <c r="G23" s="434"/>
      <c r="H23" s="37">
        <f>'9. T5 KASSABUDJETTI  '!B29</f>
        <v>12</v>
      </c>
      <c r="I23" s="37" t="str">
        <f>'9. T5 KASSABUDJETTI  '!C29</f>
        <v xml:space="preserve"> Muut kiinteät kulut sis. alv</v>
      </c>
      <c r="J23">
        <f>'9. T5 KASSABUDJETTI  '!F29</f>
        <v>24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</row>
    <row r="24" spans="1:22">
      <c r="A24" s="4" t="s">
        <v>0</v>
      </c>
      <c r="B24" s="177" t="s">
        <v>201</v>
      </c>
      <c r="C24" s="179">
        <f>C21-C23</f>
        <v>0</v>
      </c>
      <c r="D24" s="179">
        <f>D21-D23</f>
        <v>0</v>
      </c>
      <c r="E24" s="179">
        <f>E21-E23</f>
        <v>0</v>
      </c>
      <c r="F24" s="179">
        <f>F21-F23</f>
        <v>0</v>
      </c>
      <c r="G24" s="433"/>
      <c r="H24" s="18"/>
      <c r="I24" s="437" t="s">
        <v>356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>
      <c r="A25" s="4"/>
      <c r="B25" s="177" t="s">
        <v>198</v>
      </c>
      <c r="C25" s="178">
        <f>'1. T1 INVESTOINTISUUN.'!D29</f>
        <v>0</v>
      </c>
      <c r="D25" s="178">
        <f>'1. T1 INVESTOINTISUUN.'!E29</f>
        <v>0</v>
      </c>
      <c r="E25" s="178">
        <f>'1. T1 INVESTOINTISUUN.'!F29</f>
        <v>0</v>
      </c>
      <c r="F25" s="178">
        <f>'1. T1 INVESTOINTISUUN.'!G29</f>
        <v>0</v>
      </c>
      <c r="G25" s="434"/>
      <c r="H25" s="18"/>
      <c r="I25" s="440" t="s">
        <v>358</v>
      </c>
      <c r="J25" s="439"/>
      <c r="K25" s="439">
        <f t="shared" ref="K25:V25" si="13">K11+K13+K15+K17+K19+K22+K24</f>
        <v>0</v>
      </c>
      <c r="L25" s="439">
        <f t="shared" si="13"/>
        <v>0</v>
      </c>
      <c r="M25" s="439">
        <f t="shared" si="13"/>
        <v>0</v>
      </c>
      <c r="N25" s="439">
        <f t="shared" si="13"/>
        <v>0</v>
      </c>
      <c r="O25" s="439">
        <f t="shared" si="13"/>
        <v>0</v>
      </c>
      <c r="P25" s="439">
        <f t="shared" si="13"/>
        <v>0</v>
      </c>
      <c r="Q25" s="439">
        <f t="shared" si="13"/>
        <v>0</v>
      </c>
      <c r="R25" s="439">
        <f t="shared" si="13"/>
        <v>0</v>
      </c>
      <c r="S25" s="439">
        <f t="shared" si="13"/>
        <v>0</v>
      </c>
      <c r="T25" s="439">
        <f t="shared" si="13"/>
        <v>0</v>
      </c>
      <c r="U25" s="439">
        <f t="shared" si="13"/>
        <v>0</v>
      </c>
      <c r="V25" s="439">
        <f t="shared" si="13"/>
        <v>0</v>
      </c>
    </row>
    <row r="26" spans="1:22">
      <c r="B26" s="177" t="s">
        <v>203</v>
      </c>
      <c r="C26" s="179">
        <f>C23*C25</f>
        <v>0</v>
      </c>
      <c r="D26" s="179">
        <f>D23*D25</f>
        <v>0</v>
      </c>
      <c r="E26" s="179">
        <f>E23*E25</f>
        <v>0</v>
      </c>
      <c r="F26" s="179">
        <f>F23*F25</f>
        <v>0</v>
      </c>
      <c r="G26" s="37"/>
      <c r="H26" s="24"/>
      <c r="I26" s="24" t="s">
        <v>359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>
      <c r="B27" s="177" t="s">
        <v>245</v>
      </c>
      <c r="C27" s="199">
        <f>C23-C26</f>
        <v>0</v>
      </c>
      <c r="D27" s="199">
        <f>D23-D26</f>
        <v>0</v>
      </c>
      <c r="E27" s="199">
        <f>E23-E26</f>
        <v>0</v>
      </c>
      <c r="F27" s="199">
        <f>F23-F26</f>
        <v>0</v>
      </c>
      <c r="G27" s="4"/>
      <c r="H27" s="18"/>
      <c r="I27" s="18"/>
    </row>
    <row r="28" spans="1:22">
      <c r="A28" s="4" t="str">
        <f>'1. T1 INVESTOINTISUUN.'!B30</f>
        <v>5.</v>
      </c>
      <c r="B28" s="177" t="str">
        <f>'1. T1 INVESTOINTISUUN.'!C30</f>
        <v>Koneet ja kalusto alv 0 %</v>
      </c>
      <c r="C28" s="177">
        <f>'1. T1 INVESTOINTISUUN.'!D30</f>
        <v>0</v>
      </c>
      <c r="D28" s="177">
        <f>'1. T1 INVESTOINTISUUN.'!E30</f>
        <v>0</v>
      </c>
      <c r="E28" s="177">
        <f>'1. T1 INVESTOINTISUUN.'!F30</f>
        <v>0</v>
      </c>
      <c r="F28" s="177">
        <f>'1. T1 INVESTOINTISUUN.'!G30</f>
        <v>0</v>
      </c>
      <c r="G28" s="433"/>
      <c r="H28" s="18"/>
      <c r="I28" s="18"/>
    </row>
    <row r="29" spans="1:22">
      <c r="A29" s="4"/>
      <c r="B29" s="177" t="s">
        <v>456</v>
      </c>
      <c r="C29" s="528">
        <f>'1. T1 INVESTOINTISUUN.'!D59</f>
        <v>0</v>
      </c>
      <c r="D29" s="528">
        <f>'1. T1 INVESTOINTISUUN.'!E59</f>
        <v>0</v>
      </c>
      <c r="E29" s="528">
        <f>'1. T1 INVESTOINTISUUN.'!F59</f>
        <v>0</v>
      </c>
      <c r="F29" s="528">
        <f>'1. T1 INVESTOINTISUUN.'!G59</f>
        <v>0</v>
      </c>
      <c r="G29" s="4"/>
      <c r="I29" s="437"/>
    </row>
    <row r="30" spans="1:22">
      <c r="A30" s="4" t="s">
        <v>0</v>
      </c>
      <c r="B30" s="177" t="s">
        <v>489</v>
      </c>
      <c r="C30" s="199">
        <f>C28-C29</f>
        <v>0</v>
      </c>
      <c r="D30" s="199">
        <f>D28-D29</f>
        <v>0</v>
      </c>
      <c r="E30" s="199">
        <f>E28-E29</f>
        <v>0</v>
      </c>
      <c r="F30" s="199">
        <f>F28-F29</f>
        <v>0</v>
      </c>
      <c r="G30" s="433"/>
      <c r="H30" s="37">
        <f>'9. T5 KASSABUDJETTI  '!B38</f>
        <v>21</v>
      </c>
      <c r="I30" s="37" t="str">
        <f>'9. T5 KASSABUDJETTI  '!C38</f>
        <v xml:space="preserve"> Rahoitusmenot</v>
      </c>
      <c r="J30">
        <f>'9. T5 KASSABUDJETTI  '!F38</f>
        <v>0</v>
      </c>
      <c r="K30">
        <f>'9. T5 KASSABUDJETTI  '!G38</f>
        <v>0</v>
      </c>
      <c r="L30">
        <f>'9. T5 KASSABUDJETTI  '!H38</f>
        <v>0</v>
      </c>
      <c r="M30">
        <f>'9. T5 KASSABUDJETTI  '!I38</f>
        <v>0</v>
      </c>
      <c r="N30">
        <f>'9. T5 KASSABUDJETTI  '!J38</f>
        <v>0</v>
      </c>
      <c r="O30">
        <f>'9. T5 KASSABUDJETTI  '!K38</f>
        <v>0</v>
      </c>
      <c r="P30">
        <f>'9. T5 KASSABUDJETTI  '!L38</f>
        <v>0</v>
      </c>
      <c r="Q30">
        <f>'9. T5 KASSABUDJETTI  '!M38</f>
        <v>0</v>
      </c>
      <c r="R30">
        <f>'9. T5 KASSABUDJETTI  '!N38</f>
        <v>0</v>
      </c>
      <c r="S30">
        <f>'9. T5 KASSABUDJETTI  '!O38</f>
        <v>0</v>
      </c>
      <c r="T30">
        <f>'9. T5 KASSABUDJETTI  '!P38</f>
        <v>0</v>
      </c>
      <c r="U30">
        <f>'9. T5 KASSABUDJETTI  '!Q38</f>
        <v>0</v>
      </c>
      <c r="V30">
        <f>'9. T5 KASSABUDJETTI  '!R38</f>
        <v>0</v>
      </c>
    </row>
    <row r="31" spans="1:22">
      <c r="A31" s="4"/>
      <c r="B31" s="177" t="str">
        <f>'1. T1 INVESTOINTISUUN.'!C31</f>
        <v xml:space="preserve"> - avustus-%</v>
      </c>
      <c r="C31" s="540">
        <f>'1. T1 INVESTOINTISUUN.'!D31</f>
        <v>0</v>
      </c>
      <c r="D31" s="540">
        <f>'1. T1 INVESTOINTISUUN.'!E31</f>
        <v>0</v>
      </c>
      <c r="E31" s="540">
        <f>'1. T1 INVESTOINTISUUN.'!F31</f>
        <v>0</v>
      </c>
      <c r="F31" s="540">
        <f>'1. T1 INVESTOINTISUUN.'!G31</f>
        <v>0</v>
      </c>
      <c r="G31" s="178"/>
      <c r="I31" s="18"/>
      <c r="J31" s="18"/>
    </row>
    <row r="32" spans="1:22">
      <c r="A32" s="4"/>
      <c r="B32" s="177" t="s">
        <v>203</v>
      </c>
      <c r="C32" s="84">
        <f>C31*C30</f>
        <v>0</v>
      </c>
      <c r="D32" s="84">
        <f t="shared" ref="D32:F32" si="15">D31*D30</f>
        <v>0</v>
      </c>
      <c r="E32" s="84">
        <f t="shared" si="15"/>
        <v>0</v>
      </c>
      <c r="F32" s="84">
        <f t="shared" si="15"/>
        <v>0</v>
      </c>
      <c r="G32" s="84"/>
      <c r="I32" s="24"/>
      <c r="J32" s="24"/>
      <c r="L32">
        <v>0</v>
      </c>
    </row>
    <row r="33" spans="1:10">
      <c r="B33" s="177" t="s">
        <v>245</v>
      </c>
      <c r="C33" s="199">
        <f>C30-C32</f>
        <v>0</v>
      </c>
      <c r="D33" s="199">
        <f t="shared" ref="D33:F33" si="16">D30-D32</f>
        <v>0</v>
      </c>
      <c r="E33" s="199">
        <f t="shared" si="16"/>
        <v>0</v>
      </c>
      <c r="F33" s="199">
        <f t="shared" si="16"/>
        <v>0</v>
      </c>
      <c r="G33" s="84"/>
      <c r="H33" s="4"/>
      <c r="I33" s="37"/>
      <c r="J33" s="37"/>
    </row>
    <row r="34" spans="1:10">
      <c r="A34" s="4" t="str">
        <f>'1. T1 INVESTOINTISUUN.'!B32</f>
        <v>6.</v>
      </c>
      <c r="B34" s="177" t="str">
        <f>'1. T1 INVESTOINTISUUN.'!C32</f>
        <v>Muut aineelliset hyödykkeet</v>
      </c>
      <c r="C34" s="177">
        <f>'1. T1 INVESTOINTISUUN.'!D32</f>
        <v>0</v>
      </c>
      <c r="D34" s="177">
        <f>'1. T1 INVESTOINTISUUN.'!E32</f>
        <v>0</v>
      </c>
      <c r="E34" s="177">
        <f>'1. T1 INVESTOINTISUUN.'!F32</f>
        <v>0</v>
      </c>
      <c r="F34" s="177">
        <f>'1. T1 INVESTOINTISUUN.'!G32</f>
        <v>0</v>
      </c>
      <c r="G34" s="433"/>
      <c r="H34" s="37"/>
      <c r="I34" s="37"/>
    </row>
    <row r="35" spans="1:10">
      <c r="A35" s="4"/>
      <c r="B35" s="177" t="str">
        <f>'1. T1 INVESTOINTISUUN.'!C33</f>
        <v xml:space="preserve"> - arvonlisävero-%</v>
      </c>
      <c r="C35" s="178">
        <f>'1. T1 INVESTOINTISUUN.'!D33</f>
        <v>0.24</v>
      </c>
      <c r="D35" s="178">
        <f>'1. T1 INVESTOINTISUUN.'!E33</f>
        <v>0.24</v>
      </c>
      <c r="E35" s="178">
        <f>'1. T1 INVESTOINTISUUN.'!F33</f>
        <v>0.24</v>
      </c>
      <c r="F35" s="178">
        <f>'1. T1 INVESTOINTISUUN.'!G33</f>
        <v>0.24</v>
      </c>
      <c r="G35" s="434"/>
      <c r="H35" s="37"/>
      <c r="I35" s="37"/>
    </row>
    <row r="36" spans="1:10">
      <c r="A36" s="4"/>
      <c r="B36" s="177" t="s">
        <v>202</v>
      </c>
      <c r="C36" s="179">
        <f>C34/(1+C35)</f>
        <v>0</v>
      </c>
      <c r="D36" s="179">
        <f>D34/(1+D35)</f>
        <v>0</v>
      </c>
      <c r="E36" s="179">
        <f>E34/(1+E35)</f>
        <v>0</v>
      </c>
      <c r="F36" s="179">
        <f>F34/(1+F35)</f>
        <v>0</v>
      </c>
      <c r="G36" s="434"/>
      <c r="H36" s="37"/>
      <c r="I36" s="37"/>
    </row>
    <row r="37" spans="1:10">
      <c r="A37" s="4"/>
      <c r="B37" s="177" t="s">
        <v>201</v>
      </c>
      <c r="C37" s="179">
        <f>C34-C36</f>
        <v>0</v>
      </c>
      <c r="D37" s="179">
        <f>D34-D36</f>
        <v>0</v>
      </c>
      <c r="E37" s="179">
        <f>E34-E36</f>
        <v>0</v>
      </c>
      <c r="F37" s="179">
        <f>F34-F36</f>
        <v>0</v>
      </c>
      <c r="G37" s="433"/>
      <c r="H37" s="37"/>
      <c r="I37" s="37"/>
    </row>
    <row r="38" spans="1:10">
      <c r="A38" s="4"/>
      <c r="B38" s="177" t="str">
        <f>'1. T1 INVESTOINTISUUN.'!C34</f>
        <v xml:space="preserve"> - avustus-%</v>
      </c>
      <c r="C38" s="178">
        <f>'1. T1 INVESTOINTISUUN.'!D34</f>
        <v>0</v>
      </c>
      <c r="D38" s="178">
        <f>'1. T1 INVESTOINTISUUN.'!E34</f>
        <v>0</v>
      </c>
      <c r="E38" s="178">
        <f>'1. T1 INVESTOINTISUUN.'!F34</f>
        <v>0</v>
      </c>
      <c r="F38" s="178">
        <f>'1. T1 INVESTOINTISUUN.'!G34</f>
        <v>0</v>
      </c>
      <c r="G38" s="434"/>
      <c r="H38" s="37"/>
      <c r="I38" s="37"/>
    </row>
    <row r="39" spans="1:10">
      <c r="A39" s="4"/>
      <c r="B39" s="177" t="s">
        <v>203</v>
      </c>
      <c r="C39" s="179">
        <f>C36*C38</f>
        <v>0</v>
      </c>
      <c r="D39" s="179">
        <f>D36*D38</f>
        <v>0</v>
      </c>
      <c r="E39" s="179">
        <f>E36*E38</f>
        <v>0</v>
      </c>
      <c r="F39" s="179">
        <f>F36*F38</f>
        <v>0</v>
      </c>
      <c r="G39" s="37"/>
      <c r="H39" s="24"/>
      <c r="I39" s="24"/>
    </row>
    <row r="40" spans="1:10">
      <c r="B40" s="177" t="s">
        <v>245</v>
      </c>
      <c r="C40" s="199">
        <f>C36-C39</f>
        <v>0</v>
      </c>
      <c r="D40" s="199">
        <f>D36-D39</f>
        <v>0</v>
      </c>
      <c r="E40" s="199">
        <f>E36-E39</f>
        <v>0</v>
      </c>
      <c r="F40" s="199">
        <f>F36-F39</f>
        <v>0</v>
      </c>
      <c r="G40" s="4"/>
      <c r="H40" s="37"/>
      <c r="I40" s="37"/>
    </row>
    <row r="41" spans="1:10">
      <c r="A41" s="4" t="str">
        <f>'1. T1 INVESTOINTISUUN.'!B35</f>
        <v>7.</v>
      </c>
      <c r="B41" s="177" t="str">
        <f>'1. T1 INVESTOINTISUUN.'!C35</f>
        <v xml:space="preserve">Aineettomat hyödykkeet </v>
      </c>
      <c r="C41" s="177">
        <f>'1. T1 INVESTOINTISUUN.'!D35</f>
        <v>0</v>
      </c>
      <c r="D41" s="177">
        <f>'1. T1 INVESTOINTISUUN.'!E35</f>
        <v>0</v>
      </c>
      <c r="E41" s="177">
        <f>'1. T1 INVESTOINTISUUN.'!F35</f>
        <v>0</v>
      </c>
      <c r="F41" s="177">
        <f>'1. T1 INVESTOINTISUUN.'!G35</f>
        <v>0</v>
      </c>
      <c r="G41" s="435"/>
      <c r="H41" s="37"/>
      <c r="I41" s="37"/>
    </row>
    <row r="42" spans="1:10">
      <c r="A42" s="4"/>
      <c r="B42" s="177" t="str">
        <f>'1. T1 INVESTOINTISUUN.'!C36</f>
        <v xml:space="preserve"> - arvonlisävero-%</v>
      </c>
      <c r="C42" s="273">
        <f>'1. T1 INVESTOINTISUUN.'!D36</f>
        <v>0.24</v>
      </c>
      <c r="D42" s="273">
        <f>'1. T1 INVESTOINTISUUN.'!E36</f>
        <v>0.24</v>
      </c>
      <c r="E42" s="273">
        <f>'1. T1 INVESTOINTISUUN.'!F36</f>
        <v>0.24</v>
      </c>
      <c r="F42" s="273">
        <f>'1. T1 INVESTOINTISUUN.'!G36</f>
        <v>0.24</v>
      </c>
      <c r="G42" s="434"/>
      <c r="H42" s="37"/>
      <c r="I42" s="37"/>
    </row>
    <row r="43" spans="1:10">
      <c r="A43" s="4"/>
      <c r="B43" s="177" t="s">
        <v>202</v>
      </c>
      <c r="C43" s="179">
        <f>C41/(1+C42)</f>
        <v>0</v>
      </c>
      <c r="D43" s="179">
        <f>D41/(1+D42)</f>
        <v>0</v>
      </c>
      <c r="E43" s="179">
        <f>E41/(1+E42)</f>
        <v>0</v>
      </c>
      <c r="F43" s="179">
        <f>F41/(1+F42)</f>
        <v>0</v>
      </c>
      <c r="G43" s="434"/>
      <c r="H43" s="37"/>
      <c r="I43" s="37"/>
    </row>
    <row r="44" spans="1:10">
      <c r="A44" s="4"/>
      <c r="B44" s="177" t="s">
        <v>201</v>
      </c>
      <c r="C44" s="179">
        <f>C41-C43</f>
        <v>0</v>
      </c>
      <c r="D44" s="179">
        <f>D41-D43</f>
        <v>0</v>
      </c>
      <c r="E44" s="179">
        <f>E41-E43</f>
        <v>0</v>
      </c>
      <c r="F44" s="179">
        <f>F41-F43</f>
        <v>0</v>
      </c>
      <c r="G44" s="433"/>
      <c r="H44" s="37"/>
      <c r="I44" s="37"/>
    </row>
    <row r="45" spans="1:10">
      <c r="A45" s="4"/>
      <c r="B45" s="177" t="s">
        <v>198</v>
      </c>
      <c r="C45" s="178">
        <f>'1. T1 INVESTOINTISUUN.'!D37</f>
        <v>0</v>
      </c>
      <c r="D45" s="178">
        <f>'1. T1 INVESTOINTISUUN.'!E37</f>
        <v>0</v>
      </c>
      <c r="E45" s="178">
        <f>'1. T1 INVESTOINTISUUN.'!F37</f>
        <v>0</v>
      </c>
      <c r="F45" s="178">
        <f>'1. T1 INVESTOINTISUUN.'!G37</f>
        <v>0</v>
      </c>
      <c r="G45" s="434"/>
      <c r="H45" s="37"/>
      <c r="I45" s="37"/>
    </row>
    <row r="46" spans="1:10">
      <c r="B46" s="177" t="s">
        <v>203</v>
      </c>
      <c r="C46" s="179">
        <f>C43*C45</f>
        <v>0</v>
      </c>
      <c r="D46" s="179">
        <f>D43*D45</f>
        <v>0</v>
      </c>
      <c r="E46" s="179">
        <f>E43*E45</f>
        <v>0</v>
      </c>
      <c r="F46" s="179">
        <f>F43*F45</f>
        <v>0</v>
      </c>
      <c r="G46" s="37"/>
      <c r="H46" s="24"/>
      <c r="I46" s="24"/>
    </row>
    <row r="47" spans="1:10">
      <c r="A47" s="4"/>
      <c r="B47" s="177" t="s">
        <v>245</v>
      </c>
      <c r="C47" s="199">
        <f>C43-C46</f>
        <v>0</v>
      </c>
      <c r="D47" s="199">
        <f>D43-D46</f>
        <v>0</v>
      </c>
      <c r="E47" s="199">
        <f>E43-E46</f>
        <v>0</v>
      </c>
      <c r="F47" s="199">
        <f>F43-F46</f>
        <v>0</v>
      </c>
      <c r="G47" s="4"/>
    </row>
    <row r="48" spans="1:10">
      <c r="A48" s="4"/>
      <c r="B48" s="4" t="s">
        <v>204</v>
      </c>
      <c r="C48" s="30">
        <f>C11+C24+C37+C44</f>
        <v>0</v>
      </c>
      <c r="D48" s="30">
        <f>D11+D24+D37+D44</f>
        <v>0</v>
      </c>
      <c r="E48" s="30">
        <f>E11+E24+E37+E44</f>
        <v>0</v>
      </c>
      <c r="F48" s="30">
        <f>F11+F24+F37+F44</f>
        <v>0</v>
      </c>
      <c r="G48" s="30"/>
    </row>
    <row r="49" spans="1:7">
      <c r="A49" s="4"/>
      <c r="B49" s="4" t="s">
        <v>205</v>
      </c>
      <c r="C49" s="30">
        <f>C6+C13+C17+C26+C39+C46+C32</f>
        <v>0</v>
      </c>
      <c r="D49" s="30">
        <f t="shared" ref="D49:E49" si="17">D6+D13+D17+D26+D39+D46+D32</f>
        <v>0</v>
      </c>
      <c r="E49" s="30">
        <f t="shared" si="17"/>
        <v>0</v>
      </c>
      <c r="F49" s="30">
        <f>F6+F13+F17+F26+F39+F46+F32</f>
        <v>0</v>
      </c>
      <c r="G49" s="1"/>
    </row>
    <row r="50" spans="1:7">
      <c r="A50" s="4"/>
      <c r="B50" s="4" t="s">
        <v>0</v>
      </c>
      <c r="C50" s="4"/>
      <c r="D50" s="4"/>
      <c r="E50" s="4"/>
      <c r="F50" s="1"/>
      <c r="G50" s="1"/>
    </row>
    <row r="51" spans="1:7">
      <c r="A51" s="4"/>
      <c r="B51" s="4"/>
      <c r="C51" s="4"/>
      <c r="D51" s="4"/>
      <c r="E51" s="4"/>
      <c r="F51" s="1"/>
      <c r="G51" s="1"/>
    </row>
    <row r="52" spans="1:7">
      <c r="A52" s="4"/>
      <c r="B52" s="4"/>
      <c r="C52" s="4"/>
      <c r="D52" s="4"/>
      <c r="E52" s="4"/>
      <c r="F52" s="1"/>
      <c r="G52" s="1"/>
    </row>
    <row r="53" spans="1:7">
      <c r="A53" s="4"/>
      <c r="B53" s="4"/>
      <c r="C53" s="4"/>
      <c r="D53" s="4"/>
      <c r="E53" s="4"/>
      <c r="F53" s="1"/>
      <c r="G53" s="1"/>
    </row>
    <row r="54" spans="1:7">
      <c r="A54" s="1"/>
      <c r="B54" s="1"/>
      <c r="C54" s="1"/>
      <c r="D54" s="1"/>
      <c r="E54" s="1"/>
      <c r="F54" s="1"/>
      <c r="G54" s="1"/>
    </row>
  </sheetData>
  <sheetProtection algorithmName="SHA-512" hashValue="RN+izPikJITAh6fzQ37kPD45B8B4uQJVQkhJmTaqlTbwbyPDjm/4Xbsq0aPmazLxWILxbUjDKCURie9MRuOEfQ==" saltValue="Rzid6BCQ9fmB1pByHKLv+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10046" ySplit="1054" activePane="bottomRight"/>
      <selection activeCell="AM18" sqref="AM18"/>
      <selection pane="topRight" activeCell="Q5" sqref="Q1:Q1048576"/>
      <selection pane="bottomLeft" activeCell="B82" sqref="B82"/>
      <selection pane="bottomRight" activeCell="M12" sqref="M12"/>
    </sheetView>
  </sheetViews>
  <sheetFormatPr defaultRowHeight="12.45"/>
  <cols>
    <col min="1" max="1" width="37.07421875" customWidth="1"/>
    <col min="2" max="2" width="10" customWidth="1"/>
    <col min="3" max="3" width="12.69140625" style="86" customWidth="1"/>
    <col min="4" max="4" width="11.69140625" customWidth="1"/>
    <col min="5" max="5" width="8.69140625" customWidth="1"/>
    <col min="6" max="6" width="8.84375" customWidth="1"/>
    <col min="7" max="8" width="10" customWidth="1"/>
    <col min="9" max="9" width="8.84375" customWidth="1"/>
    <col min="10" max="10" width="11.3046875" customWidth="1"/>
    <col min="11" max="11" width="9.3046875" customWidth="1"/>
    <col min="12" max="12" width="10.07421875" customWidth="1"/>
    <col min="13" max="13" width="11.07421875" customWidth="1"/>
    <col min="14" max="14" width="9.53515625" customWidth="1"/>
    <col min="15" max="15" width="9" customWidth="1"/>
    <col min="16" max="16" width="7.53515625" customWidth="1"/>
    <col min="18" max="18" width="9.84375" customWidth="1"/>
    <col min="19" max="19" width="9.3046875" customWidth="1"/>
    <col min="20" max="20" width="10.3046875" customWidth="1"/>
    <col min="21" max="22" width="8.3046875" customWidth="1"/>
    <col min="23" max="23" width="9.07421875" customWidth="1"/>
    <col min="24" max="24" width="10.84375" customWidth="1"/>
    <col min="25" max="25" width="11" customWidth="1"/>
    <col min="26" max="26" width="10.3046875" customWidth="1"/>
    <col min="27" max="27" width="9.07421875" customWidth="1"/>
  </cols>
  <sheetData>
    <row r="2" spans="1:39" ht="12.9" thickBot="1"/>
    <row r="3" spans="1:39">
      <c r="E3" s="2250"/>
      <c r="F3" s="2251"/>
      <c r="G3" s="2251"/>
      <c r="H3" s="2251"/>
      <c r="I3" s="2252"/>
      <c r="J3" s="2250" t="str">
        <f>'4. T7 LAINAT '!F20</f>
        <v>Ennuste 1</v>
      </c>
      <c r="K3" s="2251"/>
      <c r="L3" s="2251"/>
      <c r="M3" s="2251"/>
      <c r="N3" s="2251"/>
      <c r="O3" s="2252"/>
      <c r="P3" s="2250" t="str">
        <f>'4. T7 LAINAT '!I20</f>
        <v>Ennuste 2</v>
      </c>
      <c r="Q3" s="2251"/>
      <c r="R3" s="2251"/>
      <c r="S3" s="2251"/>
      <c r="T3" s="2251"/>
      <c r="U3" s="2252"/>
      <c r="V3" s="2250" t="str">
        <f>'4. T7 LAINAT '!L20</f>
        <v>Ennuste 3</v>
      </c>
      <c r="W3" s="2251"/>
      <c r="X3" s="2251"/>
      <c r="Y3" s="2251"/>
      <c r="Z3" s="2251"/>
      <c r="AA3" s="2252"/>
      <c r="AB3" s="2250" t="s">
        <v>257</v>
      </c>
      <c r="AC3" s="2251"/>
      <c r="AD3" s="2251"/>
      <c r="AE3" s="2251"/>
      <c r="AF3" s="2251"/>
      <c r="AG3" s="2252"/>
      <c r="AH3" s="2250" t="s">
        <v>350</v>
      </c>
      <c r="AI3" s="2251"/>
      <c r="AJ3" s="2251"/>
      <c r="AK3" s="2251"/>
      <c r="AL3" s="2251"/>
      <c r="AM3" s="2252"/>
    </row>
    <row r="4" spans="1:39">
      <c r="E4" s="2253"/>
      <c r="F4" s="2254"/>
      <c r="G4" s="2254"/>
      <c r="H4" s="2254"/>
      <c r="I4" s="2255"/>
      <c r="J4" s="2253">
        <f>'4. T7 LAINAT '!F21</f>
        <v>2025</v>
      </c>
      <c r="K4" s="2254"/>
      <c r="L4" s="2254"/>
      <c r="M4" s="2254"/>
      <c r="N4" s="2254"/>
      <c r="O4" s="2255"/>
      <c r="P4" s="2253">
        <f>'4. T7 LAINAT '!I21</f>
        <v>2026</v>
      </c>
      <c r="Q4" s="2254"/>
      <c r="R4" s="2254"/>
      <c r="S4" s="2254"/>
      <c r="T4" s="2254"/>
      <c r="U4" s="2255"/>
      <c r="V4" s="2253">
        <f>'4. T7 LAINAT '!L21</f>
        <v>2027</v>
      </c>
      <c r="W4" s="2254"/>
      <c r="X4" s="2254"/>
      <c r="Y4" s="2254"/>
      <c r="Z4" s="2254"/>
      <c r="AA4" s="2255"/>
      <c r="AB4" s="2253">
        <f>'4. T7 LAINAT '!O21</f>
        <v>2028</v>
      </c>
      <c r="AC4" s="2254"/>
      <c r="AD4" s="2254"/>
      <c r="AE4" s="2254"/>
      <c r="AF4" s="2254"/>
      <c r="AG4" s="2255"/>
      <c r="AH4" s="2253">
        <f>'4. T7 LAINAT '!O21+1</f>
        <v>2029</v>
      </c>
      <c r="AI4" s="2254"/>
      <c r="AJ4" s="2254"/>
      <c r="AK4" s="2254"/>
      <c r="AL4" s="2254"/>
      <c r="AM4" s="2255"/>
    </row>
    <row r="5" spans="1:39">
      <c r="B5" s="2"/>
      <c r="C5" s="6" t="s">
        <v>136</v>
      </c>
      <c r="D5" s="2"/>
      <c r="E5" s="293"/>
      <c r="F5" s="294"/>
      <c r="G5" s="294"/>
      <c r="H5" s="294"/>
      <c r="I5" s="295"/>
      <c r="J5" s="293"/>
      <c r="K5" s="294" t="s">
        <v>136</v>
      </c>
      <c r="L5" s="294"/>
      <c r="M5" s="294"/>
      <c r="N5" s="294"/>
      <c r="O5" s="295"/>
      <c r="P5" s="293"/>
      <c r="Q5" s="294" t="s">
        <v>136</v>
      </c>
      <c r="R5" s="294"/>
      <c r="S5" s="294"/>
      <c r="T5" s="294"/>
      <c r="U5" s="295"/>
      <c r="V5" s="293"/>
      <c r="W5" s="294" t="s">
        <v>136</v>
      </c>
      <c r="X5" s="294"/>
      <c r="Y5" s="294"/>
      <c r="Z5" s="294"/>
      <c r="AA5" s="295"/>
      <c r="AB5" s="293"/>
      <c r="AC5" s="294" t="s">
        <v>136</v>
      </c>
      <c r="AD5" s="294"/>
      <c r="AE5" s="294"/>
      <c r="AF5" s="294"/>
      <c r="AG5" s="295"/>
      <c r="AH5" s="293"/>
      <c r="AI5" s="294" t="s">
        <v>136</v>
      </c>
      <c r="AJ5" s="294"/>
      <c r="AK5" s="294"/>
      <c r="AL5" s="294"/>
      <c r="AM5" s="295"/>
    </row>
    <row r="6" spans="1:39">
      <c r="A6" s="1" t="s">
        <v>258</v>
      </c>
      <c r="B6" s="6" t="s">
        <v>128</v>
      </c>
      <c r="C6" s="6" t="s">
        <v>135</v>
      </c>
      <c r="D6" s="6" t="s">
        <v>126</v>
      </c>
      <c r="E6" s="94" t="s">
        <v>129</v>
      </c>
      <c r="F6" s="90" t="s">
        <v>125</v>
      </c>
      <c r="G6" s="90" t="s">
        <v>137</v>
      </c>
      <c r="H6" s="90" t="s">
        <v>130</v>
      </c>
      <c r="I6" s="95" t="s">
        <v>126</v>
      </c>
      <c r="J6" s="94" t="s">
        <v>129</v>
      </c>
      <c r="K6" s="93" t="s">
        <v>343</v>
      </c>
      <c r="L6" s="90" t="s">
        <v>134</v>
      </c>
      <c r="M6" s="90" t="s">
        <v>137</v>
      </c>
      <c r="N6" s="90" t="s">
        <v>130</v>
      </c>
      <c r="O6" s="95" t="s">
        <v>126</v>
      </c>
      <c r="P6" s="94" t="s">
        <v>129</v>
      </c>
      <c r="Q6" s="93" t="s">
        <v>343</v>
      </c>
      <c r="R6" s="90" t="s">
        <v>134</v>
      </c>
      <c r="S6" s="90" t="s">
        <v>137</v>
      </c>
      <c r="T6" s="90" t="s">
        <v>130</v>
      </c>
      <c r="U6" s="95" t="s">
        <v>126</v>
      </c>
      <c r="V6" s="94" t="s">
        <v>129</v>
      </c>
      <c r="W6" s="93" t="s">
        <v>343</v>
      </c>
      <c r="X6" s="90" t="s">
        <v>134</v>
      </c>
      <c r="Y6" s="90" t="s">
        <v>137</v>
      </c>
      <c r="Z6" s="90" t="s">
        <v>130</v>
      </c>
      <c r="AA6" s="95" t="s">
        <v>126</v>
      </c>
      <c r="AB6" s="94" t="s">
        <v>129</v>
      </c>
      <c r="AC6" s="93" t="s">
        <v>343</v>
      </c>
      <c r="AD6" s="90" t="s">
        <v>134</v>
      </c>
      <c r="AE6" s="90" t="s">
        <v>137</v>
      </c>
      <c r="AF6" s="90" t="s">
        <v>130</v>
      </c>
      <c r="AG6" s="95" t="s">
        <v>126</v>
      </c>
      <c r="AH6" s="94" t="s">
        <v>129</v>
      </c>
      <c r="AI6" s="93" t="s">
        <v>343</v>
      </c>
      <c r="AJ6" s="90" t="s">
        <v>134</v>
      </c>
      <c r="AK6" s="90" t="s">
        <v>137</v>
      </c>
      <c r="AL6" s="90" t="s">
        <v>130</v>
      </c>
      <c r="AM6" s="95" t="s">
        <v>126</v>
      </c>
    </row>
    <row r="7" spans="1:39">
      <c r="A7" s="1" t="str">
        <f>'4. T7 LAINAT '!B11</f>
        <v xml:space="preserve"> Rahoittaja/rahoitettava kohde</v>
      </c>
      <c r="B7" s="208">
        <f>'4. T7 LAINAT '!C11</f>
        <v>0</v>
      </c>
      <c r="C7" s="82">
        <f>'4. T7 LAINAT '!D11</f>
        <v>0</v>
      </c>
      <c r="D7" s="209">
        <f>'4. T7 LAINAT '!E11</f>
        <v>0</v>
      </c>
      <c r="E7" s="391"/>
      <c r="F7" s="392"/>
      <c r="G7" s="393"/>
      <c r="H7" s="393"/>
      <c r="I7" s="394"/>
      <c r="J7" s="210"/>
      <c r="K7" s="213"/>
      <c r="L7" s="211">
        <f>'4. T7 LAINAT '!F11</f>
        <v>0</v>
      </c>
      <c r="M7" s="211">
        <f>N7+L7/4</f>
        <v>0</v>
      </c>
      <c r="N7" s="211">
        <f>B7</f>
        <v>0</v>
      </c>
      <c r="O7" s="212">
        <f>'4. T7 LAINAT '!H11</f>
        <v>0</v>
      </c>
      <c r="P7" s="210"/>
      <c r="Q7" s="213"/>
      <c r="R7" s="211">
        <f>'4. T7 LAINAT '!I11</f>
        <v>0</v>
      </c>
      <c r="S7" s="211">
        <f>N7-R7/4</f>
        <v>0</v>
      </c>
      <c r="T7" s="211">
        <f>N7-R7</f>
        <v>0</v>
      </c>
      <c r="U7" s="212">
        <f>'4. T7 LAINAT '!K11</f>
        <v>0</v>
      </c>
      <c r="V7" s="210"/>
      <c r="W7" s="213"/>
      <c r="X7" s="211">
        <f>'4. T7 LAINAT '!L11</f>
        <v>0</v>
      </c>
      <c r="Y7" s="211">
        <f>T7-X7/4</f>
        <v>0</v>
      </c>
      <c r="Z7" s="211">
        <f>T7-X7</f>
        <v>0</v>
      </c>
      <c r="AA7" s="212">
        <f>'4. T7 LAINAT '!N11</f>
        <v>0</v>
      </c>
      <c r="AB7" s="210"/>
      <c r="AC7" s="213"/>
      <c r="AD7" s="211">
        <f>'4. T7 LAINAT '!O11</f>
        <v>0</v>
      </c>
      <c r="AE7" s="211">
        <f>Z7-AD7/4</f>
        <v>0</v>
      </c>
      <c r="AF7" s="211">
        <f>Z7-AD7</f>
        <v>0</v>
      </c>
      <c r="AG7" s="212">
        <f>'4. T7 LAINAT '!Q11</f>
        <v>0</v>
      </c>
      <c r="AH7" s="210"/>
      <c r="AI7" s="213"/>
      <c r="AJ7" s="211">
        <f>IF(C7=0,0,IF(B7-R7-X7-AD7&lt;AD7,AF7,'AT2 Lainat,sotum., alv-osto'!AD7))</f>
        <v>0</v>
      </c>
      <c r="AK7" s="211">
        <f>AF7-AJ7/4</f>
        <v>0</v>
      </c>
      <c r="AL7" s="211">
        <f>AF7-AJ7</f>
        <v>0</v>
      </c>
      <c r="AM7" s="212"/>
    </row>
    <row r="8" spans="1:39">
      <c r="A8" s="1">
        <f>'4. T7 LAINAT '!B12</f>
        <v>0</v>
      </c>
      <c r="B8" s="208">
        <f>'4. T7 LAINAT '!C12</f>
        <v>0</v>
      </c>
      <c r="C8" s="82">
        <f>'4. T7 LAINAT '!D12</f>
        <v>0</v>
      </c>
      <c r="D8" s="209">
        <f>'4. T7 LAINAT '!E12</f>
        <v>0</v>
      </c>
      <c r="E8" s="391"/>
      <c r="F8" s="392"/>
      <c r="G8" s="393"/>
      <c r="H8" s="393"/>
      <c r="I8" s="394"/>
      <c r="J8" s="210"/>
      <c r="K8" s="213"/>
      <c r="L8" s="211">
        <f>'4. T7 LAINAT '!F12</f>
        <v>0</v>
      </c>
      <c r="M8" s="211">
        <f t="shared" ref="M8:M13" si="0">N8+L8/4</f>
        <v>0</v>
      </c>
      <c r="N8" s="211">
        <f t="shared" ref="N8:N13" si="1">B8</f>
        <v>0</v>
      </c>
      <c r="O8" s="212">
        <f>'4. T7 LAINAT '!H12</f>
        <v>0</v>
      </c>
      <c r="P8" s="210"/>
      <c r="Q8" s="213"/>
      <c r="R8" s="211">
        <f>'4. T7 LAINAT '!I12</f>
        <v>0</v>
      </c>
      <c r="S8" s="211">
        <f t="shared" ref="S8:S14" si="2">N8-R8/4</f>
        <v>0</v>
      </c>
      <c r="T8" s="211">
        <f t="shared" ref="T8:T13" si="3">N8-R8</f>
        <v>0</v>
      </c>
      <c r="U8" s="212">
        <f>'4. T7 LAINAT '!K12</f>
        <v>0</v>
      </c>
      <c r="V8" s="210"/>
      <c r="W8" s="213"/>
      <c r="X8" s="211">
        <f>'4. T7 LAINAT '!L12</f>
        <v>0</v>
      </c>
      <c r="Y8" s="211">
        <f t="shared" ref="Y8:Y14" si="4">T8-X8/4</f>
        <v>0</v>
      </c>
      <c r="Z8" s="211">
        <f t="shared" ref="Z8:Z13" si="5">T8-X8</f>
        <v>0</v>
      </c>
      <c r="AA8" s="212">
        <f>'4. T7 LAINAT '!N12</f>
        <v>0</v>
      </c>
      <c r="AB8" s="210"/>
      <c r="AC8" s="213"/>
      <c r="AD8" s="211">
        <f>'4. T7 LAINAT '!O12</f>
        <v>0</v>
      </c>
      <c r="AE8" s="211">
        <f t="shared" ref="AE8:AE14" si="6">Z8-AD8/4</f>
        <v>0</v>
      </c>
      <c r="AF8" s="211">
        <f t="shared" ref="AF8:AF13" si="7">Z8-AD8</f>
        <v>0</v>
      </c>
      <c r="AG8" s="212">
        <f>'4. T7 LAINAT '!Q12</f>
        <v>0</v>
      </c>
      <c r="AH8" s="210"/>
      <c r="AI8" s="213"/>
      <c r="AJ8" s="211">
        <f>IF(C8=0,0,IF(B8-R8-X8-AD8&lt;AD8,AF8,'AT2 Lainat,sotum., alv-osto'!AD8))</f>
        <v>0</v>
      </c>
      <c r="AK8" s="211">
        <f t="shared" ref="AK8:AK14" si="8">AF8-AJ8/4</f>
        <v>0</v>
      </c>
      <c r="AL8" s="211">
        <f t="shared" ref="AL8:AL13" si="9">AF8-AJ8</f>
        <v>0</v>
      </c>
      <c r="AM8" s="212"/>
    </row>
    <row r="9" spans="1:39">
      <c r="A9" s="1">
        <f>'4. T7 LAINAT '!B13</f>
        <v>0</v>
      </c>
      <c r="B9" s="208">
        <f>'4. T7 LAINAT '!C13</f>
        <v>0</v>
      </c>
      <c r="C9" s="82">
        <f>'4. T7 LAINAT '!D13</f>
        <v>0</v>
      </c>
      <c r="D9" s="209">
        <f>'4. T7 LAINAT '!E13</f>
        <v>0</v>
      </c>
      <c r="E9" s="391"/>
      <c r="F9" s="392"/>
      <c r="G9" s="393"/>
      <c r="H9" s="393"/>
      <c r="I9" s="394"/>
      <c r="J9" s="210"/>
      <c r="K9" s="213"/>
      <c r="L9" s="211">
        <f>'4. T7 LAINAT '!F13</f>
        <v>0</v>
      </c>
      <c r="M9" s="211">
        <f t="shared" si="0"/>
        <v>0</v>
      </c>
      <c r="N9" s="211">
        <f t="shared" si="1"/>
        <v>0</v>
      </c>
      <c r="O9" s="212">
        <f>'4. T7 LAINAT '!H13</f>
        <v>0</v>
      </c>
      <c r="P9" s="210"/>
      <c r="Q9" s="213"/>
      <c r="R9" s="211">
        <f>'4. T7 LAINAT '!I13</f>
        <v>0</v>
      </c>
      <c r="S9" s="211">
        <f t="shared" si="2"/>
        <v>0</v>
      </c>
      <c r="T9" s="211">
        <f t="shared" si="3"/>
        <v>0</v>
      </c>
      <c r="U9" s="212">
        <f>'4. T7 LAINAT '!K13</f>
        <v>0</v>
      </c>
      <c r="V9" s="210"/>
      <c r="W9" s="213"/>
      <c r="X9" s="211">
        <f>'4. T7 LAINAT '!L13</f>
        <v>0</v>
      </c>
      <c r="Y9" s="211">
        <f t="shared" si="4"/>
        <v>0</v>
      </c>
      <c r="Z9" s="211">
        <f t="shared" si="5"/>
        <v>0</v>
      </c>
      <c r="AA9" s="212">
        <f>'4. T7 LAINAT '!N13</f>
        <v>0</v>
      </c>
      <c r="AB9" s="210"/>
      <c r="AC9" s="213"/>
      <c r="AD9" s="211">
        <f>'4. T7 LAINAT '!O13</f>
        <v>0</v>
      </c>
      <c r="AE9" s="211">
        <f t="shared" si="6"/>
        <v>0</v>
      </c>
      <c r="AF9" s="211">
        <f t="shared" si="7"/>
        <v>0</v>
      </c>
      <c r="AG9" s="212">
        <f>'4. T7 LAINAT '!Q13</f>
        <v>0</v>
      </c>
      <c r="AH9" s="210"/>
      <c r="AI9" s="213"/>
      <c r="AJ9" s="211">
        <f>IF(C9=0,0,IF(B9-R9-X9-AD9&lt;AD9,AF9,'AT2 Lainat,sotum., alv-osto'!AD9))</f>
        <v>0</v>
      </c>
      <c r="AK9" s="211">
        <f t="shared" si="8"/>
        <v>0</v>
      </c>
      <c r="AL9" s="211">
        <f t="shared" si="9"/>
        <v>0</v>
      </c>
      <c r="AM9" s="212"/>
    </row>
    <row r="10" spans="1:39">
      <c r="A10" s="1">
        <f>'4. T7 LAINAT '!B14</f>
        <v>0</v>
      </c>
      <c r="B10" s="208">
        <f>'4. T7 LAINAT '!C14</f>
        <v>0</v>
      </c>
      <c r="C10" s="82">
        <f>'4. T7 LAINAT '!D14</f>
        <v>0</v>
      </c>
      <c r="D10" s="209">
        <f>'4. T7 LAINAT '!E14</f>
        <v>0</v>
      </c>
      <c r="E10" s="391"/>
      <c r="F10" s="392"/>
      <c r="G10" s="393"/>
      <c r="H10" s="393"/>
      <c r="I10" s="394"/>
      <c r="J10" s="210"/>
      <c r="K10" s="213"/>
      <c r="L10" s="211">
        <f>'4. T7 LAINAT '!F14</f>
        <v>0</v>
      </c>
      <c r="M10" s="211">
        <f t="shared" si="0"/>
        <v>0</v>
      </c>
      <c r="N10" s="211">
        <f t="shared" si="1"/>
        <v>0</v>
      </c>
      <c r="O10" s="212">
        <f>'4. T7 LAINAT '!H14</f>
        <v>0</v>
      </c>
      <c r="P10" s="210"/>
      <c r="Q10" s="213"/>
      <c r="R10" s="211">
        <f>'4. T7 LAINAT '!I14</f>
        <v>0</v>
      </c>
      <c r="S10" s="211">
        <f t="shared" si="2"/>
        <v>0</v>
      </c>
      <c r="T10" s="211">
        <f t="shared" si="3"/>
        <v>0</v>
      </c>
      <c r="U10" s="212">
        <f>'4. T7 LAINAT '!K14</f>
        <v>0</v>
      </c>
      <c r="V10" s="210"/>
      <c r="W10" s="213"/>
      <c r="X10" s="211">
        <f>'4. T7 LAINAT '!L14</f>
        <v>0</v>
      </c>
      <c r="Y10" s="211">
        <f t="shared" si="4"/>
        <v>0</v>
      </c>
      <c r="Z10" s="211">
        <f t="shared" si="5"/>
        <v>0</v>
      </c>
      <c r="AA10" s="212">
        <f>'4. T7 LAINAT '!N14</f>
        <v>0</v>
      </c>
      <c r="AB10" s="210"/>
      <c r="AC10" s="213"/>
      <c r="AD10" s="211">
        <f>'4. T7 LAINAT '!O14</f>
        <v>0</v>
      </c>
      <c r="AE10" s="211">
        <f t="shared" si="6"/>
        <v>0</v>
      </c>
      <c r="AF10" s="211">
        <f t="shared" si="7"/>
        <v>0</v>
      </c>
      <c r="AG10" s="212">
        <f>'4. T7 LAINAT '!Q14</f>
        <v>0</v>
      </c>
      <c r="AH10" s="210"/>
      <c r="AI10" s="213"/>
      <c r="AJ10" s="211">
        <f>IF(C10=0,0,IF(B10-R10-X10-AD10&lt;AD10,AF10,'AT2 Lainat,sotum., alv-osto'!AD10))</f>
        <v>0</v>
      </c>
      <c r="AK10" s="211">
        <f t="shared" si="8"/>
        <v>0</v>
      </c>
      <c r="AL10" s="211">
        <f t="shared" si="9"/>
        <v>0</v>
      </c>
      <c r="AM10" s="212"/>
    </row>
    <row r="11" spans="1:39">
      <c r="A11" s="1">
        <f>'4. T7 LAINAT '!B15</f>
        <v>0</v>
      </c>
      <c r="B11" s="208">
        <f>'4. T7 LAINAT '!C15</f>
        <v>0</v>
      </c>
      <c r="C11" s="82">
        <f>'4. T7 LAINAT '!D15</f>
        <v>0</v>
      </c>
      <c r="D11" s="209">
        <f>'4. T7 LAINAT '!E15</f>
        <v>0</v>
      </c>
      <c r="E11" s="391"/>
      <c r="F11" s="392"/>
      <c r="G11" s="393"/>
      <c r="H11" s="393"/>
      <c r="I11" s="394"/>
      <c r="J11" s="210"/>
      <c r="K11" s="213"/>
      <c r="L11" s="211">
        <f>'4. T7 LAINAT '!F15</f>
        <v>0</v>
      </c>
      <c r="M11" s="211">
        <f t="shared" si="0"/>
        <v>0</v>
      </c>
      <c r="N11" s="211">
        <f t="shared" si="1"/>
        <v>0</v>
      </c>
      <c r="O11" s="212">
        <f>'4. T7 LAINAT '!H15</f>
        <v>0</v>
      </c>
      <c r="P11" s="210"/>
      <c r="Q11" s="213"/>
      <c r="R11" s="211">
        <f>'4. T7 LAINAT '!I15</f>
        <v>0</v>
      </c>
      <c r="S11" s="211">
        <f t="shared" si="2"/>
        <v>0</v>
      </c>
      <c r="T11" s="211">
        <f t="shared" si="3"/>
        <v>0</v>
      </c>
      <c r="U11" s="212">
        <f>'4. T7 LAINAT '!K15</f>
        <v>0</v>
      </c>
      <c r="V11" s="210"/>
      <c r="W11" s="213"/>
      <c r="X11" s="211">
        <f>'4. T7 LAINAT '!L15</f>
        <v>0</v>
      </c>
      <c r="Y11" s="211">
        <f t="shared" si="4"/>
        <v>0</v>
      </c>
      <c r="Z11" s="211">
        <f t="shared" si="5"/>
        <v>0</v>
      </c>
      <c r="AA11" s="212">
        <f>'4. T7 LAINAT '!N15</f>
        <v>0</v>
      </c>
      <c r="AB11" s="210"/>
      <c r="AC11" s="213"/>
      <c r="AD11" s="211">
        <f>'4. T7 LAINAT '!O15</f>
        <v>0</v>
      </c>
      <c r="AE11" s="211">
        <f t="shared" si="6"/>
        <v>0</v>
      </c>
      <c r="AF11" s="211">
        <f t="shared" si="7"/>
        <v>0</v>
      </c>
      <c r="AG11" s="212">
        <f>'4. T7 LAINAT '!Q15</f>
        <v>0</v>
      </c>
      <c r="AH11" s="210"/>
      <c r="AI11" s="213"/>
      <c r="AJ11" s="211">
        <f>IF(C11=0,0,IF(B11-R11-X11-AD11&lt;AD11,AF11,'AT2 Lainat,sotum., alv-osto'!AD11))</f>
        <v>0</v>
      </c>
      <c r="AK11" s="211">
        <f t="shared" si="8"/>
        <v>0</v>
      </c>
      <c r="AL11" s="211">
        <f t="shared" si="9"/>
        <v>0</v>
      </c>
      <c r="AM11" s="212"/>
    </row>
    <row r="12" spans="1:39">
      <c r="A12" s="1">
        <f>'4. T7 LAINAT '!B16</f>
        <v>0</v>
      </c>
      <c r="B12" s="208">
        <f>'4. T7 LAINAT '!C16</f>
        <v>0</v>
      </c>
      <c r="C12" s="82">
        <f>'4. T7 LAINAT '!D16</f>
        <v>0</v>
      </c>
      <c r="D12" s="209">
        <f>'4. T7 LAINAT '!E16</f>
        <v>0</v>
      </c>
      <c r="E12" s="391"/>
      <c r="F12" s="392"/>
      <c r="G12" s="393"/>
      <c r="H12" s="393"/>
      <c r="I12" s="394"/>
      <c r="J12" s="210"/>
      <c r="K12" s="213"/>
      <c r="L12" s="211">
        <f>'4. T7 LAINAT '!F16</f>
        <v>0</v>
      </c>
      <c r="M12" s="211">
        <f t="shared" si="0"/>
        <v>0</v>
      </c>
      <c r="N12" s="211">
        <f t="shared" si="1"/>
        <v>0</v>
      </c>
      <c r="O12" s="212">
        <f>'4. T7 LAINAT '!H16</f>
        <v>0</v>
      </c>
      <c r="P12" s="210"/>
      <c r="Q12" s="213"/>
      <c r="R12" s="211">
        <f>'4. T7 LAINAT '!I16</f>
        <v>0</v>
      </c>
      <c r="S12" s="211">
        <f t="shared" si="2"/>
        <v>0</v>
      </c>
      <c r="T12" s="211">
        <f t="shared" si="3"/>
        <v>0</v>
      </c>
      <c r="U12" s="212">
        <f>'4. T7 LAINAT '!K16</f>
        <v>0</v>
      </c>
      <c r="V12" s="210"/>
      <c r="W12" s="213"/>
      <c r="X12" s="211">
        <f>'4. T7 LAINAT '!L16</f>
        <v>0</v>
      </c>
      <c r="Y12" s="211">
        <f t="shared" si="4"/>
        <v>0</v>
      </c>
      <c r="Z12" s="211">
        <f t="shared" si="5"/>
        <v>0</v>
      </c>
      <c r="AA12" s="212">
        <f>'4. T7 LAINAT '!N16</f>
        <v>0</v>
      </c>
      <c r="AB12" s="210"/>
      <c r="AC12" s="213"/>
      <c r="AD12" s="211">
        <f>'4. T7 LAINAT '!O16</f>
        <v>0</v>
      </c>
      <c r="AE12" s="211">
        <f t="shared" si="6"/>
        <v>0</v>
      </c>
      <c r="AF12" s="211">
        <f t="shared" si="7"/>
        <v>0</v>
      </c>
      <c r="AG12" s="212">
        <f>'4. T7 LAINAT '!Q16</f>
        <v>0</v>
      </c>
      <c r="AH12" s="210"/>
      <c r="AI12" s="213"/>
      <c r="AJ12" s="211">
        <f>IF(C12=0,0,IF(B12-R12-X12-AD12&lt;AD12,AF12,'AT2 Lainat,sotum., alv-osto'!AD12))</f>
        <v>0</v>
      </c>
      <c r="AK12" s="211">
        <f t="shared" si="8"/>
        <v>0</v>
      </c>
      <c r="AL12" s="211">
        <f t="shared" si="9"/>
        <v>0</v>
      </c>
      <c r="AM12" s="212"/>
    </row>
    <row r="13" spans="1:39">
      <c r="A13" s="1" t="str">
        <f>'4. T7 LAINAT '!B17</f>
        <v xml:space="preserve"> Luotollinen tili</v>
      </c>
      <c r="B13" s="208">
        <f>'4. T7 LAINAT '!C17</f>
        <v>0</v>
      </c>
      <c r="C13" s="82">
        <f>'4. T7 LAINAT '!D17</f>
        <v>0</v>
      </c>
      <c r="D13" s="209">
        <f>'4. T7 LAINAT '!E17</f>
        <v>0</v>
      </c>
      <c r="E13" s="391"/>
      <c r="F13" s="392"/>
      <c r="G13" s="393"/>
      <c r="H13" s="393"/>
      <c r="I13" s="394"/>
      <c r="J13" s="210"/>
      <c r="K13" s="213"/>
      <c r="L13" s="211">
        <f>'4. T7 LAINAT '!F17</f>
        <v>0</v>
      </c>
      <c r="M13" s="211">
        <f t="shared" si="0"/>
        <v>0</v>
      </c>
      <c r="N13" s="211">
        <f t="shared" si="1"/>
        <v>0</v>
      </c>
      <c r="O13" s="212">
        <f>'4. T7 LAINAT '!H17</f>
        <v>0</v>
      </c>
      <c r="P13" s="210"/>
      <c r="Q13" s="213"/>
      <c r="R13" s="211">
        <f>'4. T7 LAINAT '!I17</f>
        <v>0</v>
      </c>
      <c r="S13" s="211">
        <f t="shared" si="2"/>
        <v>0</v>
      </c>
      <c r="T13" s="211">
        <f t="shared" si="3"/>
        <v>0</v>
      </c>
      <c r="U13" s="212">
        <f>'4. T7 LAINAT '!K17</f>
        <v>0</v>
      </c>
      <c r="V13" s="210"/>
      <c r="W13" s="213"/>
      <c r="X13" s="211">
        <f>'4. T7 LAINAT '!L17</f>
        <v>0</v>
      </c>
      <c r="Y13" s="211">
        <f t="shared" si="4"/>
        <v>0</v>
      </c>
      <c r="Z13" s="211">
        <f t="shared" si="5"/>
        <v>0</v>
      </c>
      <c r="AA13" s="212">
        <f>'4. T7 LAINAT '!N17</f>
        <v>0</v>
      </c>
      <c r="AB13" s="210"/>
      <c r="AC13" s="213"/>
      <c r="AD13" s="211">
        <f>'4. T7 LAINAT '!O17</f>
        <v>0</v>
      </c>
      <c r="AE13" s="211">
        <f t="shared" si="6"/>
        <v>0</v>
      </c>
      <c r="AF13" s="211">
        <f t="shared" si="7"/>
        <v>0</v>
      </c>
      <c r="AG13" s="212">
        <f>'4. T7 LAINAT '!Q17</f>
        <v>0</v>
      </c>
      <c r="AH13" s="210"/>
      <c r="AI13" s="213"/>
      <c r="AJ13" s="211">
        <f>IF(C13=0,0,IF(B13-R13-X13-AD13&lt;AD13,AF13,'AT2 Lainat,sotum., alv-osto'!AD13))</f>
        <v>0</v>
      </c>
      <c r="AK13" s="211">
        <f t="shared" si="8"/>
        <v>0</v>
      </c>
      <c r="AL13" s="211">
        <f t="shared" si="9"/>
        <v>0</v>
      </c>
      <c r="AM13" s="212"/>
    </row>
    <row r="14" spans="1:39" s="2" customFormat="1">
      <c r="A14" s="2" t="s">
        <v>301</v>
      </c>
      <c r="B14" s="289">
        <f>SUM(B7:B13)</f>
        <v>0</v>
      </c>
      <c r="C14" s="523"/>
      <c r="D14" s="290"/>
      <c r="E14" s="210"/>
      <c r="F14" s="297">
        <f>SUM(F7:F13)</f>
        <v>0</v>
      </c>
      <c r="G14" s="298"/>
      <c r="H14" s="297">
        <f>SUM(H7:H13)</f>
        <v>0</v>
      </c>
      <c r="I14" s="212"/>
      <c r="J14" s="210"/>
      <c r="K14" s="213"/>
      <c r="L14" s="289">
        <f>SUM(L7:L13)</f>
        <v>0</v>
      </c>
      <c r="M14" s="289">
        <f>SUM(M7:M13)</f>
        <v>0</v>
      </c>
      <c r="N14" s="289">
        <f>SUM(N7:N13)</f>
        <v>0</v>
      </c>
      <c r="O14" s="289">
        <f>SUM(O7:O13)</f>
        <v>0</v>
      </c>
      <c r="P14" s="289">
        <f>SUM(P7:P13)</f>
        <v>0</v>
      </c>
      <c r="Q14" s="213"/>
      <c r="R14" s="289">
        <f>SUM(R7:R13)</f>
        <v>0</v>
      </c>
      <c r="S14" s="211">
        <f t="shared" si="2"/>
        <v>0</v>
      </c>
      <c r="T14" s="289">
        <f>SUM(T7:T13)</f>
        <v>0</v>
      </c>
      <c r="U14" s="289">
        <f>SUM(U7:U13)</f>
        <v>0</v>
      </c>
      <c r="V14" s="289">
        <f>SUM(V7:V13)</f>
        <v>0</v>
      </c>
      <c r="W14" s="213"/>
      <c r="X14" s="289">
        <f t="shared" ref="X14:AM14" si="10">SUM(X7:X13)</f>
        <v>0</v>
      </c>
      <c r="Y14" s="211">
        <f t="shared" si="4"/>
        <v>0</v>
      </c>
      <c r="Z14" s="289">
        <f t="shared" si="10"/>
        <v>0</v>
      </c>
      <c r="AA14" s="289">
        <f t="shared" si="10"/>
        <v>0</v>
      </c>
      <c r="AB14" s="289">
        <f t="shared" si="10"/>
        <v>0</v>
      </c>
      <c r="AC14" s="289">
        <f t="shared" si="10"/>
        <v>0</v>
      </c>
      <c r="AD14" s="289">
        <f t="shared" si="10"/>
        <v>0</v>
      </c>
      <c r="AE14" s="211">
        <f t="shared" si="6"/>
        <v>0</v>
      </c>
      <c r="AF14" s="289">
        <f t="shared" si="10"/>
        <v>0</v>
      </c>
      <c r="AG14" s="289">
        <f t="shared" si="10"/>
        <v>0</v>
      </c>
      <c r="AH14" s="289">
        <f t="shared" si="10"/>
        <v>0</v>
      </c>
      <c r="AI14" s="289">
        <f t="shared" si="10"/>
        <v>0</v>
      </c>
      <c r="AJ14" s="289">
        <f t="shared" si="10"/>
        <v>0</v>
      </c>
      <c r="AK14" s="211">
        <f t="shared" si="8"/>
        <v>0</v>
      </c>
      <c r="AL14" s="289">
        <f t="shared" si="10"/>
        <v>0</v>
      </c>
      <c r="AM14" s="289">
        <f t="shared" si="10"/>
        <v>0</v>
      </c>
    </row>
    <row r="15" spans="1:39">
      <c r="A15" s="1" t="s">
        <v>127</v>
      </c>
      <c r="B15" s="40"/>
      <c r="C15" s="82"/>
      <c r="D15" s="40"/>
      <c r="E15" s="94"/>
      <c r="F15" s="90"/>
      <c r="G15" s="90"/>
      <c r="H15" s="90"/>
      <c r="I15" s="95"/>
      <c r="J15" s="94"/>
      <c r="K15" s="93"/>
      <c r="L15" s="90"/>
      <c r="M15" s="90"/>
      <c r="N15" s="90"/>
      <c r="O15" s="95"/>
      <c r="P15" s="94"/>
      <c r="Q15" s="93"/>
      <c r="R15" s="90"/>
      <c r="S15" s="90"/>
      <c r="T15" s="90"/>
      <c r="U15" s="95"/>
      <c r="V15" s="94"/>
      <c r="W15" s="93"/>
      <c r="X15" s="90"/>
      <c r="Y15" s="90"/>
      <c r="Z15" s="90"/>
      <c r="AA15" s="95"/>
      <c r="AB15" s="94"/>
      <c r="AC15" s="93"/>
      <c r="AD15" s="211" t="s">
        <v>0</v>
      </c>
      <c r="AE15" s="90"/>
      <c r="AF15" s="90"/>
      <c r="AG15" s="95"/>
      <c r="AH15" s="94"/>
      <c r="AI15" s="93"/>
      <c r="AJ15" s="211" t="s">
        <v>0</v>
      </c>
      <c r="AK15" s="90"/>
      <c r="AL15" s="90"/>
      <c r="AM15" s="95"/>
    </row>
    <row r="16" spans="1:39">
      <c r="A16" s="84" t="str">
        <f>'4. T7 LAINAT '!B24</f>
        <v xml:space="preserve"> Rahoittaja/rahoitettava kohde</v>
      </c>
      <c r="B16" s="91">
        <f>'4. T7 LAINAT '!C24</f>
        <v>0</v>
      </c>
      <c r="C16" s="524">
        <f>'4. T7 LAINAT '!D24</f>
        <v>0</v>
      </c>
      <c r="D16" s="92">
        <f>'4. T7 LAINAT '!E24</f>
        <v>0</v>
      </c>
      <c r="E16" s="689"/>
      <c r="F16" s="690"/>
      <c r="G16" s="690"/>
      <c r="H16" s="690"/>
      <c r="I16" s="691"/>
      <c r="J16" s="219">
        <f>'4. T7 LAINAT '!F24</f>
        <v>0</v>
      </c>
      <c r="K16" s="220">
        <f>IF(H16&gt;0,IF(C16-1&gt;0,C16-1,C16),C16)</f>
        <v>0</v>
      </c>
      <c r="L16" s="199">
        <f>'4. T7 LAINAT '!G24</f>
        <v>0</v>
      </c>
      <c r="M16" s="199">
        <f>E16-F16+J16-L16/4</f>
        <v>0</v>
      </c>
      <c r="N16" s="199">
        <f>J16-L16</f>
        <v>0</v>
      </c>
      <c r="O16" s="172">
        <f>IF($D16*M16&lt;0,0,M16*$D16)</f>
        <v>0</v>
      </c>
      <c r="P16" s="173">
        <f>'4. T7 LAINAT '!I24</f>
        <v>0</v>
      </c>
      <c r="Q16" s="220">
        <f t="shared" ref="Q16:Q21" si="11">IF(E16=0,IF(J16=0,K16,$C16-1),$C16-2)</f>
        <v>0</v>
      </c>
      <c r="R16" s="199">
        <f>'4. T7 LAINAT '!J24</f>
        <v>0</v>
      </c>
      <c r="S16" s="199">
        <f t="shared" ref="S16:S21" si="12">N16+P16-R16/4</f>
        <v>0</v>
      </c>
      <c r="T16" s="199">
        <f t="shared" ref="T16:T21" si="13">N16+P16-R16</f>
        <v>0</v>
      </c>
      <c r="U16" s="172">
        <f t="shared" ref="U16:U21" si="14">IF($D16*S16&lt;0,0,S16*$D16)</f>
        <v>0</v>
      </c>
      <c r="V16" s="173">
        <f>'4. T7 LAINAT '!L24</f>
        <v>0</v>
      </c>
      <c r="W16" s="220">
        <f>IF(Q16-1&gt;0,Q16-1,0)</f>
        <v>0</v>
      </c>
      <c r="X16" s="199">
        <f>'4. T7 LAINAT '!M24</f>
        <v>0</v>
      </c>
      <c r="Y16" s="199">
        <f>(T16+V16-X16/4)</f>
        <v>0</v>
      </c>
      <c r="Z16" s="199">
        <f>T16+V16-X16</f>
        <v>0</v>
      </c>
      <c r="AA16" s="172">
        <f>IF($D16*Y16&lt;0,0,Y16*$D16)</f>
        <v>0</v>
      </c>
      <c r="AB16" s="173">
        <f>'4. T7 LAINAT '!O24</f>
        <v>0</v>
      </c>
      <c r="AC16" s="220">
        <f>IF(W16-1&gt;0,W16-1,0)</f>
        <v>0</v>
      </c>
      <c r="AD16" s="211">
        <f>'4. T7 LAINAT '!P24</f>
        <v>0</v>
      </c>
      <c r="AE16" s="199">
        <f>(Z16+AB16-AD16/4)</f>
        <v>0</v>
      </c>
      <c r="AF16" s="199">
        <f>Z16+AB16-AD16</f>
        <v>0</v>
      </c>
      <c r="AG16" s="172">
        <f>IF($D16*AE16&lt;0,0,AE16*$D16)</f>
        <v>0</v>
      </c>
      <c r="AH16" s="173">
        <v>0</v>
      </c>
      <c r="AI16" s="220">
        <f>IF(AC16-1&gt;0,AC16-1,0)</f>
        <v>0</v>
      </c>
      <c r="AJ16" s="211">
        <f>IF(C16=0,0,IF(B16-R16-X16-AD16-L16&lt;=0,0,IF(AF16&lt;AD16,AF16,'AT2 Lainat,sotum., alv-osto'!AD16)))</f>
        <v>0</v>
      </c>
      <c r="AK16" s="199">
        <f>(AF16+AH16-AJ16/4)</f>
        <v>0</v>
      </c>
      <c r="AL16" s="199">
        <f>AF16+AH16-AJ16</f>
        <v>0</v>
      </c>
      <c r="AM16" s="172">
        <f>IF($D16*AK16&lt;0,0,AK16*$D16)</f>
        <v>0</v>
      </c>
    </row>
    <row r="17" spans="1:39">
      <c r="A17" s="84">
        <f>'4. T7 LAINAT '!B25</f>
        <v>0</v>
      </c>
      <c r="B17" s="91">
        <f>'4. T7 LAINAT '!C25</f>
        <v>0</v>
      </c>
      <c r="C17" s="524">
        <f>'4. T7 LAINAT '!D25</f>
        <v>0</v>
      </c>
      <c r="D17" s="92">
        <f>'4. T7 LAINAT '!E25</f>
        <v>0</v>
      </c>
      <c r="E17" s="689"/>
      <c r="F17" s="690"/>
      <c r="G17" s="690"/>
      <c r="H17" s="690"/>
      <c r="I17" s="691"/>
      <c r="J17" s="219">
        <f>'4. T7 LAINAT '!F25</f>
        <v>0</v>
      </c>
      <c r="K17" s="220">
        <f>IF(H17&gt;0,IF(C17-1&gt;0,C17-1,C17),C17)</f>
        <v>0</v>
      </c>
      <c r="L17" s="199">
        <f>'4. T7 LAINAT '!G25</f>
        <v>0</v>
      </c>
      <c r="M17" s="199">
        <f>E17-F17+J17-L17/4</f>
        <v>0</v>
      </c>
      <c r="N17" s="199">
        <f>J17-L17</f>
        <v>0</v>
      </c>
      <c r="O17" s="172">
        <f>IF($D17*M17&lt;0,0,M17*$D17)</f>
        <v>0</v>
      </c>
      <c r="P17" s="173">
        <f>'4. T7 LAINAT '!I25</f>
        <v>0</v>
      </c>
      <c r="Q17" s="220">
        <f t="shared" si="11"/>
        <v>0</v>
      </c>
      <c r="R17" s="199">
        <f>'4. T7 LAINAT '!J25</f>
        <v>0</v>
      </c>
      <c r="S17" s="199">
        <f t="shared" si="12"/>
        <v>0</v>
      </c>
      <c r="T17" s="199">
        <f t="shared" si="13"/>
        <v>0</v>
      </c>
      <c r="U17" s="172">
        <f t="shared" si="14"/>
        <v>0</v>
      </c>
      <c r="V17" s="173">
        <f>'4. T7 LAINAT '!L25</f>
        <v>0</v>
      </c>
      <c r="W17" s="220">
        <f>IF(Q17-1&gt;0,Q17-1,0)</f>
        <v>0</v>
      </c>
      <c r="X17" s="199">
        <f>'4. T7 LAINAT '!M25</f>
        <v>0</v>
      </c>
      <c r="Y17" s="199">
        <f t="shared" ref="Y17:Y27" si="15">(T17+V17-X17/4)</f>
        <v>0</v>
      </c>
      <c r="Z17" s="199">
        <f>T17+V17-X17</f>
        <v>0</v>
      </c>
      <c r="AA17" s="172">
        <f>IF($D17*Y17&lt;0,0,Y17*$D17)</f>
        <v>0</v>
      </c>
      <c r="AB17" s="173">
        <f>'4. T7 LAINAT '!O25</f>
        <v>0</v>
      </c>
      <c r="AC17" s="220">
        <f>IF(W17-1&gt;0,W17-1,0)</f>
        <v>0</v>
      </c>
      <c r="AD17" s="211">
        <f>'4. T7 LAINAT '!P25</f>
        <v>0</v>
      </c>
      <c r="AE17" s="199">
        <f t="shared" ref="AE17:AE27" si="16">(Z17+AB17-AD17/4)</f>
        <v>0</v>
      </c>
      <c r="AF17" s="199">
        <f>Z17+AB17-AD17</f>
        <v>0</v>
      </c>
      <c r="AG17" s="172">
        <f>IF($D17*AE17&lt;0,0,AE17*$D17)</f>
        <v>0</v>
      </c>
      <c r="AH17" s="173">
        <v>0</v>
      </c>
      <c r="AI17" s="220">
        <f>IF(AC17-1&gt;0,AC17-1,0)</f>
        <v>0</v>
      </c>
      <c r="AJ17" s="211">
        <f>IF(C17=0,0,IF(B17-R17-X17-AD17-L17&lt;=0,0,IF(AF17&lt;AD17,AF17,'AT2 Lainat,sotum., alv-osto'!AD17)))</f>
        <v>0</v>
      </c>
      <c r="AK17" s="199">
        <f t="shared" ref="AK17:AK27" si="17">(AF17+AH17-AJ17/4)</f>
        <v>0</v>
      </c>
      <c r="AL17" s="199">
        <f>AF17+AH17-AJ17</f>
        <v>0</v>
      </c>
      <c r="AM17" s="172">
        <f>IF($D17*AK17&lt;0,0,AK17*$D17)</f>
        <v>0</v>
      </c>
    </row>
    <row r="18" spans="1:39">
      <c r="A18" s="84">
        <f>'4. T7 LAINAT '!B26</f>
        <v>0</v>
      </c>
      <c r="B18" s="91">
        <f>'4. T7 LAINAT '!C26</f>
        <v>0</v>
      </c>
      <c r="C18" s="524">
        <f>'4. T7 LAINAT '!D26</f>
        <v>0</v>
      </c>
      <c r="D18" s="92">
        <f>'4. T7 LAINAT '!E26</f>
        <v>0</v>
      </c>
      <c r="E18" s="689"/>
      <c r="F18" s="690"/>
      <c r="G18" s="690"/>
      <c r="H18" s="690"/>
      <c r="I18" s="691"/>
      <c r="J18" s="219">
        <f>'4. T7 LAINAT '!F26</f>
        <v>0</v>
      </c>
      <c r="K18" s="220">
        <f>IF(H18&gt;0,IF(C18-1&gt;0,C18-1,C18),C18)</f>
        <v>0</v>
      </c>
      <c r="L18" s="199">
        <f>'4. T7 LAINAT '!G26</f>
        <v>0</v>
      </c>
      <c r="M18" s="199">
        <f>E18-F18+J18-L18/4</f>
        <v>0</v>
      </c>
      <c r="N18" s="199">
        <f>J18-L18</f>
        <v>0</v>
      </c>
      <c r="O18" s="172">
        <f>IF($D18*M18&lt;0,0,M18*$D18)</f>
        <v>0</v>
      </c>
      <c r="P18" s="173">
        <f>'4. T7 LAINAT '!I26</f>
        <v>0</v>
      </c>
      <c r="Q18" s="220">
        <f t="shared" si="11"/>
        <v>0</v>
      </c>
      <c r="R18" s="199">
        <f>'4. T7 LAINAT '!J26</f>
        <v>0</v>
      </c>
      <c r="S18" s="199">
        <f t="shared" si="12"/>
        <v>0</v>
      </c>
      <c r="T18" s="199">
        <f t="shared" si="13"/>
        <v>0</v>
      </c>
      <c r="U18" s="172">
        <f t="shared" si="14"/>
        <v>0</v>
      </c>
      <c r="V18" s="173">
        <f>'4. T7 LAINAT '!L26</f>
        <v>0</v>
      </c>
      <c r="W18" s="220">
        <f t="shared" ref="W18:W24" si="18">IF(Q18-1&gt;0,Q18-1,0)</f>
        <v>0</v>
      </c>
      <c r="X18" s="199">
        <f>'4. T7 LAINAT '!M26</f>
        <v>0</v>
      </c>
      <c r="Y18" s="199">
        <f t="shared" si="15"/>
        <v>0</v>
      </c>
      <c r="Z18" s="199">
        <f t="shared" ref="Z18:Z24" si="19">T18+V18-X18</f>
        <v>0</v>
      </c>
      <c r="AA18" s="172">
        <f t="shared" ref="AA18:AA24" si="20">IF($D18*Y18&lt;0,0,Y18*$D18)</f>
        <v>0</v>
      </c>
      <c r="AB18" s="173">
        <f>'4. T7 LAINAT '!O26</f>
        <v>0</v>
      </c>
      <c r="AC18" s="220">
        <f t="shared" ref="AC18:AC27" si="21">IF(W18-1&gt;0,W18-1,0)</f>
        <v>0</v>
      </c>
      <c r="AD18" s="211">
        <f>'4. T7 LAINAT '!P26</f>
        <v>0</v>
      </c>
      <c r="AE18" s="199">
        <f t="shared" si="16"/>
        <v>0</v>
      </c>
      <c r="AF18" s="199">
        <f t="shared" ref="AF18:AF27" si="22">Z18+AB18-AD18</f>
        <v>0</v>
      </c>
      <c r="AG18" s="172">
        <f t="shared" ref="AG18:AG27" si="23">IF($D18*AE18&lt;0,0,AE18*$D18)</f>
        <v>0</v>
      </c>
      <c r="AH18" s="173">
        <v>0</v>
      </c>
      <c r="AI18" s="220">
        <f t="shared" ref="AI18:AI27" si="24">IF(AC18-1&gt;0,AC18-1,0)</f>
        <v>0</v>
      </c>
      <c r="AJ18" s="211">
        <f>IF(C18=0,0,IF(B18-R18-X18-AD18-L18&lt;=0,0,IF(AF18&lt;AD18,AF18,'AT2 Lainat,sotum., alv-osto'!AD18)))</f>
        <v>0</v>
      </c>
      <c r="AK18" s="199">
        <f t="shared" si="17"/>
        <v>0</v>
      </c>
      <c r="AL18" s="199">
        <f t="shared" ref="AL18:AL27" si="25">AF18+AH18-AJ18</f>
        <v>0</v>
      </c>
      <c r="AM18" s="172">
        <f t="shared" ref="AM18:AM27" si="26">IF($D18*AK18&lt;0,0,AK18*$D18)</f>
        <v>0</v>
      </c>
    </row>
    <row r="19" spans="1:39">
      <c r="A19" s="84" t="str">
        <f>'4. T7 LAINAT '!B28</f>
        <v xml:space="preserve"> Rahoittaja/rahoitettava kohde</v>
      </c>
      <c r="B19" s="91">
        <f>'4. T7 LAINAT '!C28</f>
        <v>0</v>
      </c>
      <c r="C19" s="524">
        <f>'4. T7 LAINAT '!D28</f>
        <v>0</v>
      </c>
      <c r="D19" s="92">
        <f>'4. T7 LAINAT '!E28</f>
        <v>0</v>
      </c>
      <c r="E19" s="689"/>
      <c r="F19" s="690"/>
      <c r="G19" s="690"/>
      <c r="H19" s="690"/>
      <c r="I19" s="691"/>
      <c r="J19" s="219"/>
      <c r="K19" s="220"/>
      <c r="L19" s="199"/>
      <c r="M19" s="199"/>
      <c r="N19" s="199"/>
      <c r="O19" s="172"/>
      <c r="P19" s="173">
        <f>'4. T7 LAINAT '!I28</f>
        <v>0</v>
      </c>
      <c r="Q19" s="220">
        <f t="shared" si="11"/>
        <v>0</v>
      </c>
      <c r="R19" s="199">
        <f>'4. T7 LAINAT '!J28</f>
        <v>0</v>
      </c>
      <c r="S19" s="199">
        <f t="shared" si="12"/>
        <v>0</v>
      </c>
      <c r="T19" s="199">
        <f t="shared" si="13"/>
        <v>0</v>
      </c>
      <c r="U19" s="172">
        <f t="shared" si="14"/>
        <v>0</v>
      </c>
      <c r="V19" s="173">
        <f>'4. T7 LAINAT '!L28</f>
        <v>0</v>
      </c>
      <c r="W19" s="220">
        <f t="shared" si="18"/>
        <v>0</v>
      </c>
      <c r="X19" s="199">
        <f>'4. T7 LAINAT '!M28</f>
        <v>0</v>
      </c>
      <c r="Y19" s="199">
        <f t="shared" si="15"/>
        <v>0</v>
      </c>
      <c r="Z19" s="199">
        <f t="shared" si="19"/>
        <v>0</v>
      </c>
      <c r="AA19" s="172">
        <f t="shared" si="20"/>
        <v>0</v>
      </c>
      <c r="AB19" s="173">
        <f>'4. T7 LAINAT '!O28</f>
        <v>0</v>
      </c>
      <c r="AC19" s="220">
        <f t="shared" si="21"/>
        <v>0</v>
      </c>
      <c r="AD19" s="211">
        <f>'4. T7 LAINAT '!P28</f>
        <v>0</v>
      </c>
      <c r="AE19" s="199">
        <f t="shared" si="16"/>
        <v>0</v>
      </c>
      <c r="AF19" s="199">
        <f t="shared" si="22"/>
        <v>0</v>
      </c>
      <c r="AG19" s="172">
        <f t="shared" si="23"/>
        <v>0</v>
      </c>
      <c r="AH19" s="173">
        <v>0</v>
      </c>
      <c r="AI19" s="220">
        <f t="shared" si="24"/>
        <v>0</v>
      </c>
      <c r="AJ19" s="211">
        <f>IF(C19=0,0,IF(B19-R19-X19-AD19-L19&lt;=0,0,IF(AF19&lt;AD19,AF19,'AT2 Lainat,sotum., alv-osto'!AD19)))</f>
        <v>0</v>
      </c>
      <c r="AK19" s="199">
        <f t="shared" si="17"/>
        <v>0</v>
      </c>
      <c r="AL19" s="199">
        <f t="shared" si="25"/>
        <v>0</v>
      </c>
      <c r="AM19" s="172">
        <f t="shared" si="26"/>
        <v>0</v>
      </c>
    </row>
    <row r="20" spans="1:39">
      <c r="A20" s="84">
        <f>'4. T7 LAINAT '!B29</f>
        <v>0</v>
      </c>
      <c r="B20" s="91">
        <f>'4. T7 LAINAT '!C29</f>
        <v>0</v>
      </c>
      <c r="C20" s="524">
        <f>'4. T7 LAINAT '!D29</f>
        <v>0</v>
      </c>
      <c r="D20" s="92">
        <f>'4. T7 LAINAT '!E29</f>
        <v>0</v>
      </c>
      <c r="E20" s="689"/>
      <c r="F20" s="690"/>
      <c r="G20" s="690"/>
      <c r="H20" s="690"/>
      <c r="I20" s="691"/>
      <c r="J20" s="219"/>
      <c r="K20" s="220"/>
      <c r="L20" s="199"/>
      <c r="M20" s="199"/>
      <c r="N20" s="199"/>
      <c r="O20" s="172"/>
      <c r="P20" s="173">
        <f>'4. T7 LAINAT '!I29</f>
        <v>0</v>
      </c>
      <c r="Q20" s="220">
        <f t="shared" si="11"/>
        <v>0</v>
      </c>
      <c r="R20" s="199">
        <f>'4. T7 LAINAT '!J29</f>
        <v>0</v>
      </c>
      <c r="S20" s="199">
        <f t="shared" si="12"/>
        <v>0</v>
      </c>
      <c r="T20" s="199">
        <f t="shared" si="13"/>
        <v>0</v>
      </c>
      <c r="U20" s="172">
        <f t="shared" si="14"/>
        <v>0</v>
      </c>
      <c r="V20" s="173">
        <f>'4. T7 LAINAT '!L29</f>
        <v>0</v>
      </c>
      <c r="W20" s="220">
        <f>IF(Q20-1&gt;0,Q20-1,0)</f>
        <v>0</v>
      </c>
      <c r="X20" s="199">
        <f>'4. T7 LAINAT '!M29</f>
        <v>0</v>
      </c>
      <c r="Y20" s="199">
        <f t="shared" si="15"/>
        <v>0</v>
      </c>
      <c r="Z20" s="199">
        <f>T20+V20-X20</f>
        <v>0</v>
      </c>
      <c r="AA20" s="172">
        <f>IF($D20*Y20&lt;0,0,Y20*$D20)</f>
        <v>0</v>
      </c>
      <c r="AB20" s="173">
        <f>'4. T7 LAINAT '!O29</f>
        <v>0</v>
      </c>
      <c r="AC20" s="220">
        <f>IF(W20-1&gt;0,W20-1,0)</f>
        <v>0</v>
      </c>
      <c r="AD20" s="211">
        <f>'4. T7 LAINAT '!P29</f>
        <v>0</v>
      </c>
      <c r="AE20" s="199">
        <f t="shared" si="16"/>
        <v>0</v>
      </c>
      <c r="AF20" s="199">
        <f>Z20+AB20-AD20</f>
        <v>0</v>
      </c>
      <c r="AG20" s="172">
        <f>IF($D20*AE20&lt;0,0,AE20*$D20)</f>
        <v>0</v>
      </c>
      <c r="AH20" s="173">
        <v>0</v>
      </c>
      <c r="AI20" s="220">
        <f>IF(AC20-1&gt;0,AC20-1,0)</f>
        <v>0</v>
      </c>
      <c r="AJ20" s="211">
        <f>IF(C20=0,0,IF(B20-R20-X20-AD20-L20&lt;=0,0,IF(AF20&lt;AD20,AF20,'AT2 Lainat,sotum., alv-osto'!AD20)))</f>
        <v>0</v>
      </c>
      <c r="AK20" s="199">
        <f t="shared" si="17"/>
        <v>0</v>
      </c>
      <c r="AL20" s="199">
        <f>AF20+AH20-AJ20</f>
        <v>0</v>
      </c>
      <c r="AM20" s="172">
        <f>IF($D20*AK20&lt;0,0,AK20*$D20)</f>
        <v>0</v>
      </c>
    </row>
    <row r="21" spans="1:39">
      <c r="A21" s="84">
        <f>'4. T7 LAINAT '!B30</f>
        <v>0</v>
      </c>
      <c r="B21" s="91">
        <f>'4. T7 LAINAT '!C30</f>
        <v>0</v>
      </c>
      <c r="C21" s="524">
        <f>'4. T7 LAINAT '!D30</f>
        <v>0</v>
      </c>
      <c r="D21" s="92">
        <f>'4. T7 LAINAT '!E30</f>
        <v>0</v>
      </c>
      <c r="E21" s="689"/>
      <c r="F21" s="690"/>
      <c r="G21" s="690"/>
      <c r="H21" s="690"/>
      <c r="I21" s="691"/>
      <c r="J21" s="219"/>
      <c r="K21" s="220"/>
      <c r="L21" s="199"/>
      <c r="M21" s="199"/>
      <c r="N21" s="199"/>
      <c r="O21" s="172"/>
      <c r="P21" s="173">
        <f>'4. T7 LAINAT '!I30</f>
        <v>0</v>
      </c>
      <c r="Q21" s="220">
        <f t="shared" si="11"/>
        <v>0</v>
      </c>
      <c r="R21" s="199">
        <f>'4. T7 LAINAT '!J30</f>
        <v>0</v>
      </c>
      <c r="S21" s="199">
        <f t="shared" si="12"/>
        <v>0</v>
      </c>
      <c r="T21" s="199">
        <f t="shared" si="13"/>
        <v>0</v>
      </c>
      <c r="U21" s="172">
        <f t="shared" si="14"/>
        <v>0</v>
      </c>
      <c r="V21" s="173">
        <f>'4. T7 LAINAT '!L30</f>
        <v>0</v>
      </c>
      <c r="W21" s="220">
        <f t="shared" si="18"/>
        <v>0</v>
      </c>
      <c r="X21" s="199">
        <f>'4. T7 LAINAT '!M30</f>
        <v>0</v>
      </c>
      <c r="Y21" s="199">
        <f t="shared" si="15"/>
        <v>0</v>
      </c>
      <c r="Z21" s="199">
        <f t="shared" si="19"/>
        <v>0</v>
      </c>
      <c r="AA21" s="172">
        <f t="shared" si="20"/>
        <v>0</v>
      </c>
      <c r="AB21" s="173">
        <f>'4. T7 LAINAT '!O30</f>
        <v>0</v>
      </c>
      <c r="AC21" s="220">
        <f t="shared" si="21"/>
        <v>0</v>
      </c>
      <c r="AD21" s="211">
        <f>'4. T7 LAINAT '!P30</f>
        <v>0</v>
      </c>
      <c r="AE21" s="199">
        <f t="shared" si="16"/>
        <v>0</v>
      </c>
      <c r="AF21" s="199">
        <f t="shared" si="22"/>
        <v>0</v>
      </c>
      <c r="AG21" s="172">
        <f t="shared" si="23"/>
        <v>0</v>
      </c>
      <c r="AH21" s="173">
        <v>0</v>
      </c>
      <c r="AI21" s="220">
        <f t="shared" si="24"/>
        <v>0</v>
      </c>
      <c r="AJ21" s="211">
        <f>IF(C21=0,0,IF(B21-R21-X21-AD21-L21&lt;=0,0,IF(AF21&lt;AD21,AF21,'AT2 Lainat,sotum., alv-osto'!AD21)))</f>
        <v>0</v>
      </c>
      <c r="AK21" s="199">
        <f t="shared" si="17"/>
        <v>0</v>
      </c>
      <c r="AL21" s="199">
        <f t="shared" si="25"/>
        <v>0</v>
      </c>
      <c r="AM21" s="172">
        <f t="shared" si="26"/>
        <v>0</v>
      </c>
    </row>
    <row r="22" spans="1:39">
      <c r="A22" s="84" t="str">
        <f>'4. T7 LAINAT '!B32</f>
        <v xml:space="preserve"> Rahoittaja/rahoitettava kohde</v>
      </c>
      <c r="B22" s="91">
        <f>'4. T7 LAINAT '!C32</f>
        <v>0</v>
      </c>
      <c r="C22" s="524">
        <f>'4. T7 LAINAT '!D32</f>
        <v>0</v>
      </c>
      <c r="D22" s="92">
        <f>'4. T7 LAINAT '!E32</f>
        <v>0</v>
      </c>
      <c r="E22" s="689"/>
      <c r="F22" s="690"/>
      <c r="G22" s="690"/>
      <c r="H22" s="690"/>
      <c r="I22" s="691"/>
      <c r="J22" s="219"/>
      <c r="K22" s="220"/>
      <c r="L22" s="199"/>
      <c r="M22" s="199"/>
      <c r="N22" s="199"/>
      <c r="O22" s="172"/>
      <c r="P22" s="173">
        <f>'4. T7 LAINAT '!I32</f>
        <v>0</v>
      </c>
      <c r="Q22" s="220">
        <f>IF(E22=0,IF(J22=0,K22,$C22-1),$C22-2)</f>
        <v>0</v>
      </c>
      <c r="R22" s="199">
        <f>'4. T7 LAINAT '!J32</f>
        <v>0</v>
      </c>
      <c r="S22" s="199">
        <f>N22+P22-R22/2</f>
        <v>0</v>
      </c>
      <c r="T22" s="199">
        <f>N22+P22-R22</f>
        <v>0</v>
      </c>
      <c r="U22" s="172">
        <f>IF($D22*S22&lt;0,0,S22*$D22)</f>
        <v>0</v>
      </c>
      <c r="V22" s="173">
        <f>'4. T7 LAINAT '!L32</f>
        <v>0</v>
      </c>
      <c r="W22" s="220">
        <f t="shared" si="18"/>
        <v>0</v>
      </c>
      <c r="X22" s="199">
        <f>'4. T7 LAINAT '!M32</f>
        <v>0</v>
      </c>
      <c r="Y22" s="199">
        <f t="shared" si="15"/>
        <v>0</v>
      </c>
      <c r="Z22" s="199">
        <f t="shared" si="19"/>
        <v>0</v>
      </c>
      <c r="AA22" s="172">
        <f t="shared" si="20"/>
        <v>0</v>
      </c>
      <c r="AB22" s="173">
        <f>'4. T7 LAINAT '!O32</f>
        <v>0</v>
      </c>
      <c r="AC22" s="220">
        <f t="shared" si="21"/>
        <v>0</v>
      </c>
      <c r="AD22" s="211">
        <f>'4. T7 LAINAT '!P32</f>
        <v>0</v>
      </c>
      <c r="AE22" s="199">
        <f t="shared" si="16"/>
        <v>0</v>
      </c>
      <c r="AF22" s="199">
        <f t="shared" si="22"/>
        <v>0</v>
      </c>
      <c r="AG22" s="172">
        <f t="shared" si="23"/>
        <v>0</v>
      </c>
      <c r="AH22" s="173">
        <v>0</v>
      </c>
      <c r="AI22" s="220">
        <f t="shared" si="24"/>
        <v>0</v>
      </c>
      <c r="AJ22" s="211">
        <f>IF(C22=0,0,IF(B22-R22-X22-AD22-L22&lt;=0,0,IF(AF22&lt;AD22,AF22,'AT2 Lainat,sotum., alv-osto'!AD22)))</f>
        <v>0</v>
      </c>
      <c r="AK22" s="199">
        <f t="shared" si="17"/>
        <v>0</v>
      </c>
      <c r="AL22" s="199">
        <f t="shared" si="25"/>
        <v>0</v>
      </c>
      <c r="AM22" s="172">
        <f t="shared" si="26"/>
        <v>0</v>
      </c>
    </row>
    <row r="23" spans="1:39">
      <c r="A23" s="84">
        <f>'4. T7 LAINAT '!B33</f>
        <v>0</v>
      </c>
      <c r="B23" s="91">
        <f>'4. T7 LAINAT '!C33</f>
        <v>0</v>
      </c>
      <c r="C23" s="524">
        <f>'4. T7 LAINAT '!D33</f>
        <v>0</v>
      </c>
      <c r="D23" s="92">
        <f>'4. T7 LAINAT '!E33</f>
        <v>0</v>
      </c>
      <c r="E23" s="689"/>
      <c r="F23" s="690"/>
      <c r="G23" s="690"/>
      <c r="H23" s="690"/>
      <c r="I23" s="691"/>
      <c r="J23" s="219"/>
      <c r="K23" s="220"/>
      <c r="L23" s="199"/>
      <c r="M23" s="199"/>
      <c r="N23" s="199"/>
      <c r="O23" s="172"/>
      <c r="P23" s="173">
        <f>'4. T7 LAINAT '!I33</f>
        <v>0</v>
      </c>
      <c r="Q23" s="220">
        <f>IF(E23=0,IF(J23=0,K23,$C23-1),$C23-2)</f>
        <v>0</v>
      </c>
      <c r="R23" s="199">
        <f>'4. T7 LAINAT '!J33</f>
        <v>0</v>
      </c>
      <c r="S23" s="199">
        <f>N23+P23-R23/2</f>
        <v>0</v>
      </c>
      <c r="T23" s="199">
        <f>N23+P23-R23</f>
        <v>0</v>
      </c>
      <c r="U23" s="172">
        <f>IF($D23*S23&lt;0,0,S23*$D23)</f>
        <v>0</v>
      </c>
      <c r="V23" s="173">
        <f>'4. T7 LAINAT '!L33</f>
        <v>0</v>
      </c>
      <c r="W23" s="220">
        <f>IF(Q23-1&gt;0,Q23-1,0)</f>
        <v>0</v>
      </c>
      <c r="X23" s="199">
        <f>'4. T7 LAINAT '!M33</f>
        <v>0</v>
      </c>
      <c r="Y23" s="199">
        <f t="shared" si="15"/>
        <v>0</v>
      </c>
      <c r="Z23" s="199">
        <f>T23+V23-X23</f>
        <v>0</v>
      </c>
      <c r="AA23" s="172">
        <f>IF($D23*Y23&lt;0,0,Y23*$D23)</f>
        <v>0</v>
      </c>
      <c r="AB23" s="173">
        <f>'4. T7 LAINAT '!O33</f>
        <v>0</v>
      </c>
      <c r="AC23" s="220">
        <f>IF(W23-1&gt;0,W23-1,0)</f>
        <v>0</v>
      </c>
      <c r="AD23" s="211">
        <f>'4. T7 LAINAT '!P33</f>
        <v>0</v>
      </c>
      <c r="AE23" s="199">
        <f t="shared" si="16"/>
        <v>0</v>
      </c>
      <c r="AF23" s="199">
        <f>Z23+AB23-AD23</f>
        <v>0</v>
      </c>
      <c r="AG23" s="172">
        <f>IF($D23*AE23&lt;0,0,AE23*$D23)</f>
        <v>0</v>
      </c>
      <c r="AH23" s="173">
        <v>0</v>
      </c>
      <c r="AI23" s="220">
        <f>IF(AC23-1&gt;0,AC23-1,0)</f>
        <v>0</v>
      </c>
      <c r="AJ23" s="211">
        <f>IF(C23=0,0,IF(B23-R23-X23-AD23-L23&lt;=0,0,IF(AF23&lt;AD23,AF23,'AT2 Lainat,sotum., alv-osto'!AD23)))</f>
        <v>0</v>
      </c>
      <c r="AK23" s="199">
        <f t="shared" si="17"/>
        <v>0</v>
      </c>
      <c r="AL23" s="199">
        <f>AF23+AH23-AJ23</f>
        <v>0</v>
      </c>
      <c r="AM23" s="172">
        <f>IF($D23*AK23&lt;0,0,AK23*$D23)</f>
        <v>0</v>
      </c>
    </row>
    <row r="24" spans="1:39">
      <c r="A24" s="84">
        <f>'4. T7 LAINAT '!B34</f>
        <v>0</v>
      </c>
      <c r="B24" s="91">
        <f>'4. T7 LAINAT '!C34</f>
        <v>0</v>
      </c>
      <c r="C24" s="524">
        <f>'4. T7 LAINAT '!D34</f>
        <v>0</v>
      </c>
      <c r="D24" s="92">
        <f>'4. T7 LAINAT '!E34</f>
        <v>0</v>
      </c>
      <c r="E24" s="689"/>
      <c r="F24" s="690"/>
      <c r="G24" s="690"/>
      <c r="H24" s="690"/>
      <c r="I24" s="691"/>
      <c r="J24" s="219">
        <f>'4. T7 LAINAT '!F34</f>
        <v>0</v>
      </c>
      <c r="K24" s="220">
        <f>IF(H24&gt;0,IF(C24-1&gt;0,C24-1,C24),C24)</f>
        <v>0</v>
      </c>
      <c r="L24" s="199">
        <f>'4. T7 LAINAT '!G34</f>
        <v>0</v>
      </c>
      <c r="M24" s="199">
        <f>E24-F24+J24-L24/2</f>
        <v>0</v>
      </c>
      <c r="N24" s="199">
        <f>J24-L24</f>
        <v>0</v>
      </c>
      <c r="O24" s="172">
        <f>IF($D24*M24&lt;0,0,M24*$D24)</f>
        <v>0</v>
      </c>
      <c r="P24" s="173">
        <f>'4. T7 LAINAT '!I34</f>
        <v>0</v>
      </c>
      <c r="Q24" s="220">
        <f>IF(E24=0,IF(J24=0,K24,$C24-1),$C24-2)</f>
        <v>0</v>
      </c>
      <c r="R24" s="199">
        <f>'4. T7 LAINAT '!J34</f>
        <v>0</v>
      </c>
      <c r="S24" s="199">
        <f>N24+P24-R24/2</f>
        <v>0</v>
      </c>
      <c r="T24" s="199">
        <f>N24+P24-R24</f>
        <v>0</v>
      </c>
      <c r="U24" s="172">
        <f>IF($D24*S24&lt;0,0,S24*$D24)</f>
        <v>0</v>
      </c>
      <c r="V24" s="173">
        <f>'4. T7 LAINAT '!L34</f>
        <v>0</v>
      </c>
      <c r="W24" s="220">
        <f t="shared" si="18"/>
        <v>0</v>
      </c>
      <c r="X24" s="199">
        <f>'4. T7 LAINAT '!M34</f>
        <v>0</v>
      </c>
      <c r="Y24" s="199">
        <f t="shared" si="15"/>
        <v>0</v>
      </c>
      <c r="Z24" s="199">
        <f t="shared" si="19"/>
        <v>0</v>
      </c>
      <c r="AA24" s="172">
        <f t="shared" si="20"/>
        <v>0</v>
      </c>
      <c r="AB24" s="173">
        <f>'4. T7 LAINAT '!O34</f>
        <v>0</v>
      </c>
      <c r="AC24" s="220">
        <f t="shared" si="21"/>
        <v>0</v>
      </c>
      <c r="AD24" s="211">
        <f>'4. T7 LAINAT '!P34</f>
        <v>0</v>
      </c>
      <c r="AE24" s="199">
        <f t="shared" si="16"/>
        <v>0</v>
      </c>
      <c r="AF24" s="199">
        <f t="shared" si="22"/>
        <v>0</v>
      </c>
      <c r="AG24" s="172">
        <f t="shared" si="23"/>
        <v>0</v>
      </c>
      <c r="AH24" s="173">
        <v>0</v>
      </c>
      <c r="AI24" s="220">
        <f t="shared" si="24"/>
        <v>0</v>
      </c>
      <c r="AJ24" s="211">
        <f>IF(C24=0,0,IF(B24-R24-X24-AD24-L24&lt;=0,0,IF(AF24&lt;AD24,AF24,'AT2 Lainat,sotum., alv-osto'!AD24)))</f>
        <v>0</v>
      </c>
      <c r="AK24" s="199">
        <f t="shared" si="17"/>
        <v>0</v>
      </c>
      <c r="AL24" s="199">
        <f t="shared" si="25"/>
        <v>0</v>
      </c>
      <c r="AM24" s="172">
        <f t="shared" si="26"/>
        <v>0</v>
      </c>
    </row>
    <row r="25" spans="1:39">
      <c r="A25" s="84" t="str">
        <f>'4. T7 LAINAT '!B36</f>
        <v xml:space="preserve"> Rahoittaja/rahoitettava kohde</v>
      </c>
      <c r="B25" s="91">
        <f>'4. T7 LAINAT '!C36</f>
        <v>0</v>
      </c>
      <c r="C25" s="524">
        <f>'4. T7 LAINAT '!D36</f>
        <v>0</v>
      </c>
      <c r="D25" s="92">
        <f>'4. T7 LAINAT '!E36</f>
        <v>0</v>
      </c>
      <c r="E25" s="689"/>
      <c r="F25" s="690"/>
      <c r="G25" s="690"/>
      <c r="H25" s="690"/>
      <c r="I25" s="691"/>
      <c r="J25" s="219">
        <f>'4. T7 LAINAT '!F36</f>
        <v>0</v>
      </c>
      <c r="K25" s="220">
        <f>IF(H25&gt;0,IF(C25-1&gt;0,C25-1,C25),C25)</f>
        <v>0</v>
      </c>
      <c r="L25" s="199">
        <f>'4. T7 LAINAT '!G36</f>
        <v>0</v>
      </c>
      <c r="M25" s="199">
        <f>E25-F25+J25-L25/2</f>
        <v>0</v>
      </c>
      <c r="N25" s="199">
        <f>J25-L25</f>
        <v>0</v>
      </c>
      <c r="O25" s="172">
        <f>IF($D25*M25&lt;0,0,M25*$D25)</f>
        <v>0</v>
      </c>
      <c r="P25" s="173">
        <f>'4. T7 LAINAT '!I36</f>
        <v>0</v>
      </c>
      <c r="Q25" s="220">
        <f>IF(E25=0,IF(J25=0,K25,$C25-1),$C25-2)</f>
        <v>0</v>
      </c>
      <c r="R25" s="199">
        <f>'4. T7 LAINAT '!J36</f>
        <v>0</v>
      </c>
      <c r="S25" s="199">
        <f>N25+P25-R25/2</f>
        <v>0</v>
      </c>
      <c r="T25" s="199">
        <f>N25+P25-R25</f>
        <v>0</v>
      </c>
      <c r="U25" s="172">
        <f>IF($D25*S25&lt;0,0,S25*$D25)</f>
        <v>0</v>
      </c>
      <c r="V25" s="173">
        <f>'4. T7 LAINAT '!L36</f>
        <v>0</v>
      </c>
      <c r="W25" s="220">
        <f>IF(Q25-1&gt;0,Q25-1,0)</f>
        <v>0</v>
      </c>
      <c r="X25" s="199">
        <f>'4. T7 LAINAT '!M36</f>
        <v>0</v>
      </c>
      <c r="Y25" s="199">
        <f t="shared" si="15"/>
        <v>0</v>
      </c>
      <c r="Z25" s="199">
        <f>T25+V25-X25</f>
        <v>0</v>
      </c>
      <c r="AA25" s="172">
        <f>IF($D25*Y25&lt;0,0,Y25*$D25)</f>
        <v>0</v>
      </c>
      <c r="AB25" s="173">
        <f>'4. T7 LAINAT '!O36</f>
        <v>0</v>
      </c>
      <c r="AC25" s="220">
        <f>IF(W25-1&gt;0,W25-1,0)</f>
        <v>0</v>
      </c>
      <c r="AD25" s="211">
        <f>'4. T7 LAINAT '!P36</f>
        <v>0</v>
      </c>
      <c r="AE25" s="199">
        <f t="shared" si="16"/>
        <v>0</v>
      </c>
      <c r="AF25" s="199">
        <f>Z25+AB25-AD25</f>
        <v>0</v>
      </c>
      <c r="AG25" s="172">
        <f>IF($D25*AE25&lt;0,0,AE25*$D25)</f>
        <v>0</v>
      </c>
      <c r="AH25" s="173">
        <v>0</v>
      </c>
      <c r="AI25" s="220">
        <f>IF(AC25-1&gt;0,AC25-1,0)</f>
        <v>0</v>
      </c>
      <c r="AJ25" s="211">
        <f>IF(C25=0,0,IF(B25-R25-X25-AD25-L25&lt;=0,0,IF(AF25&lt;AD25,AF25,'AT2 Lainat,sotum., alv-osto'!AD25)))</f>
        <v>0</v>
      </c>
      <c r="AK25" s="199">
        <f t="shared" si="17"/>
        <v>0</v>
      </c>
      <c r="AL25" s="199">
        <f>AF25+AH25-AJ25</f>
        <v>0</v>
      </c>
      <c r="AM25" s="172">
        <f>IF($D25*AK25&lt;0,0,AK25*$D25)</f>
        <v>0</v>
      </c>
    </row>
    <row r="26" spans="1:39">
      <c r="A26" s="84">
        <f>'4. T7 LAINAT '!B37</f>
        <v>0</v>
      </c>
      <c r="B26" s="91">
        <f>'4. T7 LAINAT '!C37</f>
        <v>0</v>
      </c>
      <c r="C26" s="524">
        <f>'4. T7 LAINAT '!D37</f>
        <v>0</v>
      </c>
      <c r="D26" s="92">
        <f>'4. T7 LAINAT '!E37</f>
        <v>0</v>
      </c>
      <c r="E26" s="689"/>
      <c r="F26" s="690"/>
      <c r="G26" s="690"/>
      <c r="H26" s="690"/>
      <c r="I26" s="691"/>
      <c r="J26" s="219">
        <f>'4. T7 LAINAT '!F37</f>
        <v>0</v>
      </c>
      <c r="K26" s="220">
        <f>IF(H26&gt;0,IF(C26-1&gt;0,C26-1,C26),C26)</f>
        <v>0</v>
      </c>
      <c r="L26" s="199">
        <f>'4. T7 LAINAT '!G37</f>
        <v>0</v>
      </c>
      <c r="M26" s="199">
        <f>E26-F26+J26-L26/2</f>
        <v>0</v>
      </c>
      <c r="N26" s="199">
        <f>J26-L26</f>
        <v>0</v>
      </c>
      <c r="O26" s="172">
        <f>IF($D26*M26&lt;0,0,M26*$D26)</f>
        <v>0</v>
      </c>
      <c r="P26" s="173">
        <f>'4. T7 LAINAT '!I37</f>
        <v>0</v>
      </c>
      <c r="Q26" s="220">
        <f>IF(E26=0,IF(J26=0,K26,$C26-1),$C26-2)</f>
        <v>0</v>
      </c>
      <c r="R26" s="199">
        <f>'4. T7 LAINAT '!J37</f>
        <v>0</v>
      </c>
      <c r="S26" s="199">
        <f>N26+P26-R26/2</f>
        <v>0</v>
      </c>
      <c r="T26" s="199">
        <f>N26+P26-R26</f>
        <v>0</v>
      </c>
      <c r="U26" s="172">
        <f>IF($D26*S26&lt;0,0,S26*$D26)</f>
        <v>0</v>
      </c>
      <c r="V26" s="173">
        <f>'4. T7 LAINAT '!L37</f>
        <v>0</v>
      </c>
      <c r="W26" s="220">
        <f>IF(Q26-1&gt;0,Q26-1,0)</f>
        <v>0</v>
      </c>
      <c r="X26" s="199">
        <f>'4. T7 LAINAT '!M37</f>
        <v>0</v>
      </c>
      <c r="Y26" s="199">
        <f t="shared" si="15"/>
        <v>0</v>
      </c>
      <c r="Z26" s="199">
        <f>T26+V26-X26</f>
        <v>0</v>
      </c>
      <c r="AA26" s="172">
        <f>IF($D26*Y26&lt;0,0,Y26*$D26)</f>
        <v>0</v>
      </c>
      <c r="AB26" s="173">
        <f>'4. T7 LAINAT '!O37</f>
        <v>0</v>
      </c>
      <c r="AC26" s="220">
        <f>IF(W26-1&gt;0,W26-1,0)</f>
        <v>0</v>
      </c>
      <c r="AD26" s="211">
        <f>'4. T7 LAINAT '!P37</f>
        <v>0</v>
      </c>
      <c r="AE26" s="199">
        <f t="shared" si="16"/>
        <v>0</v>
      </c>
      <c r="AF26" s="199">
        <f>Z26+AB26-AD26</f>
        <v>0</v>
      </c>
      <c r="AG26" s="172">
        <f>IF($D26*AE26&lt;0,0,AE26*$D26)</f>
        <v>0</v>
      </c>
      <c r="AH26" s="173">
        <v>0</v>
      </c>
      <c r="AI26" s="220">
        <f>IF(AC26-1&gt;0,AC26-1,0)</f>
        <v>0</v>
      </c>
      <c r="AJ26" s="211">
        <f>IF(C26=0,0,IF(B26-R26-X26-AD26-L26&lt;=0,0,IF(AF26&lt;AD26,AF26,'AT2 Lainat,sotum., alv-osto'!AD26)))</f>
        <v>0</v>
      </c>
      <c r="AK26" s="199">
        <f t="shared" si="17"/>
        <v>0</v>
      </c>
      <c r="AL26" s="199">
        <f>AF26+AH26-AJ26</f>
        <v>0</v>
      </c>
      <c r="AM26" s="172">
        <f>IF($D26*AK26&lt;0,0,AK26*$D26)</f>
        <v>0</v>
      </c>
    </row>
    <row r="27" spans="1:39">
      <c r="A27" s="84">
        <f>'4. T7 LAINAT '!B38</f>
        <v>0</v>
      </c>
      <c r="B27" s="91">
        <f>'4. T7 LAINAT '!C38</f>
        <v>0</v>
      </c>
      <c r="C27" s="524">
        <f>'4. T7 LAINAT '!D38</f>
        <v>0</v>
      </c>
      <c r="D27" s="92">
        <f>'4. T7 LAINAT '!E38</f>
        <v>0</v>
      </c>
      <c r="E27" s="689"/>
      <c r="F27" s="690"/>
      <c r="G27" s="690"/>
      <c r="H27" s="690"/>
      <c r="I27" s="691"/>
      <c r="J27" s="219">
        <f>'4. T7 LAINAT '!F38</f>
        <v>0</v>
      </c>
      <c r="K27" s="220">
        <f>IF(H27&gt;0,IF(C27-1&gt;0,C27-1,C27),C27)</f>
        <v>0</v>
      </c>
      <c r="L27" s="199"/>
      <c r="M27" s="199"/>
      <c r="N27" s="199"/>
      <c r="O27" s="172"/>
      <c r="P27" s="173"/>
      <c r="Q27" s="220"/>
      <c r="R27" s="199"/>
      <c r="S27" s="199"/>
      <c r="T27" s="199"/>
      <c r="U27" s="172"/>
      <c r="V27" s="173"/>
      <c r="W27" s="220"/>
      <c r="X27" s="199"/>
      <c r="Y27" s="199">
        <f t="shared" si="15"/>
        <v>0</v>
      </c>
      <c r="Z27" s="199"/>
      <c r="AA27" s="172"/>
      <c r="AB27" s="173">
        <f>'4. T7 LAINAT '!O38</f>
        <v>0</v>
      </c>
      <c r="AC27" s="220">
        <f t="shared" si="21"/>
        <v>0</v>
      </c>
      <c r="AD27" s="537">
        <f>'4. T7 LAINAT '!P38</f>
        <v>0</v>
      </c>
      <c r="AE27" s="199">
        <f t="shared" si="16"/>
        <v>0</v>
      </c>
      <c r="AF27" s="199">
        <f t="shared" si="22"/>
        <v>0</v>
      </c>
      <c r="AG27" s="172">
        <f t="shared" si="23"/>
        <v>0</v>
      </c>
      <c r="AH27" s="173">
        <v>0</v>
      </c>
      <c r="AI27" s="220">
        <f t="shared" si="24"/>
        <v>0</v>
      </c>
      <c r="AJ27" s="537">
        <f>IF(C27=0,0,IF(B27-R27-X27-AD27-L27&lt;=0,0,IF(AF27&lt;AD27,AF27,'AT2 Lainat,sotum., alv-osto'!AD27)))</f>
        <v>0</v>
      </c>
      <c r="AK27" s="199">
        <f t="shared" si="17"/>
        <v>0</v>
      </c>
      <c r="AL27" s="199">
        <f t="shared" si="25"/>
        <v>0</v>
      </c>
      <c r="AM27" s="172">
        <f t="shared" si="26"/>
        <v>0</v>
      </c>
    </row>
    <row r="28" spans="1:39" s="2" customFormat="1">
      <c r="A28" s="2" t="s">
        <v>132</v>
      </c>
      <c r="B28" s="291">
        <f>SUM(B16:B27)</f>
        <v>0</v>
      </c>
      <c r="C28" s="292"/>
      <c r="E28" s="174"/>
      <c r="F28" s="174">
        <f>SUM(F7:F27)</f>
        <v>0</v>
      </c>
      <c r="G28" s="174"/>
      <c r="H28" s="174"/>
      <c r="I28" s="174"/>
      <c r="J28" s="291">
        <f>SUM(J16:J27)</f>
        <v>0</v>
      </c>
      <c r="K28" s="174" t="s">
        <v>0</v>
      </c>
      <c r="L28" s="291">
        <f>SUM(L16:L27)</f>
        <v>0</v>
      </c>
      <c r="M28" s="291">
        <f>SUM(M16:M27)</f>
        <v>0</v>
      </c>
      <c r="N28" s="291">
        <f>SUM(N16:N27)</f>
        <v>0</v>
      </c>
      <c r="O28" s="291">
        <f>SUM(O16:O27)</f>
        <v>0</v>
      </c>
      <c r="P28" s="291">
        <f>SUM(P16:P27)</f>
        <v>0</v>
      </c>
      <c r="Q28" s="174" t="s">
        <v>0</v>
      </c>
      <c r="R28" s="291">
        <f>SUM(R16:R27)</f>
        <v>0</v>
      </c>
      <c r="S28" s="291">
        <f>SUM(S16:S27)</f>
        <v>0</v>
      </c>
      <c r="T28" s="291">
        <f>SUM(T16:T27)</f>
        <v>0</v>
      </c>
      <c r="U28" s="291">
        <f>SUM(U16:U27)</f>
        <v>0</v>
      </c>
      <c r="V28" s="291">
        <f>SUM(V16:V27)</f>
        <v>0</v>
      </c>
      <c r="W28" s="174"/>
      <c r="X28" s="291">
        <f t="shared" ref="X28:AH28" si="27">SUM(X16:X27)</f>
        <v>0</v>
      </c>
      <c r="Y28" s="291">
        <f t="shared" si="27"/>
        <v>0</v>
      </c>
      <c r="Z28" s="291">
        <f t="shared" si="27"/>
        <v>0</v>
      </c>
      <c r="AA28" s="291">
        <f t="shared" si="27"/>
        <v>0</v>
      </c>
      <c r="AB28" s="291">
        <f t="shared" si="27"/>
        <v>0</v>
      </c>
      <c r="AC28" s="291">
        <f t="shared" si="27"/>
        <v>0</v>
      </c>
      <c r="AD28" s="291">
        <f t="shared" si="27"/>
        <v>0</v>
      </c>
      <c r="AE28" s="291">
        <f t="shared" si="27"/>
        <v>0</v>
      </c>
      <c r="AF28" s="291">
        <f t="shared" si="27"/>
        <v>0</v>
      </c>
      <c r="AG28" s="291">
        <f t="shared" si="27"/>
        <v>0</v>
      </c>
      <c r="AH28" s="291">
        <f t="shared" si="27"/>
        <v>0</v>
      </c>
      <c r="AI28" s="174"/>
      <c r="AJ28" s="291">
        <f>SUM(AJ16:AJ27)</f>
        <v>0</v>
      </c>
      <c r="AK28" s="174"/>
      <c r="AL28" s="174">
        <f>SUM(AL15:AL27)</f>
        <v>0</v>
      </c>
      <c r="AM28" s="174"/>
    </row>
    <row r="29" spans="1:39" s="2" customFormat="1" ht="12.9" thickBot="1">
      <c r="B29" s="291"/>
      <c r="C29" s="292"/>
      <c r="E29" s="291"/>
      <c r="F29" s="174"/>
      <c r="G29" s="6" t="s">
        <v>125</v>
      </c>
      <c r="H29" s="291"/>
      <c r="I29" s="291"/>
      <c r="J29" s="291"/>
      <c r="K29" s="174"/>
      <c r="L29" s="6" t="s">
        <v>125</v>
      </c>
      <c r="M29" s="291"/>
      <c r="N29" s="291"/>
      <c r="O29" s="291"/>
      <c r="P29" s="291"/>
      <c r="Q29" s="174"/>
      <c r="R29" s="6" t="s">
        <v>125</v>
      </c>
      <c r="S29" s="291"/>
      <c r="T29" s="291"/>
      <c r="U29" s="291"/>
      <c r="V29" s="291"/>
      <c r="W29" s="174"/>
      <c r="X29" s="6" t="s">
        <v>125</v>
      </c>
      <c r="Y29" s="291"/>
      <c r="Z29" s="291"/>
      <c r="AA29" s="291"/>
      <c r="AB29" s="291"/>
      <c r="AC29" s="291"/>
      <c r="AD29" s="6" t="s">
        <v>125</v>
      </c>
      <c r="AE29" s="291"/>
      <c r="AF29" s="291"/>
      <c r="AG29" s="291"/>
      <c r="AH29" s="291"/>
      <c r="AI29" s="174"/>
      <c r="AJ29" s="6" t="s">
        <v>125</v>
      </c>
      <c r="AK29" s="174"/>
      <c r="AL29" s="174"/>
      <c r="AM29" s="174"/>
    </row>
    <row r="30" spans="1:39" s="2" customFormat="1">
      <c r="A30" s="402" t="s">
        <v>303</v>
      </c>
      <c r="B30" s="403"/>
      <c r="C30" s="404"/>
      <c r="D30" s="402"/>
      <c r="E30" s="405" t="s">
        <v>129</v>
      </c>
      <c r="F30" s="406"/>
      <c r="G30" s="407" t="s">
        <v>310</v>
      </c>
      <c r="H30" s="408" t="s">
        <v>308</v>
      </c>
      <c r="I30" s="408" t="s">
        <v>309</v>
      </c>
      <c r="J30" s="403"/>
      <c r="K30" s="406"/>
      <c r="L30" s="407" t="s">
        <v>310</v>
      </c>
      <c r="M30" s="408" t="s">
        <v>308</v>
      </c>
      <c r="N30" s="408" t="s">
        <v>309</v>
      </c>
      <c r="O30" s="403"/>
      <c r="P30" s="405" t="s">
        <v>129</v>
      </c>
      <c r="Q30" s="406"/>
      <c r="R30" s="407" t="s">
        <v>310</v>
      </c>
      <c r="S30" s="408" t="s">
        <v>308</v>
      </c>
      <c r="T30" s="408" t="s">
        <v>309</v>
      </c>
      <c r="U30" s="403"/>
      <c r="V30" s="405" t="s">
        <v>129</v>
      </c>
      <c r="W30" s="406"/>
      <c r="X30" s="407" t="s">
        <v>310</v>
      </c>
      <c r="Y30" s="408" t="s">
        <v>308</v>
      </c>
      <c r="Z30" s="408" t="s">
        <v>309</v>
      </c>
      <c r="AA30" s="403"/>
      <c r="AB30" s="405" t="s">
        <v>129</v>
      </c>
      <c r="AC30" s="403"/>
      <c r="AD30" s="407" t="s">
        <v>310</v>
      </c>
      <c r="AE30" s="408" t="s">
        <v>308</v>
      </c>
      <c r="AF30" s="408" t="s">
        <v>309</v>
      </c>
      <c r="AG30" s="403"/>
      <c r="AH30" s="405" t="s">
        <v>129</v>
      </c>
      <c r="AI30" s="406"/>
      <c r="AJ30" s="407" t="s">
        <v>310</v>
      </c>
      <c r="AK30" s="408" t="s">
        <v>308</v>
      </c>
      <c r="AL30" s="408" t="s">
        <v>309</v>
      </c>
      <c r="AM30" s="406"/>
    </row>
    <row r="31" spans="1:39" s="2" customFormat="1">
      <c r="A31" s="402" t="s">
        <v>304</v>
      </c>
      <c r="B31" s="403"/>
      <c r="C31" s="404"/>
      <c r="D31" s="402"/>
      <c r="E31" s="406"/>
      <c r="F31" s="406"/>
      <c r="G31" s="406"/>
      <c r="H31" s="406">
        <f>L14</f>
        <v>0</v>
      </c>
      <c r="I31" s="406">
        <f>H14-H31</f>
        <v>0</v>
      </c>
      <c r="J31" s="403"/>
      <c r="K31" s="406"/>
      <c r="L31" s="402"/>
      <c r="M31" s="403">
        <f>R14</f>
        <v>0</v>
      </c>
      <c r="N31" s="403">
        <f>T14</f>
        <v>0</v>
      </c>
      <c r="O31" s="403"/>
      <c r="P31" s="403"/>
      <c r="Q31" s="406"/>
      <c r="R31" s="402"/>
      <c r="S31" s="403">
        <f>R14</f>
        <v>0</v>
      </c>
      <c r="T31" s="403">
        <f>Z14</f>
        <v>0</v>
      </c>
      <c r="U31" s="403"/>
      <c r="V31" s="403"/>
      <c r="W31" s="406"/>
      <c r="X31" s="402"/>
      <c r="Y31" s="403">
        <f>X14</f>
        <v>0</v>
      </c>
      <c r="Z31" s="403">
        <f>AF14</f>
        <v>0</v>
      </c>
      <c r="AA31" s="403"/>
      <c r="AB31" s="403"/>
      <c r="AC31" s="403"/>
      <c r="AD31" s="402"/>
      <c r="AE31" s="403">
        <f>AD14</f>
        <v>0</v>
      </c>
      <c r="AF31" s="403">
        <f>AL14</f>
        <v>0</v>
      </c>
      <c r="AG31" s="403"/>
      <c r="AH31" s="403"/>
      <c r="AI31" s="406"/>
      <c r="AJ31" s="402"/>
      <c r="AK31" s="403">
        <f>AJ14</f>
        <v>0</v>
      </c>
      <c r="AL31" s="403"/>
      <c r="AM31" s="406"/>
    </row>
    <row r="32" spans="1:39" s="2" customFormat="1">
      <c r="A32" s="409" t="s">
        <v>127</v>
      </c>
      <c r="B32" s="403"/>
      <c r="C32" s="404"/>
      <c r="D32" s="402"/>
      <c r="E32" s="406"/>
      <c r="F32" s="406"/>
      <c r="G32" s="406"/>
      <c r="H32" s="406"/>
      <c r="I32" s="406"/>
      <c r="J32" s="403"/>
      <c r="K32" s="406"/>
      <c r="L32" s="403"/>
      <c r="M32" s="403"/>
      <c r="N32" s="403"/>
      <c r="O32" s="403"/>
      <c r="P32" s="403"/>
      <c r="Q32" s="406"/>
      <c r="R32" s="403"/>
      <c r="S32" s="403"/>
      <c r="T32" s="403"/>
      <c r="U32" s="403"/>
      <c r="V32" s="403"/>
      <c r="W32" s="406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6"/>
      <c r="AJ32" s="406"/>
      <c r="AK32" s="406"/>
      <c r="AL32" s="406"/>
      <c r="AM32" s="406"/>
    </row>
    <row r="33" spans="1:39" s="2" customFormat="1">
      <c r="A33" s="410" t="str">
        <f>A16</f>
        <v xml:space="preserve"> Rahoittaja/rahoitettava kohde</v>
      </c>
      <c r="B33" s="403"/>
      <c r="C33" s="404"/>
      <c r="D33" s="402"/>
      <c r="E33" s="406"/>
      <c r="F33" s="406"/>
      <c r="G33" s="406"/>
      <c r="H33" s="406"/>
      <c r="I33" s="406"/>
      <c r="J33" s="403">
        <f>J16</f>
        <v>0</v>
      </c>
      <c r="K33" s="406"/>
      <c r="L33" s="403">
        <f>IF(J33&gt;0,L16,0)</f>
        <v>0</v>
      </c>
      <c r="M33" s="403">
        <f>IF(N16&gt;0,R16,0)</f>
        <v>0</v>
      </c>
      <c r="N33" s="403">
        <f>N16</f>
        <v>0</v>
      </c>
      <c r="O33" s="403"/>
      <c r="P33" s="403">
        <f>P16</f>
        <v>0</v>
      </c>
      <c r="Q33" s="406"/>
      <c r="R33" s="403">
        <f>IF(P33&gt;0,R16,0)</f>
        <v>0</v>
      </c>
      <c r="S33" s="403">
        <f>IF(T16&gt;0,X16,0)</f>
        <v>0</v>
      </c>
      <c r="T33" s="403"/>
      <c r="U33" s="403"/>
      <c r="V33" s="403">
        <f>V16</f>
        <v>0</v>
      </c>
      <c r="W33" s="406"/>
      <c r="X33" s="403">
        <f>IF(V33&gt;0,X16,0)</f>
        <v>0</v>
      </c>
      <c r="Y33" s="403">
        <f>IF(Z16&gt;0,AD16,0)</f>
        <v>0</v>
      </c>
      <c r="Z33" s="403"/>
      <c r="AA33" s="403"/>
      <c r="AB33" s="403">
        <f>AB16</f>
        <v>0</v>
      </c>
      <c r="AC33" s="403"/>
      <c r="AD33" s="403">
        <f>IF(AB33&gt;0,AD16,0)</f>
        <v>0</v>
      </c>
      <c r="AE33" s="403">
        <f>IF(AF16&gt;0,AJ16,0)</f>
        <v>0</v>
      </c>
      <c r="AF33" s="403"/>
      <c r="AG33" s="403"/>
      <c r="AH33" s="403">
        <f>AH16</f>
        <v>0</v>
      </c>
      <c r="AI33" s="406"/>
      <c r="AJ33" s="403">
        <f>IF(AH33&gt;0,AJ16,0)</f>
        <v>0</v>
      </c>
      <c r="AK33" s="403">
        <f>IF(AL16&gt;0,AP16,0)</f>
        <v>0</v>
      </c>
      <c r="AL33" s="403"/>
      <c r="AM33" s="406"/>
    </row>
    <row r="34" spans="1:39" s="2" customFormat="1">
      <c r="A34" s="410">
        <f>A24</f>
        <v>0</v>
      </c>
      <c r="B34" s="403"/>
      <c r="C34" s="404"/>
      <c r="D34" s="402"/>
      <c r="E34" s="406"/>
      <c r="F34" s="406"/>
      <c r="G34" s="406"/>
      <c r="H34" s="406"/>
      <c r="I34" s="406"/>
      <c r="J34" s="403">
        <f>J24</f>
        <v>0</v>
      </c>
      <c r="K34" s="406"/>
      <c r="L34" s="403">
        <f>IF(J34&gt;0,L24,0)</f>
        <v>0</v>
      </c>
      <c r="M34" s="403">
        <f>IF(N24&gt;0,R24,0)</f>
        <v>0</v>
      </c>
      <c r="N34" s="403">
        <f>N24</f>
        <v>0</v>
      </c>
      <c r="O34" s="403"/>
      <c r="P34" s="403">
        <f>P24</f>
        <v>0</v>
      </c>
      <c r="Q34" s="406"/>
      <c r="R34" s="403">
        <f>IF(P34&gt;0,R24,0)</f>
        <v>0</v>
      </c>
      <c r="S34" s="403">
        <f>IF(T24&gt;0,X24,0)</f>
        <v>0</v>
      </c>
      <c r="T34" s="403"/>
      <c r="U34" s="403"/>
      <c r="V34" s="403">
        <f>V24</f>
        <v>0</v>
      </c>
      <c r="W34" s="406"/>
      <c r="X34" s="403">
        <f>IF(V34&gt;0,X24,0)</f>
        <v>0</v>
      </c>
      <c r="Y34" s="403">
        <f>IF(Z24&gt;0,AD24,0)</f>
        <v>0</v>
      </c>
      <c r="Z34" s="403"/>
      <c r="AA34" s="403"/>
      <c r="AB34" s="403">
        <f>AB24</f>
        <v>0</v>
      </c>
      <c r="AC34" s="403"/>
      <c r="AD34" s="403">
        <f>IF(AB34&gt;0,AD24,0)</f>
        <v>0</v>
      </c>
      <c r="AE34" s="403">
        <f>IF(AF24&gt;0,AJ24,0)</f>
        <v>0</v>
      </c>
      <c r="AF34" s="403"/>
      <c r="AG34" s="403"/>
      <c r="AH34" s="403">
        <f>AH24</f>
        <v>0</v>
      </c>
      <c r="AI34" s="406"/>
      <c r="AJ34" s="403">
        <f>IF(AH34&gt;0,AJ24,0)</f>
        <v>0</v>
      </c>
      <c r="AK34" s="403">
        <f>IF(AL24&gt;0,AP24,0)</f>
        <v>0</v>
      </c>
      <c r="AL34" s="403"/>
      <c r="AM34" s="406"/>
    </row>
    <row r="35" spans="1:39" s="2" customFormat="1">
      <c r="A35" s="410">
        <f>A26</f>
        <v>0</v>
      </c>
      <c r="B35" s="403"/>
      <c r="C35" s="404"/>
      <c r="D35" s="402"/>
      <c r="E35" s="406"/>
      <c r="F35" s="406"/>
      <c r="G35" s="406"/>
      <c r="H35" s="406"/>
      <c r="I35" s="406"/>
      <c r="J35" s="403">
        <f>J26</f>
        <v>0</v>
      </c>
      <c r="K35" s="406"/>
      <c r="L35" s="403">
        <f>IF(J35&gt;0,L26,0)</f>
        <v>0</v>
      </c>
      <c r="M35" s="403">
        <f>IF(N26&gt;0,R26,0)</f>
        <v>0</v>
      </c>
      <c r="N35" s="403">
        <f>N26</f>
        <v>0</v>
      </c>
      <c r="O35" s="403"/>
      <c r="P35" s="403">
        <f>P26</f>
        <v>0</v>
      </c>
      <c r="Q35" s="406"/>
      <c r="R35" s="403">
        <f>IF(P35&gt;0,R26,0)</f>
        <v>0</v>
      </c>
      <c r="S35" s="403">
        <f>IF(T26&gt;0,X26,0)</f>
        <v>0</v>
      </c>
      <c r="T35" s="403"/>
      <c r="U35" s="403"/>
      <c r="V35" s="403">
        <f>V26</f>
        <v>0</v>
      </c>
      <c r="W35" s="406"/>
      <c r="X35" s="403">
        <f>IF(V35&gt;0,X26,0)</f>
        <v>0</v>
      </c>
      <c r="Y35" s="403">
        <f>IF(Z26&gt;0,AD26,0)</f>
        <v>0</v>
      </c>
      <c r="Z35" s="403"/>
      <c r="AA35" s="403"/>
      <c r="AB35" s="403">
        <f>AB26</f>
        <v>0</v>
      </c>
      <c r="AC35" s="403"/>
      <c r="AD35" s="403">
        <f>IF(AB35&gt;0,AD26,0)</f>
        <v>0</v>
      </c>
      <c r="AE35" s="403">
        <f>IF(AF26&gt;0,AJ26,0)</f>
        <v>0</v>
      </c>
      <c r="AF35" s="403"/>
      <c r="AG35" s="403"/>
      <c r="AH35" s="403">
        <f>AH26</f>
        <v>0</v>
      </c>
      <c r="AI35" s="406"/>
      <c r="AJ35" s="403">
        <f>IF(AH35&gt;0,AJ26,0)</f>
        <v>0</v>
      </c>
      <c r="AK35" s="403">
        <f>IF(AL26&gt;0,AP26,0)</f>
        <v>0</v>
      </c>
      <c r="AL35" s="403"/>
      <c r="AM35" s="406"/>
    </row>
    <row r="36" spans="1:39" s="2" customFormat="1">
      <c r="A36" s="410">
        <f>A27</f>
        <v>0</v>
      </c>
      <c r="B36" s="403"/>
      <c r="C36" s="404"/>
      <c r="D36" s="402"/>
      <c r="E36" s="406"/>
      <c r="F36" s="406"/>
      <c r="G36" s="406"/>
      <c r="H36" s="406"/>
      <c r="I36" s="406"/>
      <c r="J36" s="403">
        <f>J27</f>
        <v>0</v>
      </c>
      <c r="K36" s="406"/>
      <c r="L36" s="403">
        <f>IF(J36&gt;0,L27,0)</f>
        <v>0</v>
      </c>
      <c r="M36" s="403">
        <f>IF(N27&gt;0,R27,0)</f>
        <v>0</v>
      </c>
      <c r="N36" s="403">
        <f>N27</f>
        <v>0</v>
      </c>
      <c r="O36" s="403"/>
      <c r="P36" s="403">
        <f>P27</f>
        <v>0</v>
      </c>
      <c r="Q36" s="406"/>
      <c r="R36" s="403">
        <f>IF(P36&gt;0,R27,0)</f>
        <v>0</v>
      </c>
      <c r="S36" s="403">
        <f>IF(T27&gt;0,X27,0)</f>
        <v>0</v>
      </c>
      <c r="T36" s="403"/>
      <c r="U36" s="403"/>
      <c r="V36" s="403">
        <f>V27</f>
        <v>0</v>
      </c>
      <c r="W36" s="406"/>
      <c r="X36" s="403">
        <f>IF(V36&gt;0,X27,0)</f>
        <v>0</v>
      </c>
      <c r="Y36" s="403">
        <f>IF(Z27&gt;0,AD27,0)</f>
        <v>0</v>
      </c>
      <c r="Z36" s="403"/>
      <c r="AA36" s="403"/>
      <c r="AB36" s="403">
        <f>AB27</f>
        <v>0</v>
      </c>
      <c r="AC36" s="403"/>
      <c r="AD36" s="403">
        <f>IF(AB36&gt;0,AD27,0)</f>
        <v>0</v>
      </c>
      <c r="AE36" s="403">
        <f>IF(AF27&gt;0,AJ27,0)</f>
        <v>0</v>
      </c>
      <c r="AF36" s="403"/>
      <c r="AG36" s="403"/>
      <c r="AH36" s="403">
        <f>AH27</f>
        <v>0</v>
      </c>
      <c r="AI36" s="406"/>
      <c r="AJ36" s="403">
        <f>IF(AH36&gt;0,AJ27,0)</f>
        <v>0</v>
      </c>
      <c r="AK36" s="403">
        <f>IF(AL27&gt;0,AP27,0)</f>
        <v>0</v>
      </c>
      <c r="AL36" s="403"/>
      <c r="AM36" s="406"/>
    </row>
    <row r="37" spans="1:39" s="2" customFormat="1" ht="12.9" thickBot="1">
      <c r="A37" s="402" t="s">
        <v>312</v>
      </c>
      <c r="B37" s="403"/>
      <c r="C37" s="404"/>
      <c r="D37" s="402"/>
      <c r="E37" s="406"/>
      <c r="F37" s="406"/>
      <c r="G37" s="406"/>
      <c r="H37" s="406"/>
      <c r="I37" s="406"/>
      <c r="J37" s="403">
        <f>SUM(J33:J36)</f>
        <v>0</v>
      </c>
      <c r="K37" s="406"/>
      <c r="L37" s="403">
        <f>SUM(L31:L36)</f>
        <v>0</v>
      </c>
      <c r="M37" s="403">
        <f>SUM(M31:M36)</f>
        <v>0</v>
      </c>
      <c r="N37" s="403">
        <f>SUM(N31:N36)</f>
        <v>0</v>
      </c>
      <c r="O37" s="403"/>
      <c r="P37" s="403">
        <f>SUM(P33:P36)</f>
        <v>0</v>
      </c>
      <c r="Q37" s="406"/>
      <c r="R37" s="403">
        <f>SUM(R30:R36)</f>
        <v>0</v>
      </c>
      <c r="S37" s="403">
        <f>SUM(S31:S36)</f>
        <v>0</v>
      </c>
      <c r="T37" s="403"/>
      <c r="U37" s="403"/>
      <c r="V37" s="403">
        <f>SUM(V33:V36)</f>
        <v>0</v>
      </c>
      <c r="W37" s="406"/>
      <c r="X37" s="403">
        <f>SUM(X30:X36)</f>
        <v>0</v>
      </c>
      <c r="Y37" s="403">
        <f>SUM(Y31:Y36)</f>
        <v>0</v>
      </c>
      <c r="Z37" s="403">
        <f>SUM(Z31:Z36)</f>
        <v>0</v>
      </c>
      <c r="AA37" s="403"/>
      <c r="AB37" s="403">
        <f>SUM(AB33:AB36)</f>
        <v>0</v>
      </c>
      <c r="AC37" s="403"/>
      <c r="AD37" s="403">
        <f>SUM(AD30:AD36)</f>
        <v>0</v>
      </c>
      <c r="AE37" s="403">
        <f>SUM(AE31:AE36)</f>
        <v>0</v>
      </c>
      <c r="AF37" s="403">
        <f>SUM(AF31:AF36)</f>
        <v>0</v>
      </c>
      <c r="AG37" s="403"/>
      <c r="AH37" s="403">
        <f>SUM(AH33:AH36)</f>
        <v>0</v>
      </c>
      <c r="AI37" s="406"/>
      <c r="AJ37" s="403">
        <f>SUM(AJ30:AJ36)</f>
        <v>0</v>
      </c>
      <c r="AK37" s="406"/>
      <c r="AL37" s="403">
        <f>SUM(AL31:AL36)</f>
        <v>0</v>
      </c>
      <c r="AM37" s="406"/>
    </row>
    <row r="38" spans="1:39" s="2" customFormat="1">
      <c r="C38" s="6" t="s">
        <v>136</v>
      </c>
      <c r="E38" s="2250">
        <f>E3</f>
        <v>0</v>
      </c>
      <c r="F38" s="2251"/>
      <c r="G38" s="2251"/>
      <c r="H38" s="2251"/>
      <c r="I38" s="2252"/>
      <c r="J38" s="2250" t="str">
        <f>J3</f>
        <v>Ennuste 1</v>
      </c>
      <c r="K38" s="2251"/>
      <c r="L38" s="2251"/>
      <c r="M38" s="2251"/>
      <c r="N38" s="2251"/>
      <c r="O38" s="2252"/>
      <c r="P38" s="2250" t="str">
        <f>P3</f>
        <v>Ennuste 2</v>
      </c>
      <c r="Q38" s="2251"/>
      <c r="R38" s="2251"/>
      <c r="S38" s="2251"/>
      <c r="T38" s="2251"/>
      <c r="U38" s="2252"/>
      <c r="V38" s="2250" t="str">
        <f>V3</f>
        <v>Ennuste 3</v>
      </c>
      <c r="W38" s="2251"/>
      <c r="X38" s="2251"/>
      <c r="Y38" s="2251"/>
      <c r="Z38" s="2251"/>
      <c r="AA38" s="2252"/>
      <c r="AB38" s="2250" t="s">
        <v>257</v>
      </c>
      <c r="AC38" s="2251"/>
      <c r="AD38" s="2251"/>
      <c r="AE38" s="2251"/>
      <c r="AF38" s="2251"/>
      <c r="AG38" s="2252"/>
      <c r="AH38" s="2250" t="s">
        <v>282</v>
      </c>
      <c r="AI38" s="2251"/>
      <c r="AJ38" s="2251"/>
      <c r="AK38" s="2251"/>
      <c r="AL38" s="2251"/>
      <c r="AM38" s="2252"/>
    </row>
    <row r="39" spans="1:39" ht="12.9" thickBot="1">
      <c r="B39" s="6" t="s">
        <v>128</v>
      </c>
      <c r="C39" s="6" t="s">
        <v>135</v>
      </c>
      <c r="D39" s="6" t="s">
        <v>126</v>
      </c>
      <c r="E39" s="2253">
        <f>E4</f>
        <v>0</v>
      </c>
      <c r="F39" s="2254"/>
      <c r="G39" s="2254"/>
      <c r="H39" s="2254"/>
      <c r="I39" s="2255"/>
      <c r="J39" s="2253">
        <f>J4</f>
        <v>2025</v>
      </c>
      <c r="K39" s="2254"/>
      <c r="L39" s="2254"/>
      <c r="M39" s="2254"/>
      <c r="N39" s="2254"/>
      <c r="O39" s="2255"/>
      <c r="P39" s="2259">
        <f>P4</f>
        <v>2026</v>
      </c>
      <c r="Q39" s="2260"/>
      <c r="R39" s="2260"/>
      <c r="S39" s="2260"/>
      <c r="T39" s="2260"/>
      <c r="U39" s="2261"/>
      <c r="V39" s="2259">
        <f>V4</f>
        <v>2027</v>
      </c>
      <c r="W39" s="2260"/>
      <c r="X39" s="2260"/>
      <c r="Y39" s="2260"/>
      <c r="Z39" s="2260"/>
      <c r="AA39" s="2261"/>
      <c r="AB39" s="2259">
        <f>AB4</f>
        <v>2028</v>
      </c>
      <c r="AC39" s="2260"/>
      <c r="AD39" s="2260"/>
      <c r="AE39" s="2260"/>
      <c r="AF39" s="2260"/>
      <c r="AG39" s="2261"/>
      <c r="AH39" s="2259">
        <f>AH4</f>
        <v>2029</v>
      </c>
      <c r="AI39" s="2260"/>
      <c r="AJ39" s="2260"/>
      <c r="AK39" s="2260"/>
      <c r="AL39" s="2260"/>
      <c r="AM39" s="2261"/>
    </row>
    <row r="40" spans="1:39" s="2" customFormat="1">
      <c r="A40" s="261" t="s">
        <v>227</v>
      </c>
      <c r="B40" s="262">
        <f>'4. T7 LAINAT '!C19</f>
        <v>0</v>
      </c>
      <c r="C40" s="170">
        <f>IF(12*'4. T7 LAINAT '!D19-12&lt;0,0,12*'4. T7 LAINAT '!D19-12)</f>
        <v>0</v>
      </c>
      <c r="D40" s="263">
        <f>'4. T7 LAINAT '!E19</f>
        <v>0</v>
      </c>
      <c r="E40" s="264"/>
      <c r="F40" s="265"/>
      <c r="G40" s="264"/>
      <c r="H40" s="262">
        <f>B40</f>
        <v>0</v>
      </c>
      <c r="I40" s="264"/>
      <c r="J40" s="262"/>
      <c r="K40" s="262"/>
      <c r="L40" s="262">
        <f>'4. T7 LAINAT '!F19</f>
        <v>0</v>
      </c>
      <c r="M40" s="262"/>
      <c r="N40" s="262">
        <f>H40</f>
        <v>0</v>
      </c>
      <c r="O40" s="262">
        <f>IF($C40&lt;P41,0,IF($D40=0,0,-CUMIPMT($D40/12,$C40,$B40+L40,P41,P42,0)))</f>
        <v>0</v>
      </c>
      <c r="P40" s="262"/>
      <c r="Q40" s="262"/>
      <c r="R40" s="262">
        <f>IF($C40&lt;P41,0,IF($D40=0,0,-CUMPRINC($D40/12,$C40,$B40,P41,P42,0)))</f>
        <v>0</v>
      </c>
      <c r="S40" s="262"/>
      <c r="T40" s="262">
        <f>IF(R40=0,0,N40-R40)</f>
        <v>0</v>
      </c>
      <c r="U40" s="262">
        <f>IF($C40&lt;P41,0,IF($D40=0,0,-CUMIPMT($D40/12,$C40,$B40,P41,P42,0)))</f>
        <v>0</v>
      </c>
      <c r="V40" s="262"/>
      <c r="W40" s="262"/>
      <c r="X40" s="262">
        <f>IF($C40&lt;V41,0,IF($D40=0,0,-CUMPRINC($D40/12,$C40,$B40,V41,V42,0)))</f>
        <v>0</v>
      </c>
      <c r="Y40" s="262"/>
      <c r="Z40" s="262">
        <f>IF(X40=0,0,T40-X40)</f>
        <v>0</v>
      </c>
      <c r="AA40" s="262">
        <f>IF($C40&lt;V41,0,IF($D40=0,0,-CUMIPMT($D40/12,$C40,$B40,V41,V42,0)))</f>
        <v>0</v>
      </c>
      <c r="AB40" s="262"/>
      <c r="AC40" s="262"/>
      <c r="AD40" s="262">
        <f>IF($C40&lt;AB41,0,IF($D40=0,0,-CUMPRINC($D40/12,$C40,$B40,AB41,AB42,0)))</f>
        <v>0</v>
      </c>
      <c r="AE40" s="262"/>
      <c r="AF40" s="262">
        <f>IF(AD40=0,0,Z40-AD40)</f>
        <v>0</v>
      </c>
      <c r="AG40" s="266">
        <f>IF($C40&lt;AB41,0,IF($D40=0,0,-CUMIPMT($D40/12,$C40,$B40,AB41,AB42,0)))</f>
        <v>0</v>
      </c>
      <c r="AH40" s="262"/>
      <c r="AI40" s="262"/>
      <c r="AJ40" s="262">
        <f>IF($C40&lt;AH41,0,IF($D40=0,0,-CUMPRINC($D40/12,$C40,$B40,AH41,AH42,0)))</f>
        <v>0</v>
      </c>
      <c r="AK40" s="262"/>
      <c r="AL40" s="262">
        <f>IF(AJ40=0,0,AF40-AJ40)</f>
        <v>0</v>
      </c>
      <c r="AM40" s="266">
        <f>IF($C40&lt;AH41,0,IF($D40=0,0,-CUMIPMT($D40/12,$C40,$B40,AH41,AH42,0)))</f>
        <v>0</v>
      </c>
    </row>
    <row r="41" spans="1:39">
      <c r="A41" s="267" t="s">
        <v>228</v>
      </c>
      <c r="F41" s="97"/>
      <c r="P41" s="37">
        <v>1</v>
      </c>
      <c r="Q41" s="103"/>
      <c r="R41" s="37"/>
      <c r="S41" s="37"/>
      <c r="T41" s="37"/>
      <c r="U41" s="37"/>
      <c r="V41" s="37">
        <v>13</v>
      </c>
      <c r="W41" s="103"/>
      <c r="X41" s="37"/>
      <c r="Y41" s="37"/>
      <c r="Z41" s="37"/>
      <c r="AA41" s="37"/>
      <c r="AB41" s="37">
        <v>25</v>
      </c>
      <c r="AC41" s="37"/>
      <c r="AD41" s="37"/>
      <c r="AE41" s="37"/>
      <c r="AF41" s="37"/>
      <c r="AG41" s="37"/>
      <c r="AH41">
        <v>37</v>
      </c>
      <c r="AM41" s="171"/>
    </row>
    <row r="42" spans="1:39">
      <c r="A42" s="267" t="s">
        <v>229</v>
      </c>
      <c r="F42" s="97"/>
      <c r="P42" s="37">
        <v>12</v>
      </c>
      <c r="Q42" s="103"/>
      <c r="R42" s="37"/>
      <c r="S42" s="37"/>
      <c r="T42" s="37"/>
      <c r="U42" s="37"/>
      <c r="V42" s="37">
        <v>24</v>
      </c>
      <c r="W42" s="103"/>
      <c r="X42" s="37"/>
      <c r="Y42" s="37"/>
      <c r="Z42" s="37"/>
      <c r="AA42" s="37"/>
      <c r="AB42" s="37">
        <v>36</v>
      </c>
      <c r="AC42" s="37"/>
      <c r="AD42" s="37"/>
      <c r="AE42" s="37"/>
      <c r="AF42" s="37"/>
      <c r="AG42" s="37"/>
      <c r="AH42">
        <v>48</v>
      </c>
      <c r="AM42" s="171"/>
    </row>
    <row r="43" spans="1:39" ht="12.9" thickBot="1">
      <c r="A43" s="268" t="s">
        <v>279</v>
      </c>
      <c r="B43" s="186"/>
      <c r="C43" s="269"/>
      <c r="D43" s="186"/>
      <c r="E43" s="186"/>
      <c r="F43" s="270"/>
      <c r="G43" s="186"/>
      <c r="H43" s="271">
        <f>SUM(H40:H42)</f>
        <v>0</v>
      </c>
      <c r="I43" s="186"/>
      <c r="J43" s="271"/>
      <c r="K43" s="272"/>
      <c r="L43" s="271">
        <f>SUM(L40:L42)</f>
        <v>0</v>
      </c>
      <c r="M43" s="271"/>
      <c r="N43" s="271">
        <f>SUM(N40:N42)</f>
        <v>0</v>
      </c>
      <c r="O43" s="271">
        <f>SUM(O40:O42)</f>
        <v>0</v>
      </c>
      <c r="P43" s="271"/>
      <c r="Q43" s="272"/>
      <c r="R43" s="271">
        <f>SUM(R40:R42)</f>
        <v>0</v>
      </c>
      <c r="S43" s="271"/>
      <c r="T43" s="271">
        <f>SUM(T40:T42)</f>
        <v>0</v>
      </c>
      <c r="U43" s="271">
        <f>SUM(U40:U42)</f>
        <v>0</v>
      </c>
      <c r="V43" s="271"/>
      <c r="W43" s="271"/>
      <c r="X43" s="271">
        <f>SUM(X40:X42)</f>
        <v>0</v>
      </c>
      <c r="Y43" s="271"/>
      <c r="Z43" s="271">
        <f>SUM(Z40:Z42)</f>
        <v>0</v>
      </c>
      <c r="AA43" s="271">
        <f>SUM(AA40:AA42)</f>
        <v>0</v>
      </c>
      <c r="AB43" s="186"/>
      <c r="AC43" s="186"/>
      <c r="AD43" s="271">
        <f>SUM(AD40:AD42)</f>
        <v>0</v>
      </c>
      <c r="AE43" s="186"/>
      <c r="AF43" s="271">
        <f>SUM(AF40:AF42)</f>
        <v>0</v>
      </c>
      <c r="AG43" s="271">
        <f>SUM(AG40:AG42)</f>
        <v>0</v>
      </c>
      <c r="AH43" s="186"/>
      <c r="AI43" s="186"/>
      <c r="AJ43" s="271">
        <f>SUM(AJ40:AJ42)</f>
        <v>0</v>
      </c>
      <c r="AK43" s="186"/>
      <c r="AL43" s="271">
        <f>SUM(AL40:AL42)</f>
        <v>0</v>
      </c>
      <c r="AM43" s="271">
        <f>SUM(AM40:AM42)</f>
        <v>0</v>
      </c>
    </row>
    <row r="44" spans="1:39">
      <c r="A44" s="169" t="s">
        <v>231</v>
      </c>
      <c r="B44" s="37">
        <f>'4. T7 LAINAT '!C41</f>
        <v>0</v>
      </c>
      <c r="C44" s="170">
        <f>12*'4. T7 LAINAT '!D41</f>
        <v>0</v>
      </c>
      <c r="D44" s="188">
        <f>'4. T7 LAINAT '!E41</f>
        <v>0</v>
      </c>
      <c r="F44" s="97"/>
      <c r="J44" s="103">
        <f>'4. T7 LAINAT '!F41</f>
        <v>0</v>
      </c>
      <c r="K44" s="174"/>
      <c r="L44" s="174">
        <f>IF($D44=0,0,-CUMPRINC($D44/12,$C44,$B44,J45,J46,0))</f>
        <v>0</v>
      </c>
      <c r="M44" s="174"/>
      <c r="N44" s="174">
        <f>J44-L44</f>
        <v>0</v>
      </c>
      <c r="O44" s="262">
        <f>IF($C44&lt;J45,0,IF($D44=0,0,-CUMIPMT($D44/12,$C44,$B44,J45,J46,0)))</f>
        <v>0</v>
      </c>
      <c r="P44" s="174"/>
      <c r="Q44" s="174"/>
      <c r="R44" s="262">
        <f>IF($C44&lt;P45,0,IF($D44=0,0,-CUMPRINC($D44/12,$C44,$B44,P45,P46,0)))</f>
        <v>0</v>
      </c>
      <c r="S44" s="174"/>
      <c r="T44" s="174">
        <f>N44-R44</f>
        <v>0</v>
      </c>
      <c r="U44" s="262">
        <f>IF($C44&lt;P45,0,IF($D44=0,0,-CUMIPMT($D44/12,$C44,$B44,P45,P46,0)))</f>
        <v>0</v>
      </c>
      <c r="V44" s="174"/>
      <c r="W44" s="174"/>
      <c r="X44" s="262">
        <f>IF($C44&lt;V45,0,IF($D44=0,0,-CUMPRINC($D44/12,$C44,$B44,V45,V46,0)))</f>
        <v>0</v>
      </c>
      <c r="Y44" s="174"/>
      <c r="Z44" s="174">
        <f>T44-X44</f>
        <v>0</v>
      </c>
      <c r="AA44" s="262">
        <f>IF($C44&lt;V45,0,IF($D44=0,0,-CUMIPMT($D44/12,$C44,$B44,V45,V46,0)))</f>
        <v>0</v>
      </c>
      <c r="AB44" s="174"/>
      <c r="AC44" s="174"/>
      <c r="AD44" s="262">
        <f>IF($C44&lt;AB45,0,IF($D44=0,0,-CUMPRINC($D44/12,$C44,$B44,AB45,AB46,0)))</f>
        <v>0</v>
      </c>
      <c r="AE44" s="174"/>
      <c r="AF44" s="174">
        <f>Z44-AD44</f>
        <v>0</v>
      </c>
      <c r="AG44" s="266">
        <f>IF($C44&lt;AB45,0,IF($D44=0,0,-CUMIPMT($D44/12,$C44,$B44,AB45,AB46,0)))</f>
        <v>0</v>
      </c>
      <c r="AH44" s="174"/>
      <c r="AI44" s="174"/>
      <c r="AJ44" s="262">
        <f>IF($C44&lt;AH45,0,IF($D44=0,0,-CUMPRINC($D44/12,$C44,$B44,AH45,AH46,0)))</f>
        <v>0</v>
      </c>
      <c r="AK44" s="174"/>
      <c r="AL44" s="174">
        <f>AF44-AJ44</f>
        <v>0</v>
      </c>
      <c r="AM44" s="266">
        <f>IF($C44&lt;AH45,0,IF($D44=0,0,-CUMIPMT($D44/12,$C44,$B44,AH45,AH46,0)))</f>
        <v>0</v>
      </c>
    </row>
    <row r="45" spans="1:39">
      <c r="A45" s="190" t="s">
        <v>228</v>
      </c>
      <c r="F45" s="97"/>
      <c r="J45" s="37">
        <v>1</v>
      </c>
      <c r="K45" s="103"/>
      <c r="L45" s="37"/>
      <c r="M45" s="37"/>
      <c r="N45" s="37"/>
      <c r="O45" s="37"/>
      <c r="P45" s="37">
        <v>13</v>
      </c>
      <c r="Q45" s="103"/>
      <c r="R45" s="37"/>
      <c r="S45" s="37"/>
      <c r="T45" s="37"/>
      <c r="U45" s="37"/>
      <c r="V45" s="37">
        <v>25</v>
      </c>
      <c r="W45" s="37"/>
      <c r="X45" s="37"/>
      <c r="Y45" s="37"/>
      <c r="Z45" s="37"/>
      <c r="AA45" s="37"/>
      <c r="AB45">
        <v>37</v>
      </c>
      <c r="AH45">
        <v>49</v>
      </c>
    </row>
    <row r="46" spans="1:39" ht="12.9" thickBot="1">
      <c r="A46" s="190" t="s">
        <v>229</v>
      </c>
      <c r="F46" s="97"/>
      <c r="J46" s="37">
        <v>12</v>
      </c>
      <c r="K46" s="103"/>
      <c r="L46" s="37"/>
      <c r="M46" s="37"/>
      <c r="N46" s="37"/>
      <c r="O46" s="37"/>
      <c r="P46" s="37">
        <v>24</v>
      </c>
      <c r="Q46" s="103"/>
      <c r="R46" s="37"/>
      <c r="S46" s="37"/>
      <c r="T46" s="37"/>
      <c r="U46" s="37"/>
      <c r="V46" s="37">
        <v>36</v>
      </c>
      <c r="W46" s="37"/>
      <c r="X46" s="37"/>
      <c r="Y46" s="37"/>
      <c r="Z46" s="37"/>
      <c r="AA46" s="37"/>
      <c r="AB46">
        <v>48</v>
      </c>
      <c r="AH46">
        <v>60</v>
      </c>
    </row>
    <row r="47" spans="1:39" s="2" customFormat="1">
      <c r="A47" s="169" t="s">
        <v>232</v>
      </c>
      <c r="B47" s="37">
        <f>'4. T7 LAINAT '!C42</f>
        <v>0</v>
      </c>
      <c r="C47" s="86">
        <f>'4. T7 LAINAT '!D42*12</f>
        <v>0</v>
      </c>
      <c r="D47" s="188">
        <f>'4. T7 LAINAT '!E42</f>
        <v>0</v>
      </c>
      <c r="F47" s="189"/>
      <c r="J47" s="103">
        <f>'4. T7 LAINAT '!F42</f>
        <v>0</v>
      </c>
      <c r="K47" s="174"/>
      <c r="L47" s="174">
        <f>IF($D47=0,0,IF($J47=0,0,-CUMPRINC($D47/12,$C47,$B47,P48,P49,0)))</f>
        <v>0</v>
      </c>
      <c r="M47" s="174"/>
      <c r="N47" s="174"/>
      <c r="O47" s="174">
        <v>0</v>
      </c>
      <c r="P47" s="103">
        <f>'4. T7 LAINAT '!I42</f>
        <v>0</v>
      </c>
      <c r="Q47" s="174"/>
      <c r="R47" s="262">
        <f>IF($C47&lt;P48,0,IF($D47=0,0,-CUMPRINC($D47/12,$C47,$B47,P48,P49,0)))</f>
        <v>0</v>
      </c>
      <c r="S47" s="191"/>
      <c r="T47" s="192">
        <f>P47-R47</f>
        <v>0</v>
      </c>
      <c r="U47" s="262">
        <f>IF($C47&lt;P48,0,IF($D47=0,0,-CUMIPMT($D47/12,$C47,$B47,P48,P49,0)))</f>
        <v>0</v>
      </c>
      <c r="V47" s="174"/>
      <c r="W47" s="174"/>
      <c r="X47" s="262">
        <f>IF($C47&lt;V48,0,IF($D47=0,0,-CUMPRINC($D47/12,$C47,$B47,V48,V49,0)))</f>
        <v>0</v>
      </c>
      <c r="Y47" s="174"/>
      <c r="Z47" s="174">
        <f>T47-X47</f>
        <v>0</v>
      </c>
      <c r="AA47" s="262">
        <f>IF($C47&lt;V48,0,IF($D47=0,0,-CUMIPMT($D47/12,$C47,$B47,V48,V49,0)))</f>
        <v>0</v>
      </c>
      <c r="AB47" s="174"/>
      <c r="AC47" s="174"/>
      <c r="AD47" s="262">
        <f>IF($C47&lt;AB48,0,IF($D47=0,0,-CUMPRINC($D47/12,$C47,$B47,AB48,AB49,0)))</f>
        <v>0</v>
      </c>
      <c r="AE47" s="174"/>
      <c r="AF47" s="174">
        <f>Z47-AD47</f>
        <v>0</v>
      </c>
      <c r="AG47" s="266">
        <f>IF($C47&lt;AB48,0,IF($D47=0,0,-CUMIPMT($D47/12,$C47,$B47,AB48,AB49,0)))</f>
        <v>0</v>
      </c>
      <c r="AH47" s="174"/>
      <c r="AI47" s="174"/>
      <c r="AJ47" s="262">
        <f>IF($C47&lt;AH48,0,IF($D47=0,0,-CUMPRINC($D47/12,$C47,$B47,AH48,AH49,0)))</f>
        <v>0</v>
      </c>
      <c r="AK47" s="174"/>
      <c r="AL47" s="174">
        <f>AF47-AJ47</f>
        <v>0</v>
      </c>
      <c r="AM47" s="266">
        <f>IF($C47&lt;AH48,0,IF($D47=0,0,-CUMIPMT($D47/12,$C47,$B47,AH48,AH49,0)))</f>
        <v>0</v>
      </c>
    </row>
    <row r="48" spans="1:39">
      <c r="A48" s="190" t="s">
        <v>228</v>
      </c>
      <c r="F48" s="97"/>
      <c r="J48" s="37"/>
      <c r="K48" s="37"/>
      <c r="L48" s="37"/>
      <c r="M48" s="37"/>
      <c r="N48" s="37"/>
      <c r="O48" s="37"/>
      <c r="P48" s="37">
        <v>1</v>
      </c>
      <c r="Q48" s="103"/>
      <c r="R48" s="37"/>
      <c r="S48" s="37"/>
      <c r="T48" s="37"/>
      <c r="U48" s="37"/>
      <c r="V48" s="37">
        <v>13</v>
      </c>
      <c r="W48" s="103"/>
      <c r="X48" s="37"/>
      <c r="Y48" s="37"/>
      <c r="Z48" s="37"/>
      <c r="AA48" s="37"/>
      <c r="AB48" s="88">
        <v>25</v>
      </c>
      <c r="AH48" s="88">
        <v>37</v>
      </c>
    </row>
    <row r="49" spans="1:39" ht="12.9" thickBot="1">
      <c r="A49" s="190" t="s">
        <v>229</v>
      </c>
      <c r="F49" s="97"/>
      <c r="J49" s="37"/>
      <c r="K49" s="37"/>
      <c r="L49" s="37"/>
      <c r="M49" s="37"/>
      <c r="N49" s="37"/>
      <c r="O49" s="37"/>
      <c r="P49" s="37">
        <v>12</v>
      </c>
      <c r="Q49" s="103"/>
      <c r="R49" s="37"/>
      <c r="S49" s="37"/>
      <c r="T49" s="37"/>
      <c r="U49" s="37"/>
      <c r="V49" s="37">
        <v>24</v>
      </c>
      <c r="W49" s="103"/>
      <c r="X49" s="37"/>
      <c r="Y49" s="37"/>
      <c r="Z49" s="37"/>
      <c r="AA49" s="37"/>
      <c r="AB49" s="88">
        <v>36</v>
      </c>
      <c r="AH49" s="88">
        <v>48</v>
      </c>
    </row>
    <row r="50" spans="1:39">
      <c r="A50" s="169" t="s">
        <v>233</v>
      </c>
      <c r="B50" s="37">
        <f>'4. T7 LAINAT '!C43</f>
        <v>0</v>
      </c>
      <c r="C50" s="86">
        <f>'4. T7 LAINAT '!D43*12</f>
        <v>0</v>
      </c>
      <c r="D50" s="188">
        <f>'4. T7 LAINAT '!E43</f>
        <v>0</v>
      </c>
      <c r="F50" s="97"/>
      <c r="J50" s="37"/>
      <c r="K50" s="37"/>
      <c r="L50" s="37"/>
      <c r="M50" s="37"/>
      <c r="N50" s="37"/>
      <c r="O50" s="37"/>
      <c r="P50" s="37"/>
      <c r="Q50" s="103"/>
      <c r="R50" s="37"/>
      <c r="S50" s="37"/>
      <c r="T50" s="37"/>
      <c r="U50" s="37"/>
      <c r="V50" s="37">
        <f>'4. T7 LAINAT '!L43</f>
        <v>0</v>
      </c>
      <c r="W50" s="103"/>
      <c r="X50" s="262">
        <f>IF($C50&lt;V51,0,IF($D50=0,0,-CUMPRINC($D50/12,$C50,$B50,V51,V52,0)))</f>
        <v>0</v>
      </c>
      <c r="Y50" s="174"/>
      <c r="Z50" s="174">
        <f>V50-X50</f>
        <v>0</v>
      </c>
      <c r="AA50" s="262">
        <f>IF($C50&lt;V51,0,IF($D50=0,0,-CUMIPMT($D50/12,$C50,$B50,V51,V52,0)))</f>
        <v>0</v>
      </c>
      <c r="AB50" s="174"/>
      <c r="AC50" s="174"/>
      <c r="AD50" s="262">
        <f>IF($C50&lt;AB51,0,IF($D50=0,0,-CUMPRINC($D50/12,$C50,$B50,AB51,AB52,0)))</f>
        <v>0</v>
      </c>
      <c r="AE50" s="174"/>
      <c r="AF50" s="174">
        <f>Z50-AD50</f>
        <v>0</v>
      </c>
      <c r="AG50" s="266">
        <f>IF($C50&lt;AB51,0,IF($D50=0,0,-CUMIPMT($D50/12,$C50,$B50,AB51,AB52,0)))</f>
        <v>0</v>
      </c>
      <c r="AH50" s="174"/>
      <c r="AI50" s="174"/>
      <c r="AJ50" s="262">
        <f>IF($C50&lt;AH51,0,IF($D50=0,0,-CUMPRINC($D50/12,$C50,$B50,AH51,AH52,0)))</f>
        <v>0</v>
      </c>
      <c r="AK50" s="174"/>
      <c r="AL50" s="174">
        <f>AF50-AJ50</f>
        <v>0</v>
      </c>
      <c r="AM50" s="266">
        <f>IF($C50&lt;AH51,0,IF($D50=0,0,-CUMIPMT($D50/12,$C50,$B50,AH51,AH52,0)))</f>
        <v>0</v>
      </c>
    </row>
    <row r="51" spans="1:39">
      <c r="A51" s="190" t="s">
        <v>228</v>
      </c>
      <c r="F51" s="97"/>
      <c r="J51" s="37"/>
      <c r="K51" s="37"/>
      <c r="L51" s="37"/>
      <c r="M51" s="37"/>
      <c r="N51" s="37"/>
      <c r="O51" s="37"/>
      <c r="P51" s="37"/>
      <c r="Q51" s="103"/>
      <c r="R51" s="37"/>
      <c r="S51" s="37"/>
      <c r="T51" s="37"/>
      <c r="U51" s="37"/>
      <c r="V51" s="37">
        <v>1</v>
      </c>
      <c r="W51" s="103"/>
      <c r="X51" s="37"/>
      <c r="Y51" s="37"/>
      <c r="Z51" s="37"/>
      <c r="AA51" s="37"/>
      <c r="AB51" s="37">
        <v>13</v>
      </c>
      <c r="AH51" s="37">
        <v>25</v>
      </c>
    </row>
    <row r="52" spans="1:39" ht="12.9" thickBot="1">
      <c r="A52" s="190" t="s">
        <v>229</v>
      </c>
      <c r="F52" s="97"/>
      <c r="J52" s="37"/>
      <c r="K52" s="37"/>
      <c r="L52" s="37"/>
      <c r="M52" s="37"/>
      <c r="N52" s="37"/>
      <c r="O52" s="37"/>
      <c r="P52" s="37"/>
      <c r="Q52" s="103"/>
      <c r="R52" s="37"/>
      <c r="S52" s="37"/>
      <c r="T52" s="37"/>
      <c r="U52" s="37"/>
      <c r="V52" s="37">
        <v>12</v>
      </c>
      <c r="W52" s="103"/>
      <c r="X52" s="37"/>
      <c r="Y52" s="37"/>
      <c r="Z52" s="37"/>
      <c r="AA52" s="37"/>
      <c r="AB52" s="37">
        <v>24</v>
      </c>
      <c r="AH52" s="37">
        <v>36</v>
      </c>
    </row>
    <row r="53" spans="1:39">
      <c r="A53" s="169" t="s">
        <v>283</v>
      </c>
      <c r="B53" s="37">
        <f>'4. T7 LAINAT '!C44</f>
        <v>0</v>
      </c>
      <c r="C53" s="37">
        <f>'4. T7 LAINAT '!D44*12</f>
        <v>0</v>
      </c>
      <c r="D53" s="188">
        <f>'4. T7 LAINAT '!E44</f>
        <v>0</v>
      </c>
      <c r="F53" s="97"/>
      <c r="J53" s="37"/>
      <c r="K53" s="37"/>
      <c r="L53" s="37"/>
      <c r="M53" s="37"/>
      <c r="N53" s="37"/>
      <c r="O53" s="37"/>
      <c r="P53" s="37"/>
      <c r="Q53" s="103"/>
      <c r="R53" s="37"/>
      <c r="S53" s="37"/>
      <c r="T53" s="37"/>
      <c r="U53" s="37"/>
      <c r="V53" s="37" t="e">
        <f>'4. T7 LAINAT '!#REF!</f>
        <v>#REF!</v>
      </c>
      <c r="W53" s="103"/>
      <c r="X53" s="174">
        <f>IF($D53=0,0,IF(V53=0,0,-CUMPRINC($D53/12,$C53,$B53,V54,V55,0)))</f>
        <v>0</v>
      </c>
      <c r="Y53" s="174"/>
      <c r="Z53" s="174" t="e">
        <f>V53-X53</f>
        <v>#REF!</v>
      </c>
      <c r="AA53" s="174">
        <f>IF($D53=0,0,IF($V53=0,0,-CUMIPMT($D53/12,$C53,$B53,V54,V55,0)))</f>
        <v>0</v>
      </c>
      <c r="AB53" s="174">
        <f>'4. T7 LAINAT '!O44</f>
        <v>0</v>
      </c>
      <c r="AC53" s="174"/>
      <c r="AD53" s="262">
        <f>IF($C53&lt;AB54,0,IF($D53=0,0,-CUMPRINC($D53/12,$C53,$B53,AB54,AB55,0)))</f>
        <v>0</v>
      </c>
      <c r="AE53" s="174"/>
      <c r="AF53" s="174">
        <f>AB53-AD53</f>
        <v>0</v>
      </c>
      <c r="AG53" s="266">
        <f>IF($C53&lt;AB54,0,IF($D53=0,0,-CUMIPMT($D53/12,$C53,$B53,AB54,AB55,0)))</f>
        <v>0</v>
      </c>
      <c r="AH53" s="174"/>
      <c r="AI53" s="174"/>
      <c r="AJ53" s="262">
        <f>IF($C53&lt;AH54,0,IF($D53=0,0,-CUMPRINC($D53/12,$C53,$B53,AH54,AH55,0)))</f>
        <v>0</v>
      </c>
      <c r="AK53" s="174"/>
      <c r="AL53" s="174">
        <f>AF53-AJ53</f>
        <v>0</v>
      </c>
      <c r="AM53" s="266">
        <f>IF($C53&lt;AH54,0,IF($D53=0,0,-CUMIPMT($D53/12,$C53,$B53,AH54,AH55,0)))</f>
        <v>0</v>
      </c>
    </row>
    <row r="54" spans="1:39">
      <c r="A54" s="190" t="s">
        <v>228</v>
      </c>
      <c r="F54" s="97"/>
      <c r="J54" s="37"/>
      <c r="K54" s="37"/>
      <c r="L54" s="37"/>
      <c r="M54" s="37"/>
      <c r="N54" s="37"/>
      <c r="O54" s="37"/>
      <c r="P54" s="37"/>
      <c r="Q54" s="103"/>
      <c r="R54" s="37"/>
      <c r="S54" s="37"/>
      <c r="T54" s="37"/>
      <c r="U54" s="37"/>
      <c r="V54" s="37"/>
      <c r="W54" s="103"/>
      <c r="X54" s="37"/>
      <c r="Y54" s="37"/>
      <c r="Z54" s="37"/>
      <c r="AA54" s="37"/>
      <c r="AB54" s="37">
        <v>1</v>
      </c>
      <c r="AH54" s="37">
        <v>13</v>
      </c>
    </row>
    <row r="55" spans="1:39">
      <c r="A55" s="190" t="s">
        <v>229</v>
      </c>
      <c r="F55" s="97"/>
      <c r="J55" s="37"/>
      <c r="K55" s="37"/>
      <c r="L55" s="37"/>
      <c r="M55" s="37"/>
      <c r="N55" s="37"/>
      <c r="O55" s="37"/>
      <c r="P55" s="37"/>
      <c r="Q55" s="103"/>
      <c r="R55" s="37"/>
      <c r="S55" s="37"/>
      <c r="T55" s="37"/>
      <c r="U55" s="37"/>
      <c r="V55" s="37"/>
      <c r="W55" s="103"/>
      <c r="X55" s="37"/>
      <c r="Y55" s="37"/>
      <c r="Z55" s="37"/>
      <c r="AA55" s="37"/>
      <c r="AB55" s="37">
        <v>12</v>
      </c>
      <c r="AH55" s="37">
        <v>24</v>
      </c>
    </row>
    <row r="56" spans="1:39" s="2" customFormat="1" ht="12.9" thickBot="1">
      <c r="A56" s="203" t="s">
        <v>256</v>
      </c>
      <c r="B56" s="204"/>
      <c r="C56" s="205"/>
      <c r="D56" s="204"/>
      <c r="E56" s="204"/>
      <c r="F56" s="206"/>
      <c r="G56" s="204"/>
      <c r="H56" s="204"/>
      <c r="I56" s="204"/>
      <c r="J56" s="299">
        <f>J44+J47+J50+J53</f>
        <v>0</v>
      </c>
      <c r="K56" s="299"/>
      <c r="L56" s="299">
        <f>SUM(L44:L52)</f>
        <v>0</v>
      </c>
      <c r="M56" s="299"/>
      <c r="N56" s="299">
        <f>SUM(N44:N52)</f>
        <v>0</v>
      </c>
      <c r="O56" s="299">
        <f>SUM(O44:O52)</f>
        <v>0</v>
      </c>
      <c r="P56" s="299">
        <f>P44+P47+P50+P53</f>
        <v>0</v>
      </c>
      <c r="Q56" s="299"/>
      <c r="R56" s="299">
        <f>SUM(R44:R52)</f>
        <v>0</v>
      </c>
      <c r="S56" s="299"/>
      <c r="T56" s="299">
        <f>SUM(T44:T52)</f>
        <v>0</v>
      </c>
      <c r="U56" s="299">
        <f>SUM(U44:U52)</f>
        <v>0</v>
      </c>
      <c r="V56" s="299" t="e">
        <f>V44+V47+V50+V53</f>
        <v>#REF!</v>
      </c>
      <c r="W56" s="299"/>
      <c r="X56" s="299">
        <f>SUM(X44:X53)</f>
        <v>0</v>
      </c>
      <c r="Y56" s="299"/>
      <c r="Z56" s="299">
        <f>SUM(Z44:Z52)</f>
        <v>0</v>
      </c>
      <c r="AA56" s="299">
        <f>SUM(AA44:AA52)</f>
        <v>0</v>
      </c>
      <c r="AB56" s="299">
        <f>AB44+AB47+AB50+AB53</f>
        <v>0</v>
      </c>
      <c r="AC56" s="299"/>
      <c r="AD56" s="299">
        <f>AD44+AD47+AD50+AD53</f>
        <v>0</v>
      </c>
      <c r="AE56" s="299"/>
      <c r="AF56" s="299">
        <f>AF44+AF47+AF50+AF53</f>
        <v>0</v>
      </c>
      <c r="AG56" s="299">
        <f>AG44+AG47+AG50+AG53</f>
        <v>0</v>
      </c>
      <c r="AH56" s="299">
        <f>AH44+AH47+AH50+AH53</f>
        <v>0</v>
      </c>
      <c r="AI56" s="299"/>
      <c r="AJ56" s="299">
        <f>AJ44+AJ47+AJ50+AJ53</f>
        <v>0</v>
      </c>
      <c r="AK56" s="299"/>
      <c r="AL56" s="299">
        <f>AL44+AL47+AL50+AL53</f>
        <v>0</v>
      </c>
      <c r="AM56" s="299">
        <f>AM44+AM47+AM50+AM53</f>
        <v>0</v>
      </c>
    </row>
    <row r="57" spans="1:39" s="2" customFormat="1" ht="12.9" thickBot="1">
      <c r="A57" s="169"/>
      <c r="C57" s="292"/>
      <c r="E57" s="2270">
        <f>E4</f>
        <v>0</v>
      </c>
      <c r="F57" s="2270"/>
      <c r="G57" s="2270"/>
      <c r="H57" s="2270"/>
      <c r="I57" s="2271"/>
      <c r="J57" s="2256">
        <f>J4</f>
        <v>2025</v>
      </c>
      <c r="K57" s="2257"/>
      <c r="L57" s="2257"/>
      <c r="M57" s="2257"/>
      <c r="N57" s="2257"/>
      <c r="O57" s="2258"/>
      <c r="P57" s="2256">
        <f>P4</f>
        <v>2026</v>
      </c>
      <c r="Q57" s="2257"/>
      <c r="R57" s="2257"/>
      <c r="S57" s="2257"/>
      <c r="T57" s="2257"/>
      <c r="U57" s="2258"/>
      <c r="V57" s="2256">
        <f>V4</f>
        <v>2027</v>
      </c>
      <c r="W57" s="2257"/>
      <c r="X57" s="2257"/>
      <c r="Y57" s="2257"/>
      <c r="Z57" s="2257"/>
      <c r="AA57" s="2258"/>
      <c r="AB57" s="2256">
        <f>AB4</f>
        <v>2028</v>
      </c>
      <c r="AC57" s="2257"/>
      <c r="AD57" s="2257"/>
      <c r="AE57" s="2257"/>
      <c r="AF57" s="2257"/>
      <c r="AG57" s="2258"/>
      <c r="AH57" s="2256">
        <f>AH4</f>
        <v>2029</v>
      </c>
      <c r="AI57" s="2257"/>
      <c r="AJ57" s="2257"/>
      <c r="AK57" s="2257"/>
      <c r="AL57" s="2257"/>
      <c r="AM57" s="2258"/>
    </row>
    <row r="58" spans="1:39" s="2" customFormat="1">
      <c r="A58" s="169"/>
      <c r="C58" s="292"/>
      <c r="E58" s="291"/>
      <c r="F58" s="174"/>
      <c r="G58" s="6" t="s">
        <v>125</v>
      </c>
      <c r="H58" s="291"/>
      <c r="I58" s="291"/>
      <c r="J58" s="306"/>
      <c r="K58" s="262"/>
      <c r="L58" s="307" t="s">
        <v>125</v>
      </c>
      <c r="M58" s="308"/>
      <c r="N58" s="308"/>
      <c r="O58" s="266"/>
      <c r="P58" s="306"/>
      <c r="Q58" s="262"/>
      <c r="R58" s="307" t="s">
        <v>125</v>
      </c>
      <c r="S58" s="308"/>
      <c r="T58" s="308"/>
      <c r="U58" s="266"/>
      <c r="V58" s="306"/>
      <c r="W58" s="262"/>
      <c r="X58" s="307" t="s">
        <v>125</v>
      </c>
      <c r="Y58" s="308"/>
      <c r="Z58" s="308"/>
      <c r="AA58" s="266"/>
      <c r="AB58" s="306"/>
      <c r="AC58" s="262"/>
      <c r="AD58" s="307" t="s">
        <v>125</v>
      </c>
      <c r="AE58" s="308"/>
      <c r="AF58" s="308"/>
      <c r="AG58" s="266"/>
      <c r="AH58" s="306"/>
      <c r="AI58" s="262"/>
      <c r="AJ58" s="307" t="s">
        <v>125</v>
      </c>
      <c r="AK58" s="308"/>
      <c r="AL58" s="308"/>
      <c r="AM58" s="266"/>
    </row>
    <row r="59" spans="1:39" s="2" customFormat="1" ht="12.9" thickBot="1">
      <c r="A59" s="169" t="s">
        <v>311</v>
      </c>
      <c r="C59" s="292"/>
      <c r="E59" s="296" t="s">
        <v>129</v>
      </c>
      <c r="F59" s="174"/>
      <c r="G59" s="6" t="s">
        <v>310</v>
      </c>
      <c r="H59" s="90" t="s">
        <v>308</v>
      </c>
      <c r="I59" s="90" t="s">
        <v>309</v>
      </c>
      <c r="J59" s="309"/>
      <c r="K59" s="310"/>
      <c r="L59" s="311" t="s">
        <v>310</v>
      </c>
      <c r="M59" s="312" t="s">
        <v>308</v>
      </c>
      <c r="N59" s="312" t="s">
        <v>309</v>
      </c>
      <c r="O59" s="313"/>
      <c r="P59" s="314" t="s">
        <v>129</v>
      </c>
      <c r="Q59" s="310"/>
      <c r="R59" s="311" t="s">
        <v>310</v>
      </c>
      <c r="S59" s="312" t="s">
        <v>308</v>
      </c>
      <c r="T59" s="312" t="s">
        <v>309</v>
      </c>
      <c r="U59" s="313"/>
      <c r="V59" s="314" t="s">
        <v>129</v>
      </c>
      <c r="W59" s="310"/>
      <c r="X59" s="311" t="s">
        <v>310</v>
      </c>
      <c r="Y59" s="312" t="s">
        <v>308</v>
      </c>
      <c r="Z59" s="312" t="s">
        <v>309</v>
      </c>
      <c r="AA59" s="313"/>
      <c r="AB59" s="314" t="s">
        <v>129</v>
      </c>
      <c r="AC59" s="310"/>
      <c r="AD59" s="311" t="s">
        <v>310</v>
      </c>
      <c r="AE59" s="312" t="s">
        <v>308</v>
      </c>
      <c r="AF59" s="312" t="s">
        <v>309</v>
      </c>
      <c r="AG59" s="313"/>
      <c r="AH59" s="314" t="s">
        <v>129</v>
      </c>
      <c r="AI59" s="310"/>
      <c r="AJ59" s="311" t="s">
        <v>310</v>
      </c>
      <c r="AK59" s="312" t="s">
        <v>308</v>
      </c>
      <c r="AL59" s="312" t="s">
        <v>309</v>
      </c>
      <c r="AM59" s="313"/>
    </row>
    <row r="60" spans="1:39" s="2" customFormat="1">
      <c r="A60" s="169" t="s">
        <v>227</v>
      </c>
      <c r="C60" s="292"/>
      <c r="F60" s="189"/>
      <c r="H60" s="304">
        <f>L40</f>
        <v>0</v>
      </c>
      <c r="I60" s="174">
        <f>B40-H60</f>
        <v>0</v>
      </c>
      <c r="J60" s="303"/>
      <c r="K60" s="304"/>
      <c r="L60" s="304"/>
      <c r="M60" s="304">
        <f>R40</f>
        <v>0</v>
      </c>
      <c r="N60" s="304">
        <f>T40</f>
        <v>0</v>
      </c>
      <c r="O60" s="305"/>
      <c r="P60" s="304"/>
      <c r="Q60" s="304"/>
      <c r="R60" s="304">
        <f>R44</f>
        <v>0</v>
      </c>
      <c r="S60" s="304">
        <f>X40</f>
        <v>0</v>
      </c>
      <c r="T60" s="304">
        <f>Z40</f>
        <v>0</v>
      </c>
      <c r="U60" s="305"/>
      <c r="V60" s="303"/>
      <c r="W60" s="304"/>
      <c r="X60" s="304"/>
      <c r="Y60" s="304">
        <f>AD40</f>
        <v>0</v>
      </c>
      <c r="Z60" s="304">
        <f>AF40</f>
        <v>0</v>
      </c>
      <c r="AA60" s="305"/>
      <c r="AB60" s="303"/>
      <c r="AC60" s="304"/>
      <c r="AD60" s="304"/>
      <c r="AE60" s="304">
        <f>AJ40</f>
        <v>0</v>
      </c>
      <c r="AF60" s="304">
        <f>AL40</f>
        <v>0</v>
      </c>
      <c r="AG60" s="305"/>
      <c r="AH60" s="303"/>
      <c r="AI60" s="304"/>
      <c r="AJ60" s="304"/>
      <c r="AK60" s="304"/>
      <c r="AL60" s="304"/>
      <c r="AM60" s="305"/>
    </row>
    <row r="61" spans="1:39" s="2" customFormat="1">
      <c r="A61" s="169" t="s">
        <v>231</v>
      </c>
      <c r="C61" s="292"/>
      <c r="F61" s="189"/>
      <c r="J61" s="300">
        <f>J44</f>
        <v>0</v>
      </c>
      <c r="K61" s="207"/>
      <c r="L61" s="207">
        <f>L44</f>
        <v>0</v>
      </c>
      <c r="M61" s="207">
        <f>IF(N44&gt;0,R44,0)</f>
        <v>0</v>
      </c>
      <c r="N61" s="207"/>
      <c r="O61" s="301"/>
      <c r="P61" s="207">
        <f>P44</f>
        <v>0</v>
      </c>
      <c r="Q61" s="207"/>
      <c r="R61" s="207">
        <f>IF(P61&gt;0,R44,0)</f>
        <v>0</v>
      </c>
      <c r="S61" s="207">
        <f>IF(N44&gt;0,X44,0)</f>
        <v>0</v>
      </c>
      <c r="T61" s="304">
        <f>Z44</f>
        <v>0</v>
      </c>
      <c r="U61" s="301"/>
      <c r="V61" s="207">
        <f>V44</f>
        <v>0</v>
      </c>
      <c r="W61" s="207"/>
      <c r="X61" s="207">
        <f>IF(V61&gt;0,X44,0)</f>
        <v>0</v>
      </c>
      <c r="Y61" s="207">
        <f>IF(T44&gt;0,AD44,0)</f>
        <v>0</v>
      </c>
      <c r="Z61" s="304">
        <f>AF44</f>
        <v>0</v>
      </c>
      <c r="AA61" s="301"/>
      <c r="AB61" s="207">
        <f>AB44</f>
        <v>0</v>
      </c>
      <c r="AC61" s="207"/>
      <c r="AD61" s="207">
        <f>IF(AB61&gt;0,AD44,0)</f>
        <v>0</v>
      </c>
      <c r="AE61" s="207">
        <f>IF(Z44&gt;0,AJ44,0)</f>
        <v>0</v>
      </c>
      <c r="AF61" s="304">
        <f>AL44</f>
        <v>0</v>
      </c>
      <c r="AG61" s="301"/>
      <c r="AH61" s="207">
        <f>AH44</f>
        <v>0</v>
      </c>
      <c r="AI61" s="207"/>
      <c r="AJ61" s="207">
        <f>IF(AH61&gt;0,AJ44,0)</f>
        <v>0</v>
      </c>
      <c r="AK61" s="207">
        <f>IF(AF44&gt;0,AP44,0)</f>
        <v>0</v>
      </c>
      <c r="AL61" s="304">
        <f>AR44</f>
        <v>0</v>
      </c>
      <c r="AM61" s="301"/>
    </row>
    <row r="62" spans="1:39" s="2" customFormat="1">
      <c r="A62" s="169" t="s">
        <v>232</v>
      </c>
      <c r="C62" s="292"/>
      <c r="F62" s="189"/>
      <c r="J62" s="300"/>
      <c r="K62" s="207"/>
      <c r="L62" s="207"/>
      <c r="M62" s="207">
        <f>IF(N47&gt;0,R47,0)</f>
        <v>0</v>
      </c>
      <c r="N62" s="207"/>
      <c r="O62" s="301"/>
      <c r="P62" s="207">
        <f>P47</f>
        <v>0</v>
      </c>
      <c r="Q62" s="207"/>
      <c r="R62" s="207">
        <f>IF(P62&gt;0,R47,0)</f>
        <v>0</v>
      </c>
      <c r="S62" s="207">
        <f>IF(N47&gt;0,X47,0)</f>
        <v>0</v>
      </c>
      <c r="T62" s="304">
        <f>Z47</f>
        <v>0</v>
      </c>
      <c r="U62" s="301"/>
      <c r="V62" s="207">
        <f>V47</f>
        <v>0</v>
      </c>
      <c r="W62" s="207"/>
      <c r="X62" s="207">
        <f>IF(V62&gt;0,X47,0)</f>
        <v>0</v>
      </c>
      <c r="Y62" s="207">
        <f>IF(T47&gt;0,AD47,0)</f>
        <v>0</v>
      </c>
      <c r="Z62" s="304">
        <f>AF47</f>
        <v>0</v>
      </c>
      <c r="AA62" s="301"/>
      <c r="AB62" s="207">
        <f>AB47</f>
        <v>0</v>
      </c>
      <c r="AC62" s="207"/>
      <c r="AD62" s="207">
        <f>IF(AB62&gt;0,AD47,0)</f>
        <v>0</v>
      </c>
      <c r="AE62" s="207">
        <f>IF(Z47&gt;0,AJ47,0)</f>
        <v>0</v>
      </c>
      <c r="AF62" s="304">
        <f>AL47</f>
        <v>0</v>
      </c>
      <c r="AG62" s="301"/>
      <c r="AH62" s="207">
        <f>AH47</f>
        <v>0</v>
      </c>
      <c r="AI62" s="207"/>
      <c r="AJ62" s="207">
        <f>IF(AH62&gt;0,AJ47,0)</f>
        <v>0</v>
      </c>
      <c r="AK62" s="207">
        <f>IF(AF47&gt;0,AP47,0)</f>
        <v>0</v>
      </c>
      <c r="AL62" s="304">
        <f>AR47</f>
        <v>0</v>
      </c>
      <c r="AM62" s="301"/>
    </row>
    <row r="63" spans="1:39" s="2" customFormat="1">
      <c r="A63" s="169" t="s">
        <v>233</v>
      </c>
      <c r="C63" s="292"/>
      <c r="F63" s="189"/>
      <c r="J63" s="300"/>
      <c r="K63" s="207"/>
      <c r="L63" s="207"/>
      <c r="M63" s="207">
        <f>IF(N50&gt;0,R50,0)</f>
        <v>0</v>
      </c>
      <c r="N63" s="207"/>
      <c r="O63" s="301"/>
      <c r="P63" s="207">
        <f>P50</f>
        <v>0</v>
      </c>
      <c r="Q63" s="207"/>
      <c r="R63" s="207">
        <f>IF(P63&gt;0,R50,0)</f>
        <v>0</v>
      </c>
      <c r="S63" s="207">
        <f>IF(N50&gt;0,X50,0)</f>
        <v>0</v>
      </c>
      <c r="T63" s="304">
        <f>Z50</f>
        <v>0</v>
      </c>
      <c r="U63" s="301"/>
      <c r="V63" s="207">
        <f>V50</f>
        <v>0</v>
      </c>
      <c r="W63" s="207"/>
      <c r="X63" s="207">
        <f>IF(V63&gt;0,X50,0)</f>
        <v>0</v>
      </c>
      <c r="Y63" s="207">
        <f>IF(T50&gt;0,AD50,0)</f>
        <v>0</v>
      </c>
      <c r="Z63" s="304">
        <f>AF50</f>
        <v>0</v>
      </c>
      <c r="AA63" s="301"/>
      <c r="AB63" s="207">
        <f>AB50</f>
        <v>0</v>
      </c>
      <c r="AC63" s="207"/>
      <c r="AD63" s="207">
        <f>IF(AB63&gt;0,AD50,0)</f>
        <v>0</v>
      </c>
      <c r="AE63" s="207">
        <f>IF(Z50&gt;0,AJ50,0)</f>
        <v>0</v>
      </c>
      <c r="AF63" s="304">
        <f>AL50</f>
        <v>0</v>
      </c>
      <c r="AG63" s="301"/>
      <c r="AH63" s="207">
        <f>AH50</f>
        <v>0</v>
      </c>
      <c r="AI63" s="207"/>
      <c r="AJ63" s="207">
        <f>IF(AH63&gt;0,AJ50,0)</f>
        <v>0</v>
      </c>
      <c r="AK63" s="207">
        <f>IF(AF50&gt;0,AP50,0)</f>
        <v>0</v>
      </c>
      <c r="AL63" s="304">
        <f>AR50</f>
        <v>0</v>
      </c>
      <c r="AM63" s="301"/>
    </row>
    <row r="64" spans="1:39" s="2" customFormat="1">
      <c r="A64" s="169" t="s">
        <v>283</v>
      </c>
      <c r="C64" s="292"/>
      <c r="F64" s="189"/>
      <c r="J64" s="300"/>
      <c r="K64" s="207"/>
      <c r="L64" s="207"/>
      <c r="M64" s="207">
        <f>IF(N53&gt;0,R53,0)</f>
        <v>0</v>
      </c>
      <c r="N64" s="207"/>
      <c r="O64" s="301"/>
      <c r="P64" s="207">
        <f>P53</f>
        <v>0</v>
      </c>
      <c r="Q64" s="207"/>
      <c r="R64" s="207">
        <f>IF(P64&gt;0,R53,0)</f>
        <v>0</v>
      </c>
      <c r="S64" s="207">
        <f>IF(N53&gt;0,X53,0)</f>
        <v>0</v>
      </c>
      <c r="T64" s="304" t="e">
        <f>Z53</f>
        <v>#REF!</v>
      </c>
      <c r="U64" s="301"/>
      <c r="V64" s="207" t="e">
        <f>V53</f>
        <v>#REF!</v>
      </c>
      <c r="W64" s="207"/>
      <c r="X64" s="207" t="e">
        <f>IF(V64&gt;0,X53,0)</f>
        <v>#REF!</v>
      </c>
      <c r="Y64" s="207">
        <f>IF(T53&gt;0,AD53,0)</f>
        <v>0</v>
      </c>
      <c r="Z64" s="304">
        <f>AF53</f>
        <v>0</v>
      </c>
      <c r="AA64" s="301"/>
      <c r="AB64" s="207">
        <f>AB53</f>
        <v>0</v>
      </c>
      <c r="AC64" s="207"/>
      <c r="AD64" s="207">
        <f>IF(AB64&gt;0,AD53,0)</f>
        <v>0</v>
      </c>
      <c r="AE64" s="207" t="e">
        <f>IF(Z53&gt;0,AJ53,0)</f>
        <v>#REF!</v>
      </c>
      <c r="AF64" s="304">
        <f>AL53</f>
        <v>0</v>
      </c>
      <c r="AG64" s="301"/>
      <c r="AH64" s="207">
        <f>AH53</f>
        <v>0</v>
      </c>
      <c r="AI64" s="207"/>
      <c r="AJ64" s="207">
        <f>IF(AH64&gt;0,AJ53,0)</f>
        <v>0</v>
      </c>
      <c r="AK64" s="207">
        <f>IF(AF53&gt;0,AP53,0)</f>
        <v>0</v>
      </c>
      <c r="AL64" s="304">
        <f>AR53</f>
        <v>0</v>
      </c>
      <c r="AM64" s="301"/>
    </row>
    <row r="65" spans="1:39" s="2" customFormat="1">
      <c r="A65" s="169"/>
      <c r="C65" s="292"/>
      <c r="F65" s="189"/>
      <c r="J65" s="299">
        <f>SUM(J60:J64)</f>
        <v>0</v>
      </c>
      <c r="K65" s="299"/>
      <c r="L65" s="299">
        <f>SUM(L60:L64)</f>
        <v>0</v>
      </c>
      <c r="M65" s="299">
        <f>SUM(M60:M64)</f>
        <v>0</v>
      </c>
      <c r="N65" s="299">
        <f>SUM(N60:N64)</f>
        <v>0</v>
      </c>
      <c r="O65" s="302"/>
      <c r="P65" s="299">
        <f>SUM(P60:P64)</f>
        <v>0</v>
      </c>
      <c r="Q65" s="299"/>
      <c r="R65" s="299">
        <f>SUM(R60:R64)</f>
        <v>0</v>
      </c>
      <c r="S65" s="299">
        <f>SUM(S60:S64)</f>
        <v>0</v>
      </c>
      <c r="T65" s="299" t="e">
        <f>SUM(T60:T64)</f>
        <v>#REF!</v>
      </c>
      <c r="U65" s="302"/>
      <c r="V65" s="299" t="e">
        <f>SUM(V60:V64)</f>
        <v>#REF!</v>
      </c>
      <c r="W65" s="299"/>
      <c r="X65" s="299" t="e">
        <f>SUM(X60:X64)</f>
        <v>#REF!</v>
      </c>
      <c r="Y65" s="299">
        <f>SUM(Y60:Y64)</f>
        <v>0</v>
      </c>
      <c r="Z65" s="299">
        <f>SUM(Z60:Z64)</f>
        <v>0</v>
      </c>
      <c r="AA65" s="302"/>
      <c r="AB65" s="299">
        <f>SUM(AB60:AB64)</f>
        <v>0</v>
      </c>
      <c r="AC65" s="299"/>
      <c r="AD65" s="299">
        <f>SUM(AD60:AD64)</f>
        <v>0</v>
      </c>
      <c r="AE65" s="299" t="e">
        <f>SUM(AE60:AE64)</f>
        <v>#REF!</v>
      </c>
      <c r="AF65" s="299">
        <f>SUM(AF60:AF64)</f>
        <v>0</v>
      </c>
      <c r="AG65" s="302"/>
      <c r="AH65" s="299">
        <f>SUM(AH60:AH64)</f>
        <v>0</v>
      </c>
      <c r="AI65" s="299"/>
      <c r="AJ65" s="299">
        <f>SUM(AJ60:AJ64)</f>
        <v>0</v>
      </c>
      <c r="AK65" s="207">
        <f>IF(AL54&gt;0,AP54,0)</f>
        <v>0</v>
      </c>
      <c r="AL65" s="299">
        <f>SUM(AL60:AL64)</f>
        <v>0</v>
      </c>
      <c r="AM65" s="302"/>
    </row>
    <row r="66" spans="1:39" s="2" customFormat="1">
      <c r="A66" s="169"/>
      <c r="C66" s="292"/>
      <c r="F66" s="189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</row>
    <row r="67" spans="1:39" s="2" customFormat="1">
      <c r="A67" s="169"/>
      <c r="C67" s="292"/>
      <c r="F67" s="189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</row>
    <row r="68" spans="1:39" s="2" customFormat="1">
      <c r="A68" s="169"/>
      <c r="C68" s="292"/>
      <c r="F68" s="189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</row>
    <row r="69" spans="1:39" s="2" customFormat="1">
      <c r="A69" s="169"/>
      <c r="C69" s="292"/>
      <c r="F69" s="189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</row>
    <row r="70" spans="1:39" s="2" customFormat="1">
      <c r="A70" s="169"/>
      <c r="C70" s="292"/>
      <c r="F70" s="189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</row>
    <row r="71" spans="1:39">
      <c r="B71" s="1" t="s">
        <v>0</v>
      </c>
    </row>
    <row r="72" spans="1:39" ht="15.45">
      <c r="A72" s="22"/>
      <c r="B72" s="24"/>
      <c r="C72"/>
      <c r="D72" s="2269"/>
      <c r="E72" s="2269"/>
      <c r="F72" s="2269"/>
      <c r="G72" s="2269"/>
      <c r="H72" s="2269"/>
      <c r="I72" s="2269"/>
      <c r="J72" s="86"/>
      <c r="K72" s="2269"/>
      <c r="L72" s="2269"/>
      <c r="M72" s="2269"/>
      <c r="N72" s="2269"/>
      <c r="O72" s="86"/>
      <c r="U72" s="1"/>
    </row>
    <row r="73" spans="1:39" s="2" customFormat="1">
      <c r="B73" s="6"/>
      <c r="C73"/>
      <c r="D73"/>
      <c r="E73"/>
      <c r="I73" s="40"/>
      <c r="J73"/>
      <c r="K73"/>
      <c r="O73" s="40"/>
      <c r="U73" s="1156"/>
    </row>
    <row r="74" spans="1:39" s="2" customFormat="1">
      <c r="A74" s="1"/>
      <c r="B74" s="1157"/>
      <c r="C74"/>
      <c r="D74" s="1154"/>
      <c r="E74" s="1154"/>
      <c r="F74" s="1154"/>
      <c r="G74" s="1154"/>
      <c r="H74" s="1154"/>
      <c r="I74" s="1154"/>
      <c r="J74" s="1154"/>
      <c r="K74" s="1154"/>
      <c r="L74" s="1154"/>
      <c r="M74" s="1154"/>
      <c r="N74" s="1154"/>
      <c r="O74" s="1154"/>
      <c r="Q74" s="1154"/>
      <c r="U74" s="1156"/>
    </row>
    <row r="75" spans="1:39" s="2" customFormat="1">
      <c r="A75" s="1"/>
      <c r="B75" s="1158"/>
      <c r="C75"/>
      <c r="D75" s="1154"/>
      <c r="E75" s="1154"/>
      <c r="F75" s="1154"/>
      <c r="G75" s="1154"/>
      <c r="H75" s="1154"/>
      <c r="I75" s="1154"/>
      <c r="J75" s="1154"/>
      <c r="K75" s="1154"/>
      <c r="L75" s="1154"/>
      <c r="M75" s="1154"/>
      <c r="N75" s="1154"/>
      <c r="O75" s="1154"/>
      <c r="Q75" s="1154"/>
      <c r="U75" s="1156"/>
    </row>
    <row r="76" spans="1:39" s="2" customFormat="1">
      <c r="A76" s="169"/>
      <c r="B76" s="1157"/>
      <c r="C76" s="1"/>
      <c r="D76" s="1159"/>
      <c r="E76" s="1159"/>
      <c r="G76" s="1160"/>
      <c r="H76" s="1160"/>
      <c r="J76" s="1159"/>
      <c r="K76" s="1159"/>
      <c r="M76" s="1160"/>
      <c r="N76" s="1160"/>
      <c r="U76" s="1156"/>
    </row>
    <row r="77" spans="1:39" s="2" customFormat="1">
      <c r="A77" s="1"/>
      <c r="B77" s="1158"/>
      <c r="C77" s="38"/>
      <c r="D77" s="37"/>
      <c r="E77" s="37"/>
      <c r="F77" s="103"/>
      <c r="G77" s="103"/>
      <c r="H77" s="103"/>
      <c r="I77" s="1161"/>
      <c r="J77" s="37"/>
      <c r="K77" s="37"/>
      <c r="L77" s="103"/>
      <c r="M77" s="103"/>
      <c r="N77" s="103"/>
      <c r="O77" s="1161"/>
      <c r="P77" s="40"/>
      <c r="Q77" s="1162"/>
      <c r="R77" s="174"/>
      <c r="U77" s="1156"/>
    </row>
    <row r="78" spans="1:39" s="2" customFormat="1">
      <c r="A78" s="1163"/>
      <c r="B78" s="1157"/>
      <c r="C78" s="38"/>
      <c r="D78" s="37"/>
      <c r="E78" s="37"/>
      <c r="F78" s="103"/>
      <c r="G78" s="103"/>
      <c r="H78" s="103"/>
      <c r="I78" s="1161"/>
      <c r="J78" s="37"/>
      <c r="K78" s="37"/>
      <c r="L78" s="103"/>
      <c r="M78" s="103"/>
      <c r="N78" s="103"/>
      <c r="O78" s="1161"/>
      <c r="P78" s="40"/>
      <c r="Q78" s="1162"/>
      <c r="R78" s="174"/>
      <c r="U78" s="1156"/>
    </row>
    <row r="79" spans="1:39" s="2" customFormat="1">
      <c r="A79" s="169"/>
      <c r="B79" s="1157"/>
      <c r="C79" s="38"/>
      <c r="D79" s="37"/>
      <c r="E79" s="37"/>
      <c r="F79" s="103"/>
      <c r="G79" s="103"/>
      <c r="H79" s="103"/>
      <c r="I79" s="1161"/>
      <c r="J79" s="37"/>
      <c r="K79" s="37"/>
      <c r="L79" s="103"/>
      <c r="M79" s="103"/>
      <c r="N79" s="103"/>
      <c r="O79" s="1161"/>
      <c r="P79" s="40"/>
      <c r="Q79" s="1162"/>
      <c r="R79" s="174"/>
    </row>
    <row r="80" spans="1:39" s="2" customFormat="1" ht="22.5" customHeight="1">
      <c r="A80" s="1164"/>
      <c r="B80" s="1165"/>
      <c r="C80" s="38"/>
      <c r="D80" s="37"/>
      <c r="E80" s="37"/>
      <c r="F80" s="103"/>
      <c r="G80" s="103"/>
      <c r="H80" s="103"/>
      <c r="I80" s="1161"/>
      <c r="J80" s="37"/>
      <c r="K80" s="37"/>
      <c r="L80" s="103"/>
      <c r="M80" s="103"/>
      <c r="N80" s="103"/>
      <c r="O80" s="1161"/>
      <c r="P80" s="40"/>
      <c r="Q80" s="1162"/>
      <c r="R80" s="174"/>
    </row>
    <row r="81" spans="1:18" s="2" customFormat="1" ht="13.5" customHeight="1">
      <c r="A81" s="1166"/>
      <c r="B81" s="1167"/>
      <c r="C81" s="38"/>
      <c r="D81" s="37"/>
      <c r="E81" s="37"/>
      <c r="F81" s="103"/>
      <c r="G81" s="103"/>
      <c r="H81" s="103"/>
      <c r="I81" s="1161"/>
      <c r="J81" s="37"/>
      <c r="K81" s="37"/>
      <c r="L81" s="103"/>
      <c r="M81" s="103"/>
      <c r="N81" s="103"/>
      <c r="O81" s="1161"/>
      <c r="P81" s="40"/>
      <c r="Q81" s="1162"/>
      <c r="R81" s="174"/>
    </row>
    <row r="82" spans="1:18">
      <c r="A82" s="1"/>
      <c r="B82" s="1168"/>
      <c r="C82" s="38"/>
      <c r="D82" s="37"/>
      <c r="E82" s="37"/>
      <c r="F82" s="103"/>
      <c r="G82" s="103"/>
      <c r="H82" s="103"/>
      <c r="I82" s="1161"/>
      <c r="J82" s="37"/>
      <c r="K82" s="37"/>
      <c r="L82" s="103"/>
      <c r="M82" s="103"/>
      <c r="N82" s="103"/>
      <c r="O82" s="1161"/>
      <c r="P82" s="40"/>
      <c r="Q82" s="1162"/>
      <c r="R82" s="174"/>
    </row>
    <row r="83" spans="1:18">
      <c r="A83" s="1"/>
      <c r="B83" s="1169"/>
      <c r="C83" s="38"/>
      <c r="D83" s="37"/>
      <c r="E83" s="37"/>
      <c r="F83" s="103"/>
      <c r="G83" s="103"/>
      <c r="H83" s="103"/>
      <c r="I83" s="1161"/>
      <c r="J83" s="37"/>
      <c r="K83" s="37"/>
      <c r="L83" s="103"/>
      <c r="M83" s="103"/>
      <c r="N83" s="103"/>
      <c r="O83" s="1161"/>
      <c r="P83" s="40"/>
      <c r="Q83" s="1162"/>
      <c r="R83" s="174"/>
    </row>
    <row r="84" spans="1:18" s="2" customFormat="1">
      <c r="A84" s="169"/>
      <c r="B84" s="1170"/>
      <c r="C84" s="38"/>
      <c r="D84" s="37"/>
      <c r="E84" s="37"/>
      <c r="F84" s="103"/>
      <c r="G84" s="103"/>
      <c r="H84" s="103"/>
      <c r="I84" s="1161"/>
      <c r="J84" s="37"/>
      <c r="K84" s="37"/>
      <c r="L84" s="103"/>
      <c r="M84" s="103"/>
      <c r="N84" s="103"/>
      <c r="O84" s="1161"/>
      <c r="P84" s="40"/>
      <c r="Q84" s="1162"/>
      <c r="R84" s="174"/>
    </row>
    <row r="85" spans="1:18">
      <c r="A85" s="1"/>
      <c r="B85" s="1169"/>
      <c r="C85" s="38"/>
      <c r="D85" s="37"/>
      <c r="E85" s="37"/>
      <c r="F85" s="103"/>
      <c r="G85" s="103"/>
      <c r="H85" s="103"/>
      <c r="I85" s="1161"/>
      <c r="J85" s="37"/>
      <c r="K85" s="37"/>
      <c r="L85" s="103"/>
      <c r="M85" s="103"/>
      <c r="N85" s="103"/>
      <c r="O85" s="1161"/>
      <c r="P85" s="40"/>
      <c r="Q85" s="1162"/>
      <c r="R85" s="174"/>
    </row>
    <row r="86" spans="1:18">
      <c r="A86" s="1"/>
      <c r="B86" s="1169"/>
      <c r="C86" s="38"/>
      <c r="D86" s="37"/>
      <c r="E86" s="37"/>
      <c r="F86" s="103"/>
      <c r="G86" s="103"/>
      <c r="H86" s="103"/>
      <c r="I86" s="1161"/>
      <c r="J86" s="37"/>
      <c r="K86" s="37"/>
      <c r="L86" s="103"/>
      <c r="M86" s="103"/>
      <c r="N86" s="103"/>
      <c r="O86" s="1161"/>
      <c r="P86" s="40"/>
      <c r="Q86" s="1162"/>
      <c r="R86" s="174"/>
    </row>
    <row r="87" spans="1:18" s="2" customFormat="1">
      <c r="A87" s="169"/>
      <c r="B87" s="1170"/>
      <c r="C87" s="38"/>
      <c r="D87" s="37"/>
      <c r="E87" s="37"/>
      <c r="F87" s="103"/>
      <c r="G87" s="103"/>
      <c r="H87" s="103"/>
      <c r="I87" s="1161"/>
      <c r="J87" s="37"/>
      <c r="K87" s="37"/>
      <c r="L87" s="103"/>
      <c r="M87" s="103"/>
      <c r="N87" s="103"/>
      <c r="O87" s="1161"/>
      <c r="P87" s="40"/>
      <c r="Q87" s="1162"/>
      <c r="R87" s="174"/>
    </row>
    <row r="88" spans="1:18">
      <c r="A88" s="476"/>
      <c r="B88" s="1171"/>
      <c r="C88" s="38"/>
      <c r="D88" s="37"/>
      <c r="E88" s="37"/>
      <c r="F88" s="103"/>
      <c r="G88" s="103"/>
      <c r="H88" s="103"/>
      <c r="I88" s="1161"/>
      <c r="J88" s="37"/>
      <c r="K88" s="37"/>
      <c r="L88" s="103"/>
      <c r="M88" s="103"/>
      <c r="N88" s="103"/>
      <c r="O88" s="1161"/>
      <c r="P88" s="40"/>
      <c r="Q88" s="1162"/>
      <c r="R88" s="174"/>
    </row>
    <row r="89" spans="1:18">
      <c r="A89" s="1"/>
      <c r="B89" s="1172"/>
      <c r="C89" s="3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8" s="2" customFormat="1">
      <c r="A90" s="169"/>
      <c r="B90" s="1173"/>
      <c r="C90" s="2025"/>
      <c r="D90" s="2025"/>
      <c r="E90" s="2025"/>
      <c r="F90" s="2025"/>
      <c r="G90" s="2025"/>
      <c r="H90" s="2025"/>
      <c r="I90" s="2264"/>
      <c r="J90" s="2025"/>
      <c r="K90" s="2025"/>
      <c r="L90" s="2025"/>
      <c r="M90" s="2025"/>
      <c r="N90" s="2025"/>
      <c r="O90" s="2264"/>
      <c r="P90"/>
      <c r="Q90"/>
    </row>
    <row r="91" spans="1:18">
      <c r="A91" s="1163"/>
      <c r="B91" s="119"/>
      <c r="C91" s="2026"/>
      <c r="D91" s="2026"/>
      <c r="E91" s="2026"/>
      <c r="F91" s="2026"/>
      <c r="G91" s="2026"/>
      <c r="H91" s="2026"/>
      <c r="I91" s="1729"/>
      <c r="J91" s="2026"/>
      <c r="K91" s="2026"/>
      <c r="L91" s="2026"/>
      <c r="M91" s="2026"/>
      <c r="N91" s="2026"/>
      <c r="O91" s="1729"/>
      <c r="P91" s="2"/>
      <c r="Q91" s="2"/>
    </row>
    <row r="92" spans="1:18">
      <c r="A92" s="138"/>
      <c r="B92" s="119"/>
      <c r="C92" s="2026"/>
      <c r="D92" s="2026"/>
      <c r="E92" s="2026"/>
      <c r="F92" s="2026"/>
      <c r="G92" s="2026"/>
      <c r="H92" s="2026"/>
      <c r="I92" s="1729"/>
      <c r="J92" s="2026"/>
      <c r="K92" s="2026"/>
      <c r="L92" s="2026"/>
      <c r="M92" s="2026"/>
      <c r="N92" s="2026"/>
      <c r="O92" s="1729"/>
    </row>
    <row r="93" spans="1:18">
      <c r="A93" s="111"/>
      <c r="B93" s="119"/>
      <c r="C93" s="120"/>
      <c r="D93" s="120"/>
      <c r="E93" s="120"/>
    </row>
    <row r="94" spans="1:18" s="2" customFormat="1">
      <c r="A94" s="28" t="s">
        <v>480</v>
      </c>
      <c r="B94" s="48">
        <f>'2. &amp; 7. T2 TULOSSUUN. '!I8</f>
        <v>2025</v>
      </c>
      <c r="C94" s="48"/>
      <c r="D94" s="48">
        <f>'2. &amp; 7. T2 TULOSSUUN. '!K8</f>
        <v>2026</v>
      </c>
      <c r="E94" s="48"/>
      <c r="F94" s="48">
        <f>'2. &amp; 7. T2 TULOSSUUN. '!M8</f>
        <v>2027</v>
      </c>
      <c r="G94" s="48"/>
      <c r="H94" s="48">
        <f>'2. &amp; 7. T2 TULOSSUUN. '!O8</f>
        <v>2028</v>
      </c>
      <c r="I94" s="48"/>
      <c r="J94" s="48"/>
    </row>
    <row r="95" spans="1:18">
      <c r="A95" s="4" t="s">
        <v>146</v>
      </c>
      <c r="B95" s="2262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63"/>
      <c r="D95" s="2262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63"/>
      <c r="F95" s="2262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63"/>
      <c r="H95" s="2262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63"/>
      <c r="J95" s="2265"/>
      <c r="K95" s="2265"/>
    </row>
    <row r="96" spans="1:18">
      <c r="A96" s="4" t="s">
        <v>483</v>
      </c>
      <c r="B96" s="2262">
        <f>B95*'9. T5 KASSABUDJETTI  '!$F$29%</f>
        <v>0</v>
      </c>
      <c r="C96" s="2263"/>
      <c r="D96" s="2262">
        <f>D95*'9. T5 KASSABUDJETTI  '!$F$29%</f>
        <v>0</v>
      </c>
      <c r="E96" s="2263"/>
      <c r="F96" s="2262">
        <f>F95*'9. T5 KASSABUDJETTI  '!$F$29%</f>
        <v>0</v>
      </c>
      <c r="G96" s="2263"/>
      <c r="H96" s="2262">
        <f>H95*'9. T5 KASSABUDJETTI  '!$F$29%</f>
        <v>0</v>
      </c>
      <c r="I96" s="2263"/>
      <c r="J96" s="338"/>
      <c r="K96" s="338"/>
    </row>
    <row r="97" spans="1:19">
      <c r="A97" s="4" t="s">
        <v>147</v>
      </c>
      <c r="B97" s="2267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68"/>
      <c r="D97" s="2267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68"/>
      <c r="F97" s="2267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68"/>
      <c r="H97" s="2267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68"/>
      <c r="J97" s="2272"/>
      <c r="K97" s="2272"/>
    </row>
    <row r="98" spans="1:19">
      <c r="A98" s="1"/>
      <c r="B98" s="118"/>
      <c r="C98" s="37"/>
      <c r="D98" s="37"/>
      <c r="E98" s="37"/>
    </row>
    <row r="99" spans="1:19">
      <c r="A99" s="1"/>
      <c r="B99" s="119"/>
      <c r="C99" s="120"/>
      <c r="D99" s="120"/>
      <c r="E99" s="120"/>
    </row>
    <row r="100" spans="1:19" ht="12.9" thickBot="1">
      <c r="A100" s="1" t="s">
        <v>264</v>
      </c>
      <c r="B100" s="48">
        <f>B94</f>
        <v>2025</v>
      </c>
      <c r="C100" s="48"/>
      <c r="D100" s="48">
        <f>D94</f>
        <v>2026</v>
      </c>
      <c r="E100" s="48">
        <f>H94</f>
        <v>2028</v>
      </c>
      <c r="F100" s="48">
        <f>J94</f>
        <v>0</v>
      </c>
      <c r="G100" s="48"/>
      <c r="I100" s="32"/>
      <c r="J100" s="33"/>
      <c r="K100" s="33"/>
      <c r="L100" s="21"/>
      <c r="M100" s="33"/>
      <c r="N100" s="12"/>
      <c r="O100" s="33"/>
      <c r="P100" s="12"/>
      <c r="Q100" s="33"/>
    </row>
    <row r="101" spans="1:19">
      <c r="A101" s="194" t="s">
        <v>0</v>
      </c>
      <c r="C101" s="120"/>
      <c r="I101" s="201" t="s">
        <v>247</v>
      </c>
      <c r="J101" s="2275" t="s">
        <v>107</v>
      </c>
      <c r="K101" s="2276"/>
      <c r="L101" s="2275" t="s">
        <v>99</v>
      </c>
      <c r="M101" s="2276"/>
      <c r="N101" s="2275" t="s">
        <v>98</v>
      </c>
      <c r="O101" s="2276"/>
      <c r="P101" s="2275" t="s">
        <v>100</v>
      </c>
      <c r="Q101" s="2276"/>
      <c r="R101" s="2275" t="str">
        <f>AB3</f>
        <v>Ennuste 4</v>
      </c>
      <c r="S101" s="2276"/>
    </row>
    <row r="102" spans="1:19">
      <c r="A102" s="194" t="s">
        <v>251</v>
      </c>
      <c r="C102" s="120">
        <f>'3. T3 TASE '!G14</f>
        <v>0</v>
      </c>
      <c r="D102" s="120">
        <f>'3. T3 TASE '!H14</f>
        <v>0</v>
      </c>
      <c r="E102" s="120">
        <f>'3. T3 TASE '!I14</f>
        <v>0</v>
      </c>
      <c r="F102" s="120">
        <f>'3. T3 TASE '!J14</f>
        <v>0</v>
      </c>
      <c r="I102" s="35"/>
      <c r="J102" s="2273"/>
      <c r="K102" s="2274"/>
      <c r="L102" s="2273">
        <f>J4</f>
        <v>2025</v>
      </c>
      <c r="M102" s="2274"/>
      <c r="N102" s="2273">
        <f>P4</f>
        <v>2026</v>
      </c>
      <c r="O102" s="2274"/>
      <c r="P102" s="2273">
        <f>V4</f>
        <v>2027</v>
      </c>
      <c r="Q102" s="2274"/>
      <c r="R102" s="2273">
        <f>AB4</f>
        <v>2028</v>
      </c>
      <c r="S102" s="2274"/>
    </row>
    <row r="103" spans="1:19">
      <c r="A103" s="111" t="s">
        <v>265</v>
      </c>
      <c r="B103" s="119">
        <f>'3. T3 TASE '!G15</f>
        <v>0</v>
      </c>
      <c r="C103" s="120">
        <f>'3. T3 TASE '!H15</f>
        <v>0</v>
      </c>
      <c r="D103" s="120">
        <f>'3. T3 TASE '!I15</f>
        <v>0</v>
      </c>
      <c r="E103" s="120">
        <f>'3. T3 TASE '!J15</f>
        <v>0</v>
      </c>
      <c r="F103" s="120">
        <f>'3. T3 TASE '!K15</f>
        <v>0</v>
      </c>
      <c r="G103" s="37"/>
      <c r="H103" s="37"/>
      <c r="I103" s="200" t="s">
        <v>246</v>
      </c>
      <c r="J103" s="202">
        <f>'5. E1 KUSTANNUKSET '!D43+'5. E1 KUSTANNUKSET '!D61+'5. E1 KUSTANNUKSET '!D67+'5. E1 KUSTANNUKSET '!D113+'5. E1 KUSTANNUKSET '!D114+'5. E1 KUSTANNUKSET '!D115</f>
        <v>0</v>
      </c>
      <c r="K103" s="17"/>
      <c r="L103" s="202">
        <f>'5. E1 KUSTANNUKSET '!F43+'5. E1 KUSTANNUKSET '!F61+'5. E1 KUSTANNUKSET '!F67+'5. E1 KUSTANNUKSET '!F113+'5. E1 KUSTANNUKSET '!F114+'5. E1 KUSTANNUKSET '!F115</f>
        <v>0</v>
      </c>
      <c r="M103" s="17"/>
      <c r="N103" s="202">
        <f>'5. E1 KUSTANNUKSET '!H43+'5. E1 KUSTANNUKSET '!H61+'5. E1 KUSTANNUKSET '!H67+'5. E1 KUSTANNUKSET '!H113+'5. E1 KUSTANNUKSET '!H114+'5. E1 KUSTANNUKSET '!H115</f>
        <v>0</v>
      </c>
      <c r="O103" s="17"/>
      <c r="P103" s="202">
        <f>'5. E1 KUSTANNUKSET '!J43+'5. E1 KUSTANNUKSET '!J61+'5. E1 KUSTANNUKSET '!J67+'5. E1 KUSTANNUKSET '!J113+'5. E1 KUSTANNUKSET '!J114+'5. E1 KUSTANNUKSET '!J115</f>
        <v>0</v>
      </c>
      <c r="Q103" s="17"/>
      <c r="R103" s="202">
        <f>'5. E1 KUSTANNUKSET '!L43+'5. E1 KUSTANNUKSET '!L61+'5. E1 KUSTANNUKSET '!L67+'5. E1 KUSTANNUKSET '!L113+'5. E1 KUSTANNUKSET '!L114+'5. E1 KUSTANNUKSET '!L115</f>
        <v>0</v>
      </c>
    </row>
    <row r="104" spans="1:19">
      <c r="A104" s="113" t="s">
        <v>266</v>
      </c>
      <c r="B104" s="119">
        <f>'3. T3 TASE '!G16</f>
        <v>0</v>
      </c>
      <c r="C104" s="120">
        <f>'3. T3 TASE '!H16</f>
        <v>0</v>
      </c>
      <c r="D104" s="120">
        <f>'3. T3 TASE '!I16</f>
        <v>0</v>
      </c>
      <c r="E104" s="120">
        <f>'3. T3 TASE '!J16</f>
        <v>0</v>
      </c>
      <c r="F104" s="120">
        <f>'3. T3 TASE '!K16</f>
        <v>0</v>
      </c>
      <c r="G104" s="120"/>
      <c r="H104" s="120"/>
      <c r="I104" s="35" t="s">
        <v>263</v>
      </c>
      <c r="J104" s="33"/>
      <c r="K104" s="33"/>
      <c r="L104" s="469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469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469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469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469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469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469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>
      <c r="A105" s="111" t="s">
        <v>267</v>
      </c>
      <c r="B105" s="119">
        <f>'3. T3 TASE '!G17</f>
        <v>0</v>
      </c>
      <c r="C105" s="120">
        <f>'3. T3 TASE '!H17</f>
        <v>0</v>
      </c>
      <c r="D105" s="120">
        <f>'3. T3 TASE '!I17</f>
        <v>0</v>
      </c>
      <c r="E105" s="120">
        <f>'3. T3 TASE '!J17</f>
        <v>0</v>
      </c>
      <c r="F105" s="120">
        <f>'3. T3 TASE '!K17</f>
        <v>0</v>
      </c>
      <c r="I105" s="32"/>
      <c r="J105" s="17"/>
      <c r="K105" s="17"/>
      <c r="L105" s="11"/>
      <c r="M105" s="17"/>
      <c r="N105" s="11"/>
      <c r="O105" s="17"/>
      <c r="P105" s="11"/>
      <c r="Q105" s="17"/>
    </row>
    <row r="106" spans="1:19">
      <c r="A106" s="111" t="str">
        <f>'3. T3 TASE '!C18</f>
        <v xml:space="preserve">Aineelliset hyödykkeet </v>
      </c>
      <c r="B106" s="119">
        <f>'3. T3 TASE '!G18</f>
        <v>0</v>
      </c>
      <c r="C106" s="120">
        <f>'3. T3 TASE '!H18</f>
        <v>0</v>
      </c>
      <c r="D106" s="120">
        <f>'3. T3 TASE '!I18</f>
        <v>0</v>
      </c>
      <c r="E106" s="120">
        <f>'3. T3 TASE '!J18</f>
        <v>0</v>
      </c>
      <c r="F106" s="120">
        <f>'3. T3 TASE '!K18</f>
        <v>0</v>
      </c>
    </row>
    <row r="107" spans="1:19">
      <c r="A107" s="111" t="str">
        <f>'3. T3 TASE '!C19</f>
        <v xml:space="preserve">1. Maa- ja vesialueet </v>
      </c>
      <c r="B107" s="119">
        <f>'3. T3 TASE '!G19</f>
        <v>0</v>
      </c>
      <c r="C107" s="120">
        <f>'3. T3 TASE '!H19</f>
        <v>0</v>
      </c>
      <c r="D107" s="120">
        <f>'3. T3 TASE '!I19</f>
        <v>0</v>
      </c>
      <c r="E107" s="120">
        <f>'3. T3 TASE '!J19</f>
        <v>0</v>
      </c>
      <c r="F107" s="120">
        <f>'3. T3 TASE '!K19</f>
        <v>0</v>
      </c>
    </row>
    <row r="108" spans="1:19" s="2" customFormat="1">
      <c r="A108" s="111" t="str">
        <f>'3. T3 TASE '!C20</f>
        <v xml:space="preserve">    - lisäykset tilikaudella</v>
      </c>
      <c r="B108" s="119">
        <f>'3. T3 TASE '!G20</f>
        <v>0</v>
      </c>
      <c r="C108" s="120">
        <f>'3. T3 TASE '!H20</f>
        <v>0</v>
      </c>
      <c r="D108" s="120">
        <f>'3. T3 TASE '!I20</f>
        <v>0</v>
      </c>
      <c r="E108" s="120">
        <f>'3. T3 TASE '!J20</f>
        <v>0</v>
      </c>
      <c r="F108" s="120">
        <f>'3. T3 TASE '!K20</f>
        <v>0</v>
      </c>
    </row>
    <row r="109" spans="1:19">
      <c r="A109" s="111" t="str">
        <f>'3. T3 TASE '!C21</f>
        <v xml:space="preserve">    - vähennykset tilikaudella</v>
      </c>
      <c r="B109" s="119">
        <f>'3. T3 TASE '!G21</f>
        <v>0</v>
      </c>
      <c r="C109" s="120">
        <f>'3. T3 TASE '!H21</f>
        <v>0</v>
      </c>
      <c r="D109" s="120">
        <f>'3. T3 TASE '!I21</f>
        <v>0</v>
      </c>
      <c r="E109" s="120">
        <f>'3. T3 TASE '!J21</f>
        <v>0</v>
      </c>
      <c r="F109" s="120">
        <f>'3. T3 TASE '!K21</f>
        <v>0</v>
      </c>
    </row>
    <row r="110" spans="1:19">
      <c r="A110" s="111" t="str">
        <f>'3. T3 TASE '!C22</f>
        <v xml:space="preserve">2. Rakennukset ja rakennelmat </v>
      </c>
      <c r="B110" s="119">
        <f>'3. T3 TASE '!G22</f>
        <v>0</v>
      </c>
      <c r="C110" s="120">
        <f>'3. T3 TASE '!H22</f>
        <v>0</v>
      </c>
      <c r="D110" s="120">
        <f>'3. T3 TASE '!I22</f>
        <v>0</v>
      </c>
      <c r="E110" s="120">
        <f>'3. T3 TASE '!J22</f>
        <v>0</v>
      </c>
      <c r="F110" s="120">
        <f>'3. T3 TASE '!K22</f>
        <v>0</v>
      </c>
    </row>
    <row r="111" spans="1:19">
      <c r="A111" s="111" t="str">
        <f>'3. T3 TASE '!C23</f>
        <v xml:space="preserve">    - lisäykset tilikaudella</v>
      </c>
      <c r="B111" s="119">
        <f>'3. T3 TASE '!G23</f>
        <v>0</v>
      </c>
      <c r="C111" s="120">
        <f>'3. T3 TASE '!H23</f>
        <v>0</v>
      </c>
      <c r="D111" s="120">
        <f>'3. T3 TASE '!I23</f>
        <v>0</v>
      </c>
      <c r="E111" s="120">
        <f>'3. T3 TASE '!J23</f>
        <v>0</v>
      </c>
      <c r="F111" s="120">
        <f>'3. T3 TASE '!K23</f>
        <v>0</v>
      </c>
    </row>
    <row r="112" spans="1:19">
      <c r="A112" s="111" t="str">
        <f>'3. T3 TASE '!C24</f>
        <v xml:space="preserve">    - vähennykset tilikaudella</v>
      </c>
      <c r="B112" s="119">
        <f>'3. T3 TASE '!G24</f>
        <v>0</v>
      </c>
      <c r="C112" s="120">
        <f>'3. T3 TASE '!H24</f>
        <v>0</v>
      </c>
      <c r="D112" s="120">
        <f>'3. T3 TASE '!I24</f>
        <v>0</v>
      </c>
      <c r="E112" s="120">
        <f>'3. T3 TASE '!J24</f>
        <v>0</v>
      </c>
      <c r="F112" s="120">
        <f>'3. T3 TASE '!K24</f>
        <v>0</v>
      </c>
    </row>
    <row r="113" spans="1:6">
      <c r="A113" s="111" t="str">
        <f>'3. T3 TASE '!C25</f>
        <v xml:space="preserve">    - poistot</v>
      </c>
      <c r="B113" s="119">
        <f>'3. T3 TASE '!G25</f>
        <v>0</v>
      </c>
      <c r="C113" s="120">
        <f>'3. T3 TASE '!H25</f>
        <v>0</v>
      </c>
      <c r="D113" s="120">
        <f>'3. T3 TASE '!I25</f>
        <v>0</v>
      </c>
      <c r="E113" s="120">
        <f>'3. T3 TASE '!J25</f>
        <v>0</v>
      </c>
      <c r="F113" s="120">
        <f>'3. T3 TASE '!K25</f>
        <v>0</v>
      </c>
    </row>
    <row r="114" spans="1:6">
      <c r="A114" s="111" t="str">
        <f>'3. T3 TASE '!C26</f>
        <v xml:space="preserve">3. Koneet ja kalusto </v>
      </c>
      <c r="B114" s="119">
        <f>'3. T3 TASE '!G26</f>
        <v>0</v>
      </c>
      <c r="C114" s="120">
        <f>'3. T3 TASE '!H26</f>
        <v>0</v>
      </c>
      <c r="D114" s="120">
        <f>'3. T3 TASE '!I26</f>
        <v>0</v>
      </c>
      <c r="E114" s="120">
        <f>'3. T3 TASE '!J26</f>
        <v>0</v>
      </c>
      <c r="F114" s="120">
        <f>'3. T3 TASE '!K26</f>
        <v>0</v>
      </c>
    </row>
    <row r="115" spans="1:6">
      <c r="A115" s="111" t="str">
        <f>'3. T3 TASE '!C27</f>
        <v xml:space="preserve">    - lisäykset tilikaudella</v>
      </c>
      <c r="B115" s="119">
        <f>'3. T3 TASE '!G27</f>
        <v>0</v>
      </c>
      <c r="C115" s="120">
        <f>'3. T3 TASE '!H27</f>
        <v>0</v>
      </c>
      <c r="D115" s="120">
        <f>'3. T3 TASE '!I27</f>
        <v>0</v>
      </c>
      <c r="E115" s="120">
        <f>'3. T3 TASE '!J27</f>
        <v>0</v>
      </c>
      <c r="F115" s="120">
        <f>'3. T3 TASE '!K27</f>
        <v>0</v>
      </c>
    </row>
    <row r="116" spans="1:6">
      <c r="A116" s="111" t="str">
        <f>'3. T3 TASE '!C28</f>
        <v xml:space="preserve">    - vähennykset tilikaudella</v>
      </c>
      <c r="B116" s="119">
        <f>'3. T3 TASE '!G28</f>
        <v>0</v>
      </c>
      <c r="C116" s="120">
        <f>'3. T3 TASE '!H28</f>
        <v>0</v>
      </c>
      <c r="D116" s="120">
        <f>'3. T3 TASE '!I28</f>
        <v>0</v>
      </c>
      <c r="E116" s="120">
        <f>'3. T3 TASE '!J28</f>
        <v>0</v>
      </c>
      <c r="F116" s="120">
        <f>'3. T3 TASE '!K28</f>
        <v>0</v>
      </c>
    </row>
    <row r="117" spans="1:6">
      <c r="A117" s="111" t="str">
        <f>'3. T3 TASE '!C29</f>
        <v xml:space="preserve">    - poistot</v>
      </c>
      <c r="B117" s="119">
        <f>'3. T3 TASE '!G29</f>
        <v>0</v>
      </c>
      <c r="C117" s="120">
        <f>'3. T3 TASE '!H29</f>
        <v>0</v>
      </c>
      <c r="D117" s="120">
        <f>'3. T3 TASE '!I29</f>
        <v>0</v>
      </c>
      <c r="E117" s="120">
        <f>'3. T3 TASE '!J29</f>
        <v>0</v>
      </c>
      <c r="F117" s="120">
        <f>'3. T3 TASE '!K29</f>
        <v>0</v>
      </c>
    </row>
    <row r="118" spans="1:6">
      <c r="A118" s="111" t="str">
        <f>'3. T3 TASE '!C30</f>
        <v xml:space="preserve">4. Muut aineelliset hyödykkeet </v>
      </c>
      <c r="B118" s="119">
        <f>'3. T3 TASE '!G30</f>
        <v>0</v>
      </c>
      <c r="C118" s="120">
        <f>'3. T3 TASE '!H30</f>
        <v>0</v>
      </c>
      <c r="D118" s="120">
        <f>'3. T3 TASE '!I30</f>
        <v>0</v>
      </c>
      <c r="E118" s="120">
        <f>'3. T3 TASE '!J30</f>
        <v>0</v>
      </c>
      <c r="F118" s="120">
        <f>'3. T3 TASE '!K30</f>
        <v>0</v>
      </c>
    </row>
    <row r="119" spans="1:6">
      <c r="A119" s="111" t="str">
        <f>'3. T3 TASE '!C31</f>
        <v xml:space="preserve">    - lisäykset tilikaudella</v>
      </c>
      <c r="B119" s="119">
        <f>'3. T3 TASE '!G31</f>
        <v>0</v>
      </c>
      <c r="C119" s="120">
        <f>'3. T3 TASE '!H31</f>
        <v>0</v>
      </c>
      <c r="D119" s="120">
        <f>'3. T3 TASE '!I31</f>
        <v>0</v>
      </c>
      <c r="E119" s="120">
        <f>'3. T3 TASE '!J31</f>
        <v>0</v>
      </c>
      <c r="F119" s="120">
        <f>'3. T3 TASE '!K31</f>
        <v>0</v>
      </c>
    </row>
    <row r="120" spans="1:6">
      <c r="A120" s="111" t="str">
        <f>'3. T3 TASE '!C32</f>
        <v xml:space="preserve">    - vähennykset tilikaudella</v>
      </c>
      <c r="B120" s="119">
        <f>'3. T3 TASE '!G32</f>
        <v>0</v>
      </c>
      <c r="C120" s="120">
        <f>'3. T3 TASE '!H32</f>
        <v>0</v>
      </c>
      <c r="D120" s="120">
        <f>'3. T3 TASE '!I32</f>
        <v>0</v>
      </c>
      <c r="E120" s="120">
        <f>'3. T3 TASE '!J32</f>
        <v>0</v>
      </c>
      <c r="F120" s="120">
        <f>'3. T3 TASE '!K32</f>
        <v>0</v>
      </c>
    </row>
    <row r="121" spans="1:6">
      <c r="A121" s="111" t="str">
        <f>'3. T3 TASE '!C33</f>
        <v xml:space="preserve">    - poistot</v>
      </c>
      <c r="B121" s="119">
        <f>'3. T3 TASE '!G33</f>
        <v>0</v>
      </c>
      <c r="C121" s="120">
        <f>'3. T3 TASE '!H33</f>
        <v>0</v>
      </c>
      <c r="D121" s="120">
        <f>'3. T3 TASE '!I33</f>
        <v>0</v>
      </c>
      <c r="E121" s="120">
        <f>'3. T3 TASE '!J33</f>
        <v>0</v>
      </c>
      <c r="F121" s="120">
        <f>'3. T3 TASE '!K33</f>
        <v>0</v>
      </c>
    </row>
    <row r="122" spans="1:6">
      <c r="A122" s="111" t="str">
        <f>'3. T3 TASE '!C34</f>
        <v>Sijoitukset</v>
      </c>
      <c r="B122" s="119">
        <f>'3. T3 TASE '!G34</f>
        <v>0</v>
      </c>
      <c r="C122" s="120">
        <f>'3. T3 TASE '!H34</f>
        <v>0</v>
      </c>
      <c r="D122" s="120">
        <f>'3. T3 TASE '!I34</f>
        <v>0</v>
      </c>
      <c r="E122" s="120">
        <f>'3. T3 TASE '!J34</f>
        <v>0</v>
      </c>
      <c r="F122" s="120">
        <f>'3. T3 TASE '!K34</f>
        <v>0</v>
      </c>
    </row>
    <row r="123" spans="1:6">
      <c r="A123" s="109" t="s">
        <v>269</v>
      </c>
      <c r="B123" s="123"/>
      <c r="C123" s="123">
        <f t="shared" ref="C123:E124" si="28">C103+C108+C111+C115+C119</f>
        <v>0</v>
      </c>
      <c r="D123" s="123">
        <f t="shared" si="28"/>
        <v>0</v>
      </c>
      <c r="E123" s="123">
        <f t="shared" si="28"/>
        <v>0</v>
      </c>
      <c r="F123" s="123">
        <f>F103+F108+F111+F115+F119</f>
        <v>0</v>
      </c>
    </row>
    <row r="124" spans="1:6">
      <c r="A124" s="2" t="s">
        <v>270</v>
      </c>
      <c r="C124" s="123">
        <f t="shared" si="28"/>
        <v>0</v>
      </c>
      <c r="D124" s="123">
        <f t="shared" si="28"/>
        <v>0</v>
      </c>
      <c r="E124" s="123">
        <f t="shared" si="28"/>
        <v>0</v>
      </c>
      <c r="F124" s="123">
        <f>F104+F109+F112+F116+F120</f>
        <v>0</v>
      </c>
    </row>
    <row r="125" spans="1:6">
      <c r="A125" s="114" t="s">
        <v>271</v>
      </c>
      <c r="B125" s="123"/>
      <c r="C125" s="123">
        <f>C105+C113+C117+C121</f>
        <v>0</v>
      </c>
      <c r="D125" s="123">
        <f>D105+D113+D117+D121</f>
        <v>0</v>
      </c>
      <c r="E125" s="123">
        <f>E105+E113+E117+E121</f>
        <v>0</v>
      </c>
      <c r="F125" s="123">
        <f>F105+F113+F117+F121</f>
        <v>0</v>
      </c>
    </row>
    <row r="126" spans="1:6">
      <c r="A126" s="109"/>
    </row>
    <row r="127" spans="1:6" s="2" customFormat="1">
      <c r="A127" s="109" t="s">
        <v>268</v>
      </c>
      <c r="B127" s="120">
        <f>'3. T3 TASE '!G56</f>
        <v>0</v>
      </c>
      <c r="C127" s="124">
        <f>B127+C128-C129</f>
        <v>0</v>
      </c>
      <c r="D127" s="124">
        <f>C127+D128-D129</f>
        <v>0</v>
      </c>
      <c r="E127" s="124">
        <f>D127+E128-E129</f>
        <v>0</v>
      </c>
    </row>
    <row r="128" spans="1:6">
      <c r="A128" s="110" t="s">
        <v>272</v>
      </c>
      <c r="B128" s="116"/>
      <c r="C128" s="248">
        <f>'2. &amp; 7. T2 TULOSSUUN. '!I31</f>
        <v>0</v>
      </c>
      <c r="D128" s="248">
        <f>'2. &amp; 7. T2 TULOSSUUN. '!K31</f>
        <v>0</v>
      </c>
      <c r="E128" s="248">
        <f>'2. &amp; 7. T2 TULOSSUUN. '!M31</f>
        <v>0</v>
      </c>
    </row>
    <row r="129" spans="1:5">
      <c r="A129" s="2" t="s">
        <v>273</v>
      </c>
      <c r="B129" s="117"/>
      <c r="C129" s="117">
        <f>'8. T4 RAHOITUSSUUN. '!H39</f>
        <v>0</v>
      </c>
      <c r="D129" s="117">
        <f>'8. T4 RAHOITUSSUUN. '!I39</f>
        <v>0</v>
      </c>
      <c r="E129" s="117">
        <f>'8. T4 RAHOITUSSUUN. '!J39</f>
        <v>0</v>
      </c>
    </row>
    <row r="130" spans="1:5">
      <c r="A130" s="2" t="s">
        <v>274</v>
      </c>
      <c r="B130" s="119"/>
      <c r="C130" s="120">
        <f>C103+C108+C111+C115+C119-C104-C109-C112-C116-C120</f>
        <v>0</v>
      </c>
      <c r="D130" s="120">
        <f>D103+D108+D111+D115+D119-D104-D109-D112-D116-D120</f>
        <v>0</v>
      </c>
      <c r="E130" s="120">
        <f>E103+E108+E111+E115+E119-E104-E109-E112-E116-E120</f>
        <v>0</v>
      </c>
    </row>
    <row r="131" spans="1:5">
      <c r="A131" s="1"/>
      <c r="B131" s="119"/>
      <c r="C131" s="119"/>
      <c r="D131" s="119"/>
      <c r="E131" s="119"/>
    </row>
    <row r="132" spans="1:5">
      <c r="A132" s="111"/>
      <c r="C132"/>
    </row>
    <row r="133" spans="1:5">
      <c r="A133" s="111"/>
      <c r="B133" s="120"/>
      <c r="C133" s="120"/>
      <c r="D133" s="120"/>
      <c r="E133" s="120"/>
    </row>
    <row r="134" spans="1:5">
      <c r="A134" s="111"/>
      <c r="B134" s="119"/>
      <c r="C134" s="120"/>
      <c r="D134" s="120"/>
      <c r="E134" s="120"/>
    </row>
    <row r="135" spans="1:5">
      <c r="A135" s="112"/>
      <c r="B135" s="119"/>
      <c r="C135" s="120"/>
      <c r="D135" s="120"/>
      <c r="E135" s="120"/>
    </row>
    <row r="136" spans="1:5">
      <c r="A136" s="111"/>
      <c r="B136" s="119"/>
      <c r="C136" s="120"/>
      <c r="D136" s="120"/>
      <c r="E136" s="120"/>
    </row>
    <row r="137" spans="1:5" s="63" customFormat="1" ht="12.9">
      <c r="B137" s="125"/>
      <c r="C137" s="125"/>
      <c r="D137" s="125"/>
      <c r="E137" s="125"/>
    </row>
    <row r="138" spans="1:5">
      <c r="A138" s="110"/>
      <c r="B138" s="116"/>
      <c r="C138" s="116"/>
      <c r="D138" s="116"/>
      <c r="E138" s="116"/>
    </row>
    <row r="139" spans="1:5">
      <c r="A139" s="1"/>
      <c r="B139" s="115"/>
      <c r="C139" s="115"/>
      <c r="D139" s="115"/>
      <c r="E139" s="115"/>
    </row>
    <row r="140" spans="1:5">
      <c r="A140" s="1"/>
      <c r="B140" s="119"/>
      <c r="C140" s="119"/>
      <c r="D140" s="119"/>
      <c r="E140" s="119"/>
    </row>
    <row r="141" spans="1:5">
      <c r="A141" s="1"/>
      <c r="B141" s="119"/>
      <c r="C141" s="119"/>
      <c r="D141" s="119"/>
      <c r="E141" s="119"/>
    </row>
    <row r="142" spans="1:5">
      <c r="A142" s="111"/>
      <c r="C142"/>
    </row>
    <row r="143" spans="1:5">
      <c r="A143" s="111"/>
      <c r="B143" s="120"/>
      <c r="C143" s="120"/>
      <c r="D143" s="120"/>
      <c r="E143" s="120"/>
    </row>
    <row r="144" spans="1:5">
      <c r="A144" s="111"/>
      <c r="B144" s="119"/>
      <c r="C144" s="120"/>
      <c r="D144" s="120"/>
      <c r="E144" s="120"/>
    </row>
    <row r="145" spans="1:5">
      <c r="A145" s="112"/>
      <c r="B145" s="119"/>
      <c r="C145" s="120"/>
      <c r="D145" s="120"/>
      <c r="E145" s="120"/>
    </row>
    <row r="146" spans="1:5">
      <c r="A146" s="111"/>
      <c r="B146" s="119"/>
      <c r="C146" s="120"/>
      <c r="D146" s="120"/>
      <c r="E146" s="120"/>
    </row>
    <row r="147" spans="1:5">
      <c r="A147" s="111"/>
      <c r="B147" s="119"/>
      <c r="C147" s="120"/>
      <c r="D147" s="120"/>
      <c r="E147" s="120"/>
    </row>
    <row r="148" spans="1:5">
      <c r="A148" s="109"/>
      <c r="B148" s="119"/>
      <c r="C148" s="120"/>
      <c r="D148" s="120"/>
      <c r="E148" s="120"/>
    </row>
    <row r="149" spans="1:5" s="2" customFormat="1">
      <c r="B149" s="2266"/>
      <c r="C149" s="2266"/>
      <c r="D149" s="124"/>
      <c r="E149" s="124"/>
    </row>
    <row r="150" spans="1:5">
      <c r="A150" s="110"/>
      <c r="B150" s="116"/>
      <c r="C150" s="116"/>
      <c r="D150" s="116"/>
      <c r="E150" s="116"/>
    </row>
    <row r="151" spans="1:5">
      <c r="A151" s="1"/>
      <c r="B151" s="115"/>
      <c r="C151" s="115"/>
      <c r="D151" s="115"/>
      <c r="E151" s="115"/>
    </row>
    <row r="152" spans="1:5">
      <c r="A152" s="1"/>
      <c r="B152" s="115"/>
      <c r="C152" s="115"/>
      <c r="D152" s="115"/>
      <c r="E152" s="115"/>
    </row>
    <row r="153" spans="1:5">
      <c r="A153" s="1"/>
      <c r="B153" s="121"/>
      <c r="C153" s="121"/>
      <c r="D153" s="121"/>
      <c r="E153" s="121"/>
    </row>
    <row r="154" spans="1:5">
      <c r="A154" s="1"/>
      <c r="B154" s="117"/>
      <c r="C154" s="117"/>
      <c r="D154" s="117"/>
      <c r="E154" s="117"/>
    </row>
    <row r="155" spans="1:5">
      <c r="A155" s="1"/>
      <c r="B155" s="118"/>
      <c r="C155" s="118"/>
      <c r="D155" s="118"/>
      <c r="E155" s="118"/>
    </row>
    <row r="156" spans="1:5">
      <c r="A156" s="1"/>
      <c r="B156" s="118"/>
      <c r="C156" s="118"/>
      <c r="D156" s="118"/>
      <c r="E156" s="118"/>
    </row>
    <row r="157" spans="1:5">
      <c r="A157" s="1"/>
      <c r="B157" s="18"/>
      <c r="C157" s="18"/>
      <c r="D157" s="18"/>
      <c r="E157" s="18"/>
    </row>
    <row r="158" spans="1:5">
      <c r="A158" s="1"/>
      <c r="B158" s="122"/>
      <c r="C158" s="122"/>
      <c r="D158" s="122"/>
      <c r="E158" s="122"/>
    </row>
    <row r="159" spans="1:5">
      <c r="A159" s="2"/>
      <c r="B159" s="123"/>
      <c r="C159" s="123"/>
      <c r="D159" s="123"/>
      <c r="E159" s="123"/>
    </row>
    <row r="160" spans="1:5">
      <c r="A160" s="111"/>
      <c r="C160"/>
    </row>
    <row r="161" spans="1:5">
      <c r="A161" s="111"/>
      <c r="B161" s="119"/>
      <c r="C161" s="119"/>
      <c r="D161" s="119"/>
      <c r="E161" s="119"/>
    </row>
    <row r="162" spans="1:5">
      <c r="A162" s="111"/>
      <c r="B162" s="119"/>
      <c r="C162" s="120"/>
      <c r="D162" s="120"/>
      <c r="E162" s="120"/>
    </row>
    <row r="163" spans="1:5">
      <c r="A163" s="113"/>
      <c r="B163" s="119"/>
      <c r="C163" s="120"/>
      <c r="D163" s="120"/>
      <c r="E163" s="120"/>
    </row>
    <row r="164" spans="1:5">
      <c r="A164" s="114"/>
      <c r="B164" s="123"/>
      <c r="C164" s="123"/>
      <c r="D164" s="123"/>
      <c r="E164" s="123"/>
    </row>
    <row r="165" spans="1:5">
      <c r="A165" s="111"/>
      <c r="B165" s="120"/>
      <c r="C165" s="120"/>
      <c r="D165" s="120"/>
      <c r="E165" s="120"/>
    </row>
    <row r="166" spans="1:5">
      <c r="A166" s="114"/>
      <c r="B166" s="123"/>
      <c r="C166" s="123"/>
      <c r="D166" s="123"/>
      <c r="E166" s="123"/>
    </row>
  </sheetData>
  <sheetProtection algorithmName="SHA-512" hashValue="KCPEEVjGOqftN1cX3+jYNbN6op5/Bzq1lo8kBHijCQswxVxZpDJ/JsJT8WAy7i2mWZreFALVqnyfVjs3xzmFNg==" saltValue="HJF6J4pAn2MYfd9IXaFiuA==" spinCount="100000" sheet="1" objects="1" scenarios="1" selectLockedCells="1" selectUnlockedCells="1"/>
  <mergeCells count="70"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  <mergeCell ref="P4:U4"/>
    <mergeCell ref="V4:AA4"/>
    <mergeCell ref="V57:AA57"/>
    <mergeCell ref="K72:N72"/>
    <mergeCell ref="J57:O57"/>
    <mergeCell ref="J38:O38"/>
    <mergeCell ref="P39:U39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defaultGridColor="0" colorId="55" zoomScaleNormal="100" workbookViewId="0">
      <selection activeCell="B7" sqref="B7:D7"/>
    </sheetView>
  </sheetViews>
  <sheetFormatPr defaultRowHeight="12.45"/>
  <cols>
    <col min="1" max="1" width="10.53515625" customWidth="1"/>
    <col min="2" max="2" width="3.69140625" style="38" customWidth="1"/>
    <col min="3" max="3" width="45.3046875" customWidth="1"/>
    <col min="4" max="8" width="11" customWidth="1"/>
    <col min="9" max="9" width="5.07421875" customWidth="1"/>
    <col min="10" max="10" width="10.69140625" style="38" customWidth="1"/>
    <col min="11" max="11" width="10.69140625" customWidth="1"/>
    <col min="20" max="20" width="7.69140625" customWidth="1"/>
  </cols>
  <sheetData>
    <row r="1" spans="1:20" ht="14.15">
      <c r="B1" s="80" t="s">
        <v>0</v>
      </c>
      <c r="I1" s="58"/>
    </row>
    <row r="2" spans="1:20" ht="4.5" customHeight="1">
      <c r="E2" s="59" t="s">
        <v>0</v>
      </c>
    </row>
    <row r="3" spans="1:20" ht="14.25" customHeight="1">
      <c r="A3" s="1524" t="s">
        <v>740</v>
      </c>
      <c r="C3" s="22" t="s">
        <v>103</v>
      </c>
      <c r="D3" s="1629"/>
      <c r="E3" s="43" t="s">
        <v>93</v>
      </c>
      <c r="J3" s="1767"/>
      <c r="K3" s="1767"/>
      <c r="N3" s="22" t="s">
        <v>103</v>
      </c>
    </row>
    <row r="4" spans="1:20" ht="14.25" customHeight="1">
      <c r="C4" s="185" t="s">
        <v>0</v>
      </c>
      <c r="D4" s="1629"/>
      <c r="E4" s="560">
        <v>0</v>
      </c>
      <c r="F4" s="561"/>
      <c r="G4" s="77"/>
    </row>
    <row r="5" spans="1:20" ht="7.5" customHeight="1">
      <c r="D5" s="1629"/>
      <c r="E5" s="1747"/>
      <c r="F5" s="1748"/>
      <c r="G5" s="38"/>
      <c r="H5" s="22"/>
    </row>
    <row r="6" spans="1:20">
      <c r="B6" s="46" t="s">
        <v>742</v>
      </c>
      <c r="C6" s="62"/>
      <c r="D6" s="1630"/>
      <c r="E6" s="494" t="s">
        <v>745</v>
      </c>
      <c r="F6" s="1387"/>
      <c r="G6" s="494"/>
      <c r="H6" s="51"/>
      <c r="I6" s="62"/>
      <c r="J6" s="1319" t="s">
        <v>724</v>
      </c>
      <c r="K6" s="1320"/>
      <c r="L6" s="1320"/>
      <c r="M6" s="1320"/>
      <c r="N6" s="1320"/>
      <c r="O6" s="1320"/>
      <c r="P6" s="1320"/>
      <c r="Q6" s="1320"/>
      <c r="R6" s="1320"/>
      <c r="S6" s="1320"/>
      <c r="T6" s="1321"/>
    </row>
    <row r="7" spans="1:20" s="51" customFormat="1" ht="14.25" customHeight="1">
      <c r="B7" s="1753"/>
      <c r="C7" s="1753"/>
      <c r="D7" s="1754"/>
      <c r="E7" s="1755"/>
      <c r="F7" s="1756"/>
      <c r="G7" s="1756"/>
      <c r="H7" s="1756"/>
      <c r="J7" s="378"/>
      <c r="K7" s="320"/>
      <c r="L7" s="320"/>
      <c r="M7" s="320"/>
      <c r="N7" s="320"/>
      <c r="O7" s="320"/>
      <c r="P7" s="320"/>
      <c r="Q7" s="320"/>
      <c r="R7" s="320"/>
      <c r="S7" s="320"/>
      <c r="T7" s="464"/>
    </row>
    <row r="8" spans="1:20" ht="12.9">
      <c r="B8" s="1388" t="s">
        <v>743</v>
      </c>
      <c r="C8" s="61"/>
      <c r="D8" s="1631"/>
      <c r="E8" s="247" t="s">
        <v>746</v>
      </c>
      <c r="F8" s="246"/>
      <c r="G8" s="247"/>
      <c r="H8" s="1386"/>
      <c r="I8" s="63"/>
      <c r="J8" s="378"/>
      <c r="K8" s="320"/>
      <c r="L8" s="320"/>
      <c r="M8" s="320"/>
      <c r="N8" s="320"/>
      <c r="O8" s="320"/>
      <c r="P8" s="320"/>
      <c r="Q8" s="320"/>
      <c r="R8" s="320"/>
      <c r="S8" s="320"/>
      <c r="T8" s="464"/>
    </row>
    <row r="9" spans="1:20" s="51" customFormat="1" ht="14.25" customHeight="1">
      <c r="B9" s="1753">
        <v>0</v>
      </c>
      <c r="C9" s="1753"/>
      <c r="D9" s="1754"/>
      <c r="E9" s="1757"/>
      <c r="F9" s="1757"/>
      <c r="G9" s="1757"/>
      <c r="H9" s="1757"/>
      <c r="I9" s="70"/>
      <c r="J9" s="378"/>
      <c r="K9" s="320"/>
      <c r="L9" s="320"/>
      <c r="M9" s="320"/>
      <c r="N9" s="320"/>
      <c r="O9" s="320"/>
      <c r="P9" s="320"/>
      <c r="Q9" s="320"/>
      <c r="R9" s="320"/>
      <c r="S9" s="320"/>
      <c r="T9" s="464"/>
    </row>
    <row r="10" spans="1:20" s="2" customFormat="1">
      <c r="A10"/>
      <c r="B10" s="1388" t="s">
        <v>744</v>
      </c>
      <c r="C10" s="61"/>
      <c r="D10" s="1631"/>
      <c r="E10" s="1758" t="s">
        <v>747</v>
      </c>
      <c r="F10" s="1758"/>
      <c r="G10" s="1758"/>
      <c r="H10" s="1758"/>
      <c r="J10" s="378"/>
      <c r="K10" s="320"/>
      <c r="L10" s="320"/>
      <c r="M10" s="320"/>
      <c r="N10" s="320"/>
      <c r="O10" s="320"/>
      <c r="P10" s="320"/>
      <c r="Q10" s="320"/>
      <c r="R10" s="320"/>
      <c r="S10" s="320"/>
      <c r="T10" s="464"/>
    </row>
    <row r="11" spans="1:20" s="51" customFormat="1" ht="14.25" customHeight="1">
      <c r="B11" s="1760">
        <v>0</v>
      </c>
      <c r="C11" s="1761"/>
      <c r="D11" s="1762"/>
      <c r="E11" s="1757"/>
      <c r="F11" s="1757"/>
      <c r="G11" s="1757"/>
      <c r="H11" s="1757"/>
      <c r="I11" s="71"/>
      <c r="J11" s="378"/>
      <c r="K11" s="320"/>
      <c r="L11" s="320"/>
      <c r="M11" s="320"/>
      <c r="N11" s="320"/>
      <c r="O11" s="320"/>
      <c r="P11" s="320"/>
      <c r="Q11" s="320"/>
      <c r="R11" s="320"/>
      <c r="S11" s="320"/>
      <c r="T11" s="464"/>
    </row>
    <row r="12" spans="1:20" ht="14.25" customHeight="1">
      <c r="B12" s="1761"/>
      <c r="C12" s="1761"/>
      <c r="D12" s="1762"/>
      <c r="E12" s="1758" t="s">
        <v>748</v>
      </c>
      <c r="F12" s="1758"/>
      <c r="G12" s="1758"/>
      <c r="H12" s="1758"/>
      <c r="J12" s="378"/>
      <c r="K12" s="320"/>
      <c r="L12" s="320"/>
      <c r="M12" s="320"/>
      <c r="N12" s="320"/>
      <c r="O12" s="320"/>
      <c r="P12" s="320"/>
      <c r="Q12" s="320"/>
      <c r="R12" s="320"/>
      <c r="S12" s="320"/>
      <c r="T12" s="464"/>
    </row>
    <row r="13" spans="1:20" ht="14.25" customHeight="1">
      <c r="A13" s="51"/>
      <c r="B13" s="1761"/>
      <c r="C13" s="1761"/>
      <c r="D13" s="1762"/>
      <c r="E13" s="1759"/>
      <c r="F13" s="1759"/>
      <c r="G13" s="1759"/>
      <c r="H13" s="1759"/>
      <c r="I13" s="64"/>
      <c r="J13" s="378"/>
      <c r="K13" s="320"/>
      <c r="L13" s="320"/>
      <c r="M13" s="320"/>
      <c r="N13" s="320"/>
      <c r="O13" s="320"/>
      <c r="P13" s="320"/>
      <c r="Q13" s="320"/>
      <c r="R13" s="320"/>
      <c r="S13" s="320"/>
      <c r="T13" s="464"/>
    </row>
    <row r="14" spans="1:20" ht="13.95" customHeight="1">
      <c r="A14" s="2"/>
      <c r="C14" s="245"/>
      <c r="J14" s="378"/>
      <c r="K14" s="320"/>
      <c r="L14" s="320"/>
      <c r="M14" s="320"/>
      <c r="N14" s="320"/>
      <c r="O14" s="320"/>
      <c r="P14" s="320"/>
      <c r="Q14" s="320"/>
      <c r="R14" s="320"/>
      <c r="S14" s="320"/>
      <c r="T14" s="464"/>
    </row>
    <row r="15" spans="1:20" ht="13.2" customHeight="1">
      <c r="B15" s="1749" t="s">
        <v>199</v>
      </c>
      <c r="C15" s="1750"/>
      <c r="D15" s="1389" t="s">
        <v>110</v>
      </c>
      <c r="E15" s="1390" t="s">
        <v>98</v>
      </c>
      <c r="F15" s="1390" t="s">
        <v>100</v>
      </c>
      <c r="G15" s="1390" t="s">
        <v>257</v>
      </c>
      <c r="H15" s="1740" t="s">
        <v>190</v>
      </c>
      <c r="I15" s="60"/>
      <c r="J15" s="1322"/>
      <c r="K15" s="1323"/>
      <c r="L15" s="1323"/>
      <c r="M15" s="1323"/>
      <c r="N15" s="1323"/>
      <c r="O15" s="1323"/>
      <c r="P15" s="1323"/>
      <c r="Q15" s="1323"/>
      <c r="R15" s="1323"/>
      <c r="S15" s="1323"/>
      <c r="T15" s="1324"/>
    </row>
    <row r="16" spans="1:20" ht="13.5" customHeight="1">
      <c r="B16" s="1751"/>
      <c r="C16" s="1752"/>
      <c r="D16" s="1396">
        <v>2025</v>
      </c>
      <c r="E16" s="1397">
        <f>D16+1</f>
        <v>2026</v>
      </c>
      <c r="F16" s="1397">
        <f>E16+1</f>
        <v>2027</v>
      </c>
      <c r="G16" s="1397">
        <f>F16+1</f>
        <v>2028</v>
      </c>
      <c r="H16" s="1741"/>
      <c r="I16" s="60"/>
      <c r="J16" s="1322"/>
      <c r="K16" s="1323"/>
      <c r="L16" s="1323"/>
      <c r="M16" s="1323"/>
      <c r="N16" s="1323"/>
      <c r="O16" s="1323"/>
      <c r="P16" s="1323"/>
      <c r="Q16" s="1323"/>
      <c r="R16" s="1323"/>
      <c r="S16" s="1323"/>
      <c r="T16" s="1324"/>
    </row>
    <row r="17" spans="1:20" ht="13.5" customHeight="1">
      <c r="B17" s="1392" t="s">
        <v>2</v>
      </c>
      <c r="C17" s="182" t="s">
        <v>734</v>
      </c>
      <c r="D17" s="697">
        <v>0</v>
      </c>
      <c r="E17" s="697">
        <v>0</v>
      </c>
      <c r="F17" s="697">
        <v>0</v>
      </c>
      <c r="G17" s="697">
        <v>0</v>
      </c>
      <c r="H17" s="728">
        <f>SUM(D17:G17)</f>
        <v>0</v>
      </c>
      <c r="I17" s="65"/>
      <c r="J17" s="1322"/>
      <c r="K17" s="1323"/>
      <c r="L17" s="1323"/>
      <c r="M17" s="1323"/>
      <c r="N17" s="1323"/>
      <c r="O17" s="1323"/>
      <c r="P17" s="1323"/>
      <c r="Q17" s="1323"/>
      <c r="R17" s="1323"/>
      <c r="S17" s="1323"/>
      <c r="T17" s="1324"/>
    </row>
    <row r="18" spans="1:20" s="4" customFormat="1" ht="13.5" customHeight="1">
      <c r="A18"/>
      <c r="B18" s="1392"/>
      <c r="C18" s="182" t="s">
        <v>207</v>
      </c>
      <c r="D18" s="663"/>
      <c r="E18" s="663" t="s">
        <v>0</v>
      </c>
      <c r="F18" s="663"/>
      <c r="G18" s="663"/>
      <c r="H18" s="1393"/>
      <c r="I18" s="183"/>
      <c r="J18" s="1322"/>
      <c r="K18" s="1323"/>
      <c r="L18" s="1323"/>
      <c r="M18" s="1323"/>
      <c r="N18" s="1323"/>
      <c r="O18" s="1323"/>
      <c r="P18" s="1323"/>
      <c r="Q18" s="1323"/>
      <c r="R18" s="1323"/>
      <c r="S18" s="1323"/>
      <c r="T18" s="1324"/>
    </row>
    <row r="19" spans="1:20" s="4" customFormat="1" ht="13.5" customHeight="1">
      <c r="A19"/>
      <c r="B19" s="1392"/>
      <c r="C19" s="182" t="s">
        <v>198</v>
      </c>
      <c r="D19" s="382">
        <v>0</v>
      </c>
      <c r="E19" s="382">
        <v>0</v>
      </c>
      <c r="F19" s="382">
        <v>0</v>
      </c>
      <c r="G19" s="382">
        <v>0</v>
      </c>
      <c r="H19" s="1393"/>
      <c r="I19" s="183"/>
      <c r="J19" s="1322"/>
      <c r="K19" s="1323"/>
      <c r="L19" s="1323"/>
      <c r="M19" s="1323"/>
      <c r="N19" s="1323"/>
      <c r="O19" s="1323"/>
      <c r="P19" s="1323"/>
      <c r="Q19" s="1323"/>
      <c r="R19" s="1323"/>
      <c r="S19" s="1323"/>
      <c r="T19" s="1324"/>
    </row>
    <row r="20" spans="1:20" ht="13.5" customHeight="1">
      <c r="B20" s="1392" t="s">
        <v>3</v>
      </c>
      <c r="C20" s="1317" t="s">
        <v>731</v>
      </c>
      <c r="D20" s="663">
        <v>0</v>
      </c>
      <c r="E20" s="663">
        <v>0</v>
      </c>
      <c r="F20" s="663">
        <v>0</v>
      </c>
      <c r="G20" s="663">
        <v>0</v>
      </c>
      <c r="H20" s="643">
        <f>SUM(D20:G20)</f>
        <v>0</v>
      </c>
      <c r="I20" s="66"/>
      <c r="J20" s="1322"/>
      <c r="K20" s="1325"/>
      <c r="L20" s="1323"/>
      <c r="M20" s="1323"/>
      <c r="N20" s="1323"/>
      <c r="O20" s="1323"/>
      <c r="P20" s="1323"/>
      <c r="Q20" s="1323"/>
      <c r="R20" s="1323"/>
      <c r="S20" s="1323"/>
      <c r="T20" s="1324"/>
    </row>
    <row r="21" spans="1:20" s="4" customFormat="1" ht="13.5" customHeight="1">
      <c r="A21"/>
      <c r="B21" s="1392"/>
      <c r="C21" s="441" t="s">
        <v>708</v>
      </c>
      <c r="D21" s="542">
        <v>0</v>
      </c>
      <c r="E21" s="542">
        <v>0</v>
      </c>
      <c r="F21" s="542"/>
      <c r="G21" s="542"/>
      <c r="H21" s="1393"/>
      <c r="I21" s="184"/>
      <c r="J21" s="1322"/>
      <c r="K21" s="1325"/>
      <c r="L21" s="1323"/>
      <c r="M21" s="1323"/>
      <c r="N21" s="1323"/>
      <c r="O21" s="1323"/>
      <c r="P21" s="1323"/>
      <c r="Q21" s="1323"/>
      <c r="R21" s="1323"/>
      <c r="S21" s="1323"/>
      <c r="T21" s="1324"/>
    </row>
    <row r="22" spans="1:20" s="4" customFormat="1" ht="13.5" customHeight="1">
      <c r="A22"/>
      <c r="B22" s="1392"/>
      <c r="C22" s="182" t="s">
        <v>200</v>
      </c>
      <c r="D22" s="382">
        <v>0.24</v>
      </c>
      <c r="E22" s="382">
        <v>0.24</v>
      </c>
      <c r="F22" s="382">
        <f>E22</f>
        <v>0.24</v>
      </c>
      <c r="G22" s="382">
        <f>F22</f>
        <v>0.24</v>
      </c>
      <c r="H22" s="1393"/>
      <c r="I22" s="184"/>
      <c r="J22" s="1322"/>
      <c r="K22" s="1325"/>
      <c r="L22" s="1323"/>
      <c r="M22" s="1323"/>
      <c r="N22" s="1323"/>
      <c r="O22" s="1323"/>
      <c r="P22" s="1323"/>
      <c r="Q22" s="1323"/>
      <c r="R22" s="1323"/>
      <c r="S22" s="1323"/>
      <c r="T22" s="1324"/>
    </row>
    <row r="23" spans="1:20" s="4" customFormat="1" ht="13.5" customHeight="1">
      <c r="A23"/>
      <c r="B23" s="1392"/>
      <c r="C23" s="182" t="s">
        <v>198</v>
      </c>
      <c r="D23" s="382">
        <v>0</v>
      </c>
      <c r="E23" s="382">
        <v>0</v>
      </c>
      <c r="F23" s="382">
        <v>0</v>
      </c>
      <c r="G23" s="382">
        <v>0</v>
      </c>
      <c r="H23" s="1393"/>
      <c r="I23" s="184"/>
      <c r="J23" s="1322"/>
      <c r="K23" s="1325"/>
      <c r="L23" s="1323"/>
      <c r="M23" s="1323"/>
      <c r="N23" s="1323"/>
      <c r="O23" s="1323"/>
      <c r="P23" s="1323"/>
      <c r="Q23" s="1323"/>
      <c r="R23" s="1323"/>
      <c r="S23" s="1323"/>
      <c r="T23" s="1324"/>
    </row>
    <row r="24" spans="1:20" ht="13.5" customHeight="1">
      <c r="B24" s="1392" t="s">
        <v>4</v>
      </c>
      <c r="C24" s="364" t="s">
        <v>733</v>
      </c>
      <c r="D24" s="663">
        <v>0</v>
      </c>
      <c r="E24" s="663">
        <v>0</v>
      </c>
      <c r="F24" s="663">
        <v>0</v>
      </c>
      <c r="G24" s="663">
        <v>0</v>
      </c>
      <c r="H24" s="643">
        <f>SUM(D24:G24)</f>
        <v>0</v>
      </c>
      <c r="I24" s="66"/>
      <c r="J24" s="1322"/>
      <c r="K24" s="1325"/>
      <c r="L24" s="1323"/>
      <c r="M24" s="1323"/>
      <c r="N24" s="1323"/>
      <c r="O24" s="1323"/>
      <c r="P24" s="1323"/>
      <c r="Q24" s="1323"/>
      <c r="R24" s="1323"/>
      <c r="S24" s="1323"/>
      <c r="T24" s="1324"/>
    </row>
    <row r="25" spans="1:20" s="4" customFormat="1" ht="13.5" customHeight="1">
      <c r="A25" s="51"/>
      <c r="B25" s="1392"/>
      <c r="C25" s="182" t="s">
        <v>708</v>
      </c>
      <c r="D25" s="542"/>
      <c r="E25" s="542">
        <v>0</v>
      </c>
      <c r="F25" s="542"/>
      <c r="G25" s="542"/>
      <c r="H25" s="1393"/>
      <c r="I25" s="184"/>
      <c r="J25" s="1322"/>
      <c r="K25" s="1325"/>
      <c r="L25" s="1323"/>
      <c r="M25" s="1323"/>
      <c r="N25" s="1323"/>
      <c r="O25" s="1323"/>
      <c r="P25" s="1323"/>
      <c r="Q25" s="1323"/>
      <c r="R25" s="1323"/>
      <c r="S25" s="1323"/>
      <c r="T25" s="1324"/>
    </row>
    <row r="26" spans="1:20" s="4" customFormat="1" ht="13.5" customHeight="1">
      <c r="A26" s="2"/>
      <c r="B26" s="1392"/>
      <c r="C26" s="182" t="s">
        <v>198</v>
      </c>
      <c r="D26" s="382">
        <v>0</v>
      </c>
      <c r="E26" s="382">
        <v>0</v>
      </c>
      <c r="F26" s="382">
        <v>0</v>
      </c>
      <c r="G26" s="382">
        <v>0</v>
      </c>
      <c r="H26" s="1393"/>
      <c r="I26" s="184"/>
      <c r="J26" s="1322"/>
      <c r="K26" s="1325"/>
      <c r="L26" s="1323"/>
      <c r="M26" s="1323"/>
      <c r="N26" s="1323"/>
      <c r="O26" s="1323"/>
      <c r="P26" s="1323"/>
      <c r="Q26" s="1323"/>
      <c r="R26" s="1323"/>
      <c r="S26" s="1323"/>
      <c r="T26" s="1326"/>
    </row>
    <row r="27" spans="1:20" ht="13.2" customHeight="1">
      <c r="B27" s="1392" t="s">
        <v>5</v>
      </c>
      <c r="C27" s="1317" t="s">
        <v>556</v>
      </c>
      <c r="D27" s="663">
        <v>0</v>
      </c>
      <c r="E27" s="663">
        <v>0</v>
      </c>
      <c r="F27" s="663">
        <v>0</v>
      </c>
      <c r="G27" s="663">
        <v>0</v>
      </c>
      <c r="H27" s="643">
        <f>SUM(D27:G27)</f>
        <v>0</v>
      </c>
      <c r="I27" s="66"/>
      <c r="J27" s="1322"/>
      <c r="K27" s="1325"/>
      <c r="L27" s="1323"/>
      <c r="M27" s="1323"/>
      <c r="N27" s="1323"/>
      <c r="O27" s="1323"/>
      <c r="P27" s="1323"/>
      <c r="Q27" s="1323"/>
      <c r="R27" s="1323"/>
      <c r="S27" s="1323"/>
      <c r="T27" s="1324"/>
    </row>
    <row r="28" spans="1:20" s="4" customFormat="1" ht="13.5" customHeight="1">
      <c r="A28"/>
      <c r="B28" s="1392"/>
      <c r="C28" s="182" t="s">
        <v>200</v>
      </c>
      <c r="D28" s="382">
        <v>0.24</v>
      </c>
      <c r="E28" s="382">
        <v>0.24</v>
      </c>
      <c r="F28" s="382">
        <v>0.24</v>
      </c>
      <c r="G28" s="382">
        <v>0.24</v>
      </c>
      <c r="H28" s="1393"/>
      <c r="I28" s="184"/>
      <c r="J28" s="1322"/>
      <c r="K28" s="1325"/>
      <c r="L28" s="1323"/>
      <c r="M28" s="1323"/>
      <c r="N28" s="1323"/>
      <c r="O28" s="1323"/>
      <c r="P28" s="1323"/>
      <c r="Q28" s="1323"/>
      <c r="R28" s="1323"/>
      <c r="S28" s="1323"/>
      <c r="T28" s="1324"/>
    </row>
    <row r="29" spans="1:20" s="4" customFormat="1" ht="13.5" customHeight="1">
      <c r="A29"/>
      <c r="B29" s="1392"/>
      <c r="C29" s="182" t="s">
        <v>198</v>
      </c>
      <c r="D29" s="382">
        <v>0</v>
      </c>
      <c r="E29" s="382">
        <v>0</v>
      </c>
      <c r="F29" s="382">
        <v>0</v>
      </c>
      <c r="G29" s="382">
        <v>0</v>
      </c>
      <c r="H29" s="1393"/>
      <c r="I29" s="184"/>
      <c r="J29" s="1322"/>
      <c r="K29" s="1325"/>
      <c r="L29" s="1323"/>
      <c r="M29" s="1323"/>
      <c r="N29" s="1323"/>
      <c r="O29" s="1323"/>
      <c r="P29" s="1323"/>
      <c r="Q29" s="1323"/>
      <c r="R29" s="1323"/>
      <c r="S29" s="1323"/>
      <c r="T29" s="1324"/>
    </row>
    <row r="30" spans="1:20" ht="13.5" customHeight="1">
      <c r="B30" s="1392" t="s">
        <v>6</v>
      </c>
      <c r="C30" s="1317" t="s">
        <v>535</v>
      </c>
      <c r="D30" s="694">
        <v>0</v>
      </c>
      <c r="E30" s="694">
        <v>0</v>
      </c>
      <c r="F30" s="694">
        <v>0</v>
      </c>
      <c r="G30" s="694">
        <v>0</v>
      </c>
      <c r="H30" s="643">
        <f>SUM(D30:G30)</f>
        <v>0</v>
      </c>
      <c r="I30" s="66"/>
      <c r="J30" s="1322"/>
      <c r="K30" s="1325"/>
      <c r="L30" s="1323"/>
      <c r="M30" s="1323"/>
      <c r="N30" s="1323"/>
      <c r="O30" s="1323"/>
      <c r="P30" s="1323"/>
      <c r="Q30" s="1323"/>
      <c r="R30" s="1323"/>
      <c r="S30" s="1323"/>
      <c r="T30" s="1324"/>
    </row>
    <row r="31" spans="1:20" s="4" customFormat="1" ht="13.5" customHeight="1">
      <c r="A31"/>
      <c r="B31" s="1392"/>
      <c r="C31" s="182" t="s">
        <v>198</v>
      </c>
      <c r="D31" s="695">
        <v>0</v>
      </c>
      <c r="E31" s="695">
        <v>0</v>
      </c>
      <c r="F31" s="695">
        <v>0</v>
      </c>
      <c r="G31" s="695">
        <v>0</v>
      </c>
      <c r="H31" s="1393"/>
      <c r="I31" s="184"/>
      <c r="J31" s="1322"/>
      <c r="K31" s="1325"/>
      <c r="L31" s="1323"/>
      <c r="M31" s="1323"/>
      <c r="N31" s="1323"/>
      <c r="O31" s="1323"/>
      <c r="P31" s="1323"/>
      <c r="Q31" s="1323"/>
      <c r="R31" s="1323"/>
      <c r="S31" s="1323"/>
      <c r="T31" s="1326"/>
    </row>
    <row r="32" spans="1:20" ht="13.5" customHeight="1">
      <c r="B32" s="1392" t="s">
        <v>7</v>
      </c>
      <c r="C32" s="1317" t="s">
        <v>756</v>
      </c>
      <c r="D32" s="694">
        <v>0</v>
      </c>
      <c r="E32" s="694">
        <v>0</v>
      </c>
      <c r="F32" s="694">
        <v>0</v>
      </c>
      <c r="G32" s="694">
        <v>0</v>
      </c>
      <c r="H32" s="643">
        <f>SUM(D32:G32)</f>
        <v>0</v>
      </c>
      <c r="I32" s="66"/>
      <c r="J32" s="1322"/>
      <c r="K32" s="1325"/>
      <c r="L32" s="1323"/>
      <c r="M32" s="1323"/>
      <c r="N32" s="1323"/>
      <c r="O32" s="1323"/>
      <c r="P32" s="1323"/>
      <c r="Q32" s="1323"/>
      <c r="R32" s="1323"/>
      <c r="S32" s="1323"/>
      <c r="T32" s="1324"/>
    </row>
    <row r="33" spans="1:20" s="4" customFormat="1" ht="13.5" customHeight="1">
      <c r="A33"/>
      <c r="B33" s="1392"/>
      <c r="C33" s="182" t="s">
        <v>200</v>
      </c>
      <c r="D33" s="382">
        <v>0.24</v>
      </c>
      <c r="E33" s="382">
        <v>0.24</v>
      </c>
      <c r="F33" s="382">
        <f>E33</f>
        <v>0.24</v>
      </c>
      <c r="G33" s="382">
        <f>F33</f>
        <v>0.24</v>
      </c>
      <c r="H33" s="1393"/>
      <c r="I33" s="184"/>
      <c r="J33" s="1322"/>
      <c r="K33" s="1325"/>
      <c r="L33" s="1323"/>
      <c r="M33" s="1323"/>
      <c r="N33" s="1323"/>
      <c r="O33" s="1323"/>
      <c r="P33" s="1323"/>
      <c r="Q33" s="1323"/>
      <c r="R33" s="1323"/>
      <c r="S33" s="1323"/>
      <c r="T33" s="1324"/>
    </row>
    <row r="34" spans="1:20" s="4" customFormat="1" ht="13.5" customHeight="1">
      <c r="A34"/>
      <c r="B34" s="1392"/>
      <c r="C34" s="182" t="s">
        <v>198</v>
      </c>
      <c r="D34" s="382">
        <v>0</v>
      </c>
      <c r="E34" s="382">
        <v>0</v>
      </c>
      <c r="F34" s="382">
        <v>0</v>
      </c>
      <c r="G34" s="382">
        <v>0</v>
      </c>
      <c r="H34" s="1393"/>
      <c r="I34" s="184"/>
      <c r="J34" s="1322"/>
      <c r="K34" s="1325"/>
      <c r="L34" s="1323"/>
      <c r="M34" s="1323"/>
      <c r="N34" s="1323"/>
      <c r="O34" s="1323"/>
      <c r="P34" s="1323"/>
      <c r="Q34" s="1323"/>
      <c r="R34" s="1323"/>
      <c r="S34" s="1323"/>
      <c r="T34" s="1324"/>
    </row>
    <row r="35" spans="1:20" ht="13.5" customHeight="1">
      <c r="B35" s="1392" t="s">
        <v>8</v>
      </c>
      <c r="C35" s="1317" t="s">
        <v>251</v>
      </c>
      <c r="D35" s="663">
        <v>0</v>
      </c>
      <c r="E35" s="663">
        <v>0</v>
      </c>
      <c r="F35" s="663">
        <v>0</v>
      </c>
      <c r="G35" s="663">
        <v>0</v>
      </c>
      <c r="H35" s="643">
        <f>SUM(D35:G35)</f>
        <v>0</v>
      </c>
      <c r="I35" s="66"/>
      <c r="J35" s="1322"/>
      <c r="K35" s="1325"/>
      <c r="L35" s="1323"/>
      <c r="M35" s="1323"/>
      <c r="N35" s="1323"/>
      <c r="O35" s="1323"/>
      <c r="P35" s="1323"/>
      <c r="Q35" s="1323"/>
      <c r="R35" s="1323"/>
      <c r="S35" s="1323"/>
      <c r="T35" s="1324"/>
    </row>
    <row r="36" spans="1:20" s="4" customFormat="1" ht="13.5" customHeight="1">
      <c r="A36"/>
      <c r="B36" s="1392"/>
      <c r="C36" s="182" t="s">
        <v>200</v>
      </c>
      <c r="D36" s="382">
        <v>0.24</v>
      </c>
      <c r="E36" s="382">
        <v>0.24</v>
      </c>
      <c r="F36" s="382">
        <f>E36</f>
        <v>0.24</v>
      </c>
      <c r="G36" s="382">
        <f>F36</f>
        <v>0.24</v>
      </c>
      <c r="H36" s="1393"/>
      <c r="I36" s="184"/>
      <c r="J36" s="1322"/>
      <c r="K36" s="1325"/>
      <c r="L36" s="1323"/>
      <c r="M36" s="1323"/>
      <c r="N36" s="1323"/>
      <c r="O36" s="1323"/>
      <c r="P36" s="1323"/>
      <c r="Q36" s="1323"/>
      <c r="R36" s="1323"/>
      <c r="S36" s="1323"/>
      <c r="T36" s="1324"/>
    </row>
    <row r="37" spans="1:20" s="4" customFormat="1" ht="13.5" customHeight="1">
      <c r="A37"/>
      <c r="B37" s="1392"/>
      <c r="C37" s="182" t="s">
        <v>198</v>
      </c>
      <c r="D37" s="382">
        <v>0</v>
      </c>
      <c r="E37" s="382">
        <v>0</v>
      </c>
      <c r="F37" s="382">
        <v>0</v>
      </c>
      <c r="G37" s="382">
        <v>0</v>
      </c>
      <c r="H37" s="1393"/>
      <c r="I37" s="184"/>
      <c r="J37" s="1322"/>
      <c r="K37" s="1325"/>
      <c r="L37" s="1323"/>
      <c r="M37" s="1323"/>
      <c r="N37" s="1323"/>
      <c r="O37" s="1323"/>
      <c r="P37" s="1323"/>
      <c r="Q37" s="1323"/>
      <c r="R37" s="1323"/>
      <c r="S37" s="1323"/>
      <c r="T37" s="1324"/>
    </row>
    <row r="38" spans="1:20" s="4" customFormat="1" ht="13.5" customHeight="1">
      <c r="A38"/>
      <c r="B38" s="1392" t="s">
        <v>9</v>
      </c>
      <c r="C38" s="182" t="s">
        <v>208</v>
      </c>
      <c r="D38" s="663">
        <v>0</v>
      </c>
      <c r="E38" s="663">
        <v>0</v>
      </c>
      <c r="F38" s="663">
        <v>0</v>
      </c>
      <c r="G38" s="663">
        <v>0</v>
      </c>
      <c r="H38" s="643">
        <f>SUM(D38:G38)</f>
        <v>0</v>
      </c>
      <c r="I38" s="184"/>
      <c r="J38" s="1322"/>
      <c r="K38" s="1325"/>
      <c r="L38" s="1323"/>
      <c r="M38" s="1323"/>
      <c r="N38" s="1323"/>
      <c r="O38" s="1323"/>
      <c r="P38" s="1323"/>
      <c r="Q38" s="1323"/>
      <c r="R38" s="1323"/>
      <c r="S38" s="1323"/>
      <c r="T38" s="1324"/>
    </row>
    <row r="39" spans="1:20" ht="13.5" customHeight="1">
      <c r="B39" s="1392" t="s">
        <v>10</v>
      </c>
      <c r="C39" s="364" t="s">
        <v>533</v>
      </c>
      <c r="D39" s="663">
        <v>0</v>
      </c>
      <c r="E39" s="663">
        <v>0</v>
      </c>
      <c r="F39" s="663">
        <v>0</v>
      </c>
      <c r="G39" s="663">
        <v>0</v>
      </c>
      <c r="H39" s="643">
        <f>SUM(D39:G39)</f>
        <v>0</v>
      </c>
      <c r="I39" s="66"/>
      <c r="J39" s="1322"/>
      <c r="K39" s="1325"/>
      <c r="L39" s="1323"/>
      <c r="M39" s="1323"/>
      <c r="N39" s="1323"/>
      <c r="O39" s="1323"/>
      <c r="P39" s="1323"/>
      <c r="Q39" s="1323"/>
      <c r="R39" s="1323"/>
      <c r="S39" s="1323"/>
      <c r="T39" s="1324"/>
    </row>
    <row r="40" spans="1:20" ht="13.5" customHeight="1">
      <c r="B40" s="1392" t="s">
        <v>11</v>
      </c>
      <c r="C40" s="364" t="s">
        <v>753</v>
      </c>
      <c r="D40" s="663">
        <v>0</v>
      </c>
      <c r="E40" s="988">
        <v>0</v>
      </c>
      <c r="F40" s="988">
        <v>0</v>
      </c>
      <c r="G40" s="988">
        <v>0</v>
      </c>
      <c r="H40" s="643">
        <f>SUM(D40:G40)</f>
        <v>0</v>
      </c>
      <c r="I40" s="66"/>
      <c r="J40" s="1322"/>
      <c r="K40" s="1325"/>
      <c r="L40" s="1323"/>
      <c r="M40" s="1323"/>
      <c r="N40" s="1323"/>
      <c r="O40" s="1323"/>
      <c r="P40" s="1323"/>
      <c r="Q40" s="1323"/>
      <c r="R40" s="1323"/>
      <c r="S40" s="1323"/>
      <c r="T40" s="1324"/>
    </row>
    <row r="41" spans="1:20" s="4" customFormat="1" ht="13.5" customHeight="1">
      <c r="A41"/>
      <c r="B41" s="1392"/>
      <c r="C41" s="182" t="s">
        <v>200</v>
      </c>
      <c r="D41" s="382">
        <v>0.24</v>
      </c>
      <c r="E41" s="988">
        <v>0</v>
      </c>
      <c r="F41" s="988">
        <v>0</v>
      </c>
      <c r="G41" s="988">
        <v>0</v>
      </c>
      <c r="H41" s="1393"/>
      <c r="I41" s="184"/>
      <c r="J41" s="1322"/>
      <c r="K41" s="1325"/>
      <c r="L41" s="1323"/>
      <c r="M41" s="1323"/>
      <c r="N41" s="1323"/>
      <c r="O41" s="1323"/>
      <c r="P41" s="1323"/>
      <c r="Q41" s="1323"/>
      <c r="R41" s="1323"/>
      <c r="S41" s="1323"/>
      <c r="T41" s="1324"/>
    </row>
    <row r="42" spans="1:20" ht="13.5" customHeight="1">
      <c r="B42" s="1394" t="s">
        <v>168</v>
      </c>
      <c r="C42" s="1395" t="s">
        <v>532</v>
      </c>
      <c r="D42" s="537">
        <f>D17+D20+D24+D27+D30+D32+D39+D35+D38+D40</f>
        <v>0</v>
      </c>
      <c r="E42" s="537">
        <f t="shared" ref="E42:G42" si="0">E17+E20+E24+E27+E30+E32+E39+E35+E38+E40</f>
        <v>0</v>
      </c>
      <c r="F42" s="537">
        <f t="shared" si="0"/>
        <v>0</v>
      </c>
      <c r="G42" s="537">
        <f t="shared" si="0"/>
        <v>0</v>
      </c>
      <c r="H42" s="537">
        <f>SUM(D42:G42)</f>
        <v>0</v>
      </c>
      <c r="I42" s="66"/>
      <c r="J42" s="1322"/>
      <c r="K42" s="1323"/>
      <c r="L42" s="1323"/>
      <c r="M42" s="1323"/>
      <c r="N42" s="1323"/>
      <c r="O42" s="1323">
        <v>0</v>
      </c>
      <c r="P42" s="1323"/>
      <c r="Q42" s="1323"/>
      <c r="R42" s="1323"/>
      <c r="S42" s="1323"/>
      <c r="T42" s="1324"/>
    </row>
    <row r="43" spans="1:20" ht="13.95" customHeight="1">
      <c r="H43" s="1398"/>
      <c r="J43" s="378"/>
      <c r="K43" s="320"/>
      <c r="L43" s="320"/>
      <c r="M43" s="320"/>
      <c r="N43" s="320"/>
      <c r="O43" s="320">
        <v>0</v>
      </c>
      <c r="P43" s="320"/>
      <c r="Q43" s="320"/>
      <c r="R43" s="320"/>
      <c r="S43" s="320"/>
      <c r="T43" s="464"/>
    </row>
    <row r="44" spans="1:20" ht="13.5" customHeight="1">
      <c r="B44" s="1749" t="s">
        <v>261</v>
      </c>
      <c r="C44" s="1750"/>
      <c r="D44" s="1390" t="str">
        <f>D15</f>
        <v>Ennuste 1</v>
      </c>
      <c r="E44" s="1390" t="s">
        <v>98</v>
      </c>
      <c r="F44" s="1390" t="s">
        <v>100</v>
      </c>
      <c r="G44" s="1399" t="s">
        <v>257</v>
      </c>
      <c r="H44" s="1740" t="s">
        <v>190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464"/>
    </row>
    <row r="45" spans="1:20" ht="13.5" customHeight="1">
      <c r="B45" s="1751"/>
      <c r="C45" s="1752"/>
      <c r="D45" s="1407">
        <f>D16</f>
        <v>2025</v>
      </c>
      <c r="E45" s="1407">
        <f>E16</f>
        <v>2026</v>
      </c>
      <c r="F45" s="1407">
        <f>F16</f>
        <v>2027</v>
      </c>
      <c r="G45" s="1408">
        <f>G16</f>
        <v>2028</v>
      </c>
      <c r="H45" s="1741"/>
      <c r="J45" s="378"/>
      <c r="K45" s="320"/>
      <c r="L45" s="320"/>
      <c r="M45" s="320"/>
      <c r="N45" s="320"/>
      <c r="O45" s="320"/>
      <c r="P45" s="320"/>
      <c r="Q45" s="320"/>
      <c r="R45" s="320"/>
      <c r="S45" s="320"/>
      <c r="T45" s="464"/>
    </row>
    <row r="46" spans="1:20" ht="13.5" customHeight="1">
      <c r="B46" s="1744" t="s">
        <v>544</v>
      </c>
      <c r="C46" s="1745"/>
      <c r="D46" s="1405"/>
      <c r="E46" s="1405"/>
      <c r="F46" s="1405"/>
      <c r="G46" s="1338"/>
      <c r="H46" s="1406" t="s">
        <v>0</v>
      </c>
      <c r="I46" s="51"/>
      <c r="J46" s="378"/>
      <c r="K46" s="320"/>
      <c r="L46" s="320"/>
      <c r="M46" s="320"/>
      <c r="N46" s="320"/>
      <c r="O46" s="320"/>
      <c r="P46" s="320"/>
      <c r="Q46" s="320"/>
      <c r="R46" s="320"/>
      <c r="S46" s="320"/>
      <c r="T46" s="464"/>
    </row>
    <row r="47" spans="1:20" ht="13.5" customHeight="1">
      <c r="B47" s="704" t="s">
        <v>169</v>
      </c>
      <c r="C47" s="4" t="s">
        <v>531</v>
      </c>
      <c r="D47" s="366"/>
      <c r="E47" s="366"/>
      <c r="F47" s="366"/>
      <c r="G47" s="367"/>
      <c r="H47" s="1400"/>
      <c r="I47" s="51"/>
      <c r="J47" s="378"/>
      <c r="K47" s="320"/>
      <c r="L47" s="320"/>
      <c r="M47" s="320"/>
      <c r="N47" s="320"/>
      <c r="O47" s="320"/>
      <c r="P47" s="320"/>
      <c r="Q47" s="320"/>
      <c r="R47" s="320"/>
      <c r="S47" s="320"/>
      <c r="T47" s="464"/>
    </row>
    <row r="48" spans="1:20" ht="13.5" customHeight="1">
      <c r="B48" s="1401"/>
      <c r="C48" s="441" t="s">
        <v>530</v>
      </c>
      <c r="D48" s="697">
        <v>0</v>
      </c>
      <c r="E48" s="697">
        <v>0</v>
      </c>
      <c r="F48" s="697">
        <v>0</v>
      </c>
      <c r="G48" s="698"/>
      <c r="H48" s="765">
        <f>SUM(D48:G48)</f>
        <v>0</v>
      </c>
      <c r="I48" s="67"/>
      <c r="J48" s="378"/>
      <c r="K48" s="320"/>
      <c r="L48" s="320"/>
      <c r="M48" s="320"/>
      <c r="N48" s="320"/>
      <c r="O48" s="320"/>
      <c r="P48" s="320"/>
      <c r="Q48" s="320"/>
      <c r="R48" s="320"/>
      <c r="S48" s="320"/>
      <c r="T48" s="464"/>
    </row>
    <row r="49" spans="2:20" ht="13.5" customHeight="1">
      <c r="B49" s="1392"/>
      <c r="C49" s="441" t="s">
        <v>529</v>
      </c>
      <c r="D49" s="697">
        <v>0</v>
      </c>
      <c r="E49" s="697">
        <v>0</v>
      </c>
      <c r="F49" s="697">
        <v>0</v>
      </c>
      <c r="G49" s="697">
        <v>0</v>
      </c>
      <c r="H49" s="643">
        <f>SUM(D49:G49)</f>
        <v>0</v>
      </c>
      <c r="I49" s="67"/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464"/>
    </row>
    <row r="50" spans="2:20" ht="13.5" customHeight="1">
      <c r="B50" s="1409" t="s">
        <v>366</v>
      </c>
      <c r="C50" s="364" t="s">
        <v>528</v>
      </c>
      <c r="D50" s="765">
        <f>D62-D61-D60-D57-D56-D55-D52-D51-D48-D49-D58-D59</f>
        <v>0</v>
      </c>
      <c r="E50" s="765">
        <f>E62-E61-E60-E57-E56-E55-E52-E51-E48-E49-E58-E59</f>
        <v>0</v>
      </c>
      <c r="F50" s="765">
        <f>F62-F61-F60-F57-F56-F55-F52-F51-F48-F49-F58-F59</f>
        <v>0</v>
      </c>
      <c r="G50" s="765">
        <f>G62-G61-G60-G57-G56-G55-G52-G51-G48-G49-G58-G59</f>
        <v>0</v>
      </c>
      <c r="H50" s="765">
        <f>SUM(D50:G50)</f>
        <v>0</v>
      </c>
      <c r="I50" s="66"/>
      <c r="J50" s="1327" t="str">
        <f>IF(D50&lt;0,"LISÄÄ LUKU RIVILLE 9 Käyttöpääoman lisäys!",IF(E50&lt;0,"LISÄÄ LUKU RIVILLE 9 Käyttöpääoman lisäys!",IF(F50&lt;0,"LISÄÄ LUKU RIVILLE 9 Käyttöpääoman lisäys!",IF(G50&lt;0,"LISÄÄ LUKU RIVILLE 9 Käyttöpääoman lisäys!",""))))</f>
        <v/>
      </c>
      <c r="K50" s="1043"/>
      <c r="L50" s="1043"/>
      <c r="M50" s="1043"/>
      <c r="N50" s="1043"/>
      <c r="O50" s="1043"/>
      <c r="P50" s="1043"/>
      <c r="Q50" s="1043"/>
      <c r="R50" s="1043"/>
      <c r="S50" s="1043"/>
      <c r="T50" s="1328"/>
    </row>
    <row r="51" spans="2:20" ht="13.5" customHeight="1">
      <c r="B51" s="1409" t="s">
        <v>170</v>
      </c>
      <c r="C51" s="364" t="s">
        <v>527</v>
      </c>
      <c r="D51" s="699">
        <v>0</v>
      </c>
      <c r="E51" s="699">
        <v>0</v>
      </c>
      <c r="F51" s="699">
        <v>0</v>
      </c>
      <c r="G51" s="699">
        <v>0</v>
      </c>
      <c r="H51" s="765">
        <f>SUM(D51:G51)</f>
        <v>0</v>
      </c>
      <c r="I51" s="68"/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464"/>
    </row>
    <row r="52" spans="2:20" ht="13.5" customHeight="1">
      <c r="B52" s="1409" t="s">
        <v>171</v>
      </c>
      <c r="C52" s="1666" t="s">
        <v>526</v>
      </c>
      <c r="D52" s="699">
        <v>0</v>
      </c>
      <c r="E52" s="699">
        <v>0</v>
      </c>
      <c r="F52" s="699">
        <v>0</v>
      </c>
      <c r="G52" s="700">
        <v>0</v>
      </c>
      <c r="H52" s="765">
        <f>SUM(D52:G52)</f>
        <v>0</v>
      </c>
      <c r="I52" s="66"/>
      <c r="J52" s="1327" t="str">
        <f>IF(D$52&gt;0,"JOS MYYDÄÄN OMAISUUTTA TAI SIJOITUKSIA, LISÄÄ LUKU T3 TASEEN KOHTAAN VÄHENNYS TILIKAUDELLA!",IF(E52&gt;0,"JOS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TILIKAUDELLA!",""))))</f>
        <v/>
      </c>
      <c r="K52" s="151"/>
      <c r="L52" s="1329"/>
      <c r="M52" s="151"/>
      <c r="N52" s="151"/>
      <c r="O52" s="151"/>
      <c r="P52" s="151"/>
      <c r="Q52" s="151"/>
      <c r="R52" s="151"/>
      <c r="S52" s="151"/>
      <c r="T52" s="511"/>
    </row>
    <row r="53" spans="2:20" ht="13.5" customHeight="1">
      <c r="B53" s="1742" t="s">
        <v>94</v>
      </c>
      <c r="C53" s="1743"/>
      <c r="D53" s="701"/>
      <c r="E53" s="701"/>
      <c r="F53" s="701"/>
      <c r="G53" s="702"/>
      <c r="H53" s="1402"/>
      <c r="J53" s="1330" t="s">
        <v>625</v>
      </c>
      <c r="K53" s="1331"/>
      <c r="L53" s="1332" t="s">
        <v>123</v>
      </c>
      <c r="M53" s="1331" t="s">
        <v>471</v>
      </c>
      <c r="N53" s="1331" t="s">
        <v>475</v>
      </c>
      <c r="O53" s="320"/>
      <c r="P53" s="320"/>
      <c r="Q53" s="320"/>
      <c r="R53" s="320"/>
      <c r="S53" s="320"/>
      <c r="T53" s="464"/>
    </row>
    <row r="54" spans="2:20" ht="13.5" customHeight="1">
      <c r="B54" s="1667" t="s">
        <v>0</v>
      </c>
      <c r="C54" s="167" t="s">
        <v>124</v>
      </c>
      <c r="D54" s="703"/>
      <c r="E54" s="703"/>
      <c r="F54" s="703"/>
      <c r="G54" s="704"/>
      <c r="H54" s="1403"/>
      <c r="J54" s="1766" t="s">
        <v>470</v>
      </c>
      <c r="K54" s="1766"/>
      <c r="L54" s="1765">
        <v>0</v>
      </c>
      <c r="M54" s="1764">
        <v>0</v>
      </c>
      <c r="N54" s="1763">
        <v>0</v>
      </c>
      <c r="O54" s="1763"/>
      <c r="P54" s="1763"/>
      <c r="Q54" s="1763"/>
      <c r="R54" s="1763"/>
      <c r="S54" s="1763"/>
      <c r="T54" s="1763"/>
    </row>
    <row r="55" spans="2:20" ht="13.5" customHeight="1">
      <c r="B55" s="1392" t="s">
        <v>172</v>
      </c>
      <c r="C55" s="1668" t="s">
        <v>191</v>
      </c>
      <c r="D55" s="699">
        <v>0</v>
      </c>
      <c r="E55" s="699">
        <v>0</v>
      </c>
      <c r="F55" s="699">
        <v>0</v>
      </c>
      <c r="G55" s="700">
        <v>0</v>
      </c>
      <c r="H55" s="765">
        <f t="shared" ref="H55:H62" si="1">SUM(D55:G55)</f>
        <v>0</v>
      </c>
      <c r="I55" s="66"/>
      <c r="J55" s="1766"/>
      <c r="K55" s="1766"/>
      <c r="L55" s="1765"/>
      <c r="M55" s="1764"/>
      <c r="N55" s="1763"/>
      <c r="O55" s="1763"/>
      <c r="P55" s="1763"/>
      <c r="Q55" s="1763"/>
      <c r="R55" s="1763"/>
      <c r="S55" s="1763"/>
      <c r="T55" s="1763"/>
    </row>
    <row r="56" spans="2:20" ht="13.5" customHeight="1">
      <c r="B56" s="1409" t="s">
        <v>173</v>
      </c>
      <c r="C56" s="1666" t="s">
        <v>348</v>
      </c>
      <c r="D56" s="699">
        <v>0</v>
      </c>
      <c r="E56" s="699">
        <v>0</v>
      </c>
      <c r="F56" s="699">
        <v>0</v>
      </c>
      <c r="G56" s="700">
        <v>0</v>
      </c>
      <c r="H56" s="765">
        <f t="shared" si="1"/>
        <v>0</v>
      </c>
      <c r="I56" s="66"/>
      <c r="J56" s="1766" t="s">
        <v>472</v>
      </c>
      <c r="K56" s="1766"/>
      <c r="L56" s="1765">
        <v>0</v>
      </c>
      <c r="M56" s="1764">
        <v>0</v>
      </c>
      <c r="N56" s="1763">
        <v>0</v>
      </c>
      <c r="O56" s="1763"/>
      <c r="P56" s="1763"/>
      <c r="Q56" s="1763"/>
      <c r="R56" s="1763"/>
      <c r="S56" s="1763"/>
      <c r="T56" s="1763"/>
    </row>
    <row r="57" spans="2:20" ht="13.5" customHeight="1">
      <c r="B57" s="1409" t="s">
        <v>174</v>
      </c>
      <c r="C57" s="1666" t="s">
        <v>455</v>
      </c>
      <c r="D57" s="699">
        <v>0</v>
      </c>
      <c r="E57" s="699">
        <v>0</v>
      </c>
      <c r="F57" s="699">
        <v>0</v>
      </c>
      <c r="G57" s="700"/>
      <c r="H57" s="765">
        <f t="shared" si="1"/>
        <v>0</v>
      </c>
      <c r="I57" s="69"/>
      <c r="J57" s="1766"/>
      <c r="K57" s="1766"/>
      <c r="L57" s="1765"/>
      <c r="M57" s="1764"/>
      <c r="N57" s="1763"/>
      <c r="O57" s="1763"/>
      <c r="P57" s="1763"/>
      <c r="Q57" s="1763"/>
      <c r="R57" s="1763"/>
      <c r="S57" s="1763"/>
      <c r="T57" s="1763"/>
    </row>
    <row r="58" spans="2:20" ht="13.5" customHeight="1">
      <c r="B58" s="1409" t="s">
        <v>175</v>
      </c>
      <c r="C58" s="1317" t="s">
        <v>486</v>
      </c>
      <c r="D58" s="699"/>
      <c r="E58" s="699">
        <v>0</v>
      </c>
      <c r="F58" s="699">
        <v>0</v>
      </c>
      <c r="G58" s="700">
        <v>0</v>
      </c>
      <c r="H58" s="765">
        <f t="shared" si="1"/>
        <v>0</v>
      </c>
      <c r="I58" s="69"/>
      <c r="J58" s="1766" t="s">
        <v>473</v>
      </c>
      <c r="K58" s="1766"/>
      <c r="L58" s="1765">
        <v>0</v>
      </c>
      <c r="M58" s="1764">
        <v>0</v>
      </c>
      <c r="N58" s="1763">
        <v>0</v>
      </c>
      <c r="O58" s="1763"/>
      <c r="P58" s="1763"/>
      <c r="Q58" s="1763"/>
      <c r="R58" s="1763"/>
      <c r="S58" s="1763"/>
      <c r="T58" s="1763"/>
    </row>
    <row r="59" spans="2:20" ht="13.5" customHeight="1">
      <c r="B59" s="1409" t="s">
        <v>439</v>
      </c>
      <c r="C59" s="1317" t="s">
        <v>487</v>
      </c>
      <c r="D59" s="699"/>
      <c r="E59" s="699">
        <v>0</v>
      </c>
      <c r="F59" s="699"/>
      <c r="G59" s="700"/>
      <c r="H59" s="765">
        <f t="shared" si="1"/>
        <v>0</v>
      </c>
      <c r="I59" s="69"/>
      <c r="J59" s="1766"/>
      <c r="K59" s="1766"/>
      <c r="L59" s="1765"/>
      <c r="M59" s="1764"/>
      <c r="N59" s="1763"/>
      <c r="O59" s="1763"/>
      <c r="P59" s="1763"/>
      <c r="Q59" s="1763"/>
      <c r="R59" s="1763"/>
      <c r="S59" s="1763"/>
      <c r="T59" s="1763"/>
    </row>
    <row r="60" spans="2:20" ht="13.5" customHeight="1">
      <c r="B60" s="1409" t="s">
        <v>467</v>
      </c>
      <c r="C60" s="364" t="s">
        <v>318</v>
      </c>
      <c r="D60" s="660">
        <f>'AT1 Avustus, alv-laskenta '!C48</f>
        <v>0</v>
      </c>
      <c r="E60" s="660">
        <f>'AT1 Avustus, alv-laskenta '!D48</f>
        <v>0</v>
      </c>
      <c r="F60" s="660">
        <f>'AT1 Avustus, alv-laskenta '!E48</f>
        <v>0</v>
      </c>
      <c r="G60" s="660">
        <f>'AT1 Avustus, alv-laskenta '!F48</f>
        <v>0</v>
      </c>
      <c r="H60" s="765">
        <f t="shared" si="1"/>
        <v>0</v>
      </c>
      <c r="I60" s="66"/>
      <c r="J60" s="1766" t="s">
        <v>474</v>
      </c>
      <c r="K60" s="1766"/>
      <c r="L60" s="1765">
        <v>0</v>
      </c>
      <c r="M60" s="1764">
        <v>0</v>
      </c>
      <c r="N60" s="1763">
        <v>0</v>
      </c>
      <c r="O60" s="1763"/>
      <c r="P60" s="1763"/>
      <c r="Q60" s="1763"/>
      <c r="R60" s="1763"/>
      <c r="S60" s="1763"/>
      <c r="T60" s="1763"/>
    </row>
    <row r="61" spans="2:20" ht="13.5" customHeight="1">
      <c r="B61" s="1409" t="s">
        <v>478</v>
      </c>
      <c r="C61" s="364" t="s">
        <v>477</v>
      </c>
      <c r="D61" s="660">
        <f>'AT1 Avustus, alv-laskenta '!C49</f>
        <v>0</v>
      </c>
      <c r="E61" s="660">
        <f>'AT1 Avustus, alv-laskenta '!D49</f>
        <v>0</v>
      </c>
      <c r="F61" s="660">
        <f>'AT1 Avustus, alv-laskenta '!E49</f>
        <v>0</v>
      </c>
      <c r="G61" s="660">
        <f>'AT1 Avustus, alv-laskenta '!F49</f>
        <v>0</v>
      </c>
      <c r="H61" s="765">
        <f t="shared" si="1"/>
        <v>0</v>
      </c>
      <c r="I61" s="66"/>
      <c r="J61" s="1766"/>
      <c r="K61" s="1766"/>
      <c r="L61" s="1765"/>
      <c r="M61" s="1764"/>
      <c r="N61" s="1763"/>
      <c r="O61" s="1763"/>
      <c r="P61" s="1763"/>
      <c r="Q61" s="1763"/>
      <c r="R61" s="1763"/>
      <c r="S61" s="1763"/>
      <c r="T61" s="1763"/>
    </row>
    <row r="62" spans="2:20" ht="13.5" customHeight="1">
      <c r="B62" s="538" t="s">
        <v>479</v>
      </c>
      <c r="C62" s="1395" t="s">
        <v>320</v>
      </c>
      <c r="D62" s="1404">
        <f>D42</f>
        <v>0</v>
      </c>
      <c r="E62" s="1404">
        <f>E42</f>
        <v>0</v>
      </c>
      <c r="F62" s="1404">
        <f>F42</f>
        <v>0</v>
      </c>
      <c r="G62" s="1404">
        <f>G42</f>
        <v>0</v>
      </c>
      <c r="H62" s="1404">
        <f t="shared" si="1"/>
        <v>0</v>
      </c>
      <c r="I62" s="66"/>
      <c r="J62" s="378"/>
      <c r="K62" s="320"/>
      <c r="L62" s="320"/>
      <c r="M62" s="320"/>
      <c r="N62" s="320"/>
      <c r="O62" s="320"/>
      <c r="P62" s="320"/>
      <c r="Q62" s="320"/>
      <c r="R62" s="320"/>
      <c r="S62" s="320"/>
      <c r="T62" s="464"/>
    </row>
    <row r="63" spans="2:20" ht="3" customHeight="1">
      <c r="B63" s="79"/>
      <c r="C63" s="73"/>
      <c r="D63" s="79"/>
      <c r="E63" s="79"/>
      <c r="F63" s="79"/>
      <c r="G63" s="79"/>
      <c r="H63" s="705"/>
      <c r="I63" s="66"/>
      <c r="J63" s="417"/>
      <c r="K63" s="167"/>
      <c r="L63" s="167"/>
      <c r="M63" s="167"/>
      <c r="N63" s="167"/>
      <c r="O63" s="167"/>
      <c r="P63" s="167"/>
      <c r="Q63" s="167"/>
      <c r="R63" s="167"/>
      <c r="S63" s="167"/>
      <c r="T63" s="341"/>
    </row>
    <row r="64" spans="2:20" ht="15" customHeight="1">
      <c r="B64" s="538" t="s">
        <v>752</v>
      </c>
      <c r="C64" s="72" t="s">
        <v>109</v>
      </c>
      <c r="D64" s="706"/>
      <c r="E64" s="706"/>
      <c r="F64" s="706"/>
      <c r="G64" s="706"/>
      <c r="H64" s="707">
        <v>0</v>
      </c>
      <c r="I64" s="66"/>
      <c r="J64" s="1333"/>
      <c r="K64" s="182"/>
      <c r="L64" s="182"/>
      <c r="M64" s="465"/>
      <c r="N64" s="465"/>
      <c r="O64" s="465"/>
      <c r="P64" s="465"/>
      <c r="Q64" s="465"/>
      <c r="R64" s="465"/>
      <c r="S64" s="465"/>
      <c r="T64" s="467"/>
    </row>
    <row r="65" spans="2:12" ht="10.199999999999999" customHeight="1"/>
    <row r="66" spans="2:12">
      <c r="B66" s="74">
        <f>OHJE!D26</f>
        <v>0</v>
      </c>
      <c r="C66" s="450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50"/>
      <c r="E66" s="1735" t="str">
        <f>OHJE!I5</f>
        <v>Yritystulkin tarjoaa</v>
      </c>
      <c r="F66" s="1735"/>
      <c r="G66" s="1735"/>
      <c r="H66" s="1735"/>
      <c r="J66"/>
    </row>
    <row r="67" spans="2:12">
      <c r="B67" s="1739" t="str">
        <f>OHJE!G24</f>
        <v>YT22 Toimivan yrityksen tulossuunnitelma</v>
      </c>
      <c r="C67" s="1739"/>
      <c r="D67" s="1746" t="str">
        <f>OHJE!H7</f>
        <v>Alavuden Kehitys Oy</v>
      </c>
      <c r="E67" s="1746"/>
      <c r="F67" s="1746"/>
      <c r="G67" s="1746"/>
      <c r="H67" s="1746"/>
      <c r="J67"/>
      <c r="L67" s="1768">
        <v>0</v>
      </c>
    </row>
    <row r="68" spans="2:12">
      <c r="B68" s="1739"/>
      <c r="C68" s="1739"/>
      <c r="D68" s="992"/>
      <c r="E68" s="992"/>
      <c r="F68" s="992"/>
      <c r="G68" s="992"/>
      <c r="H68" s="992"/>
      <c r="L68" s="1768"/>
    </row>
    <row r="69" spans="2:12" ht="14.15">
      <c r="B69" s="75"/>
      <c r="C69" s="76"/>
    </row>
    <row r="70" spans="2:12">
      <c r="B70" s="396" t="s">
        <v>332</v>
      </c>
    </row>
    <row r="71" spans="2:12">
      <c r="B71" s="50" t="s">
        <v>333</v>
      </c>
    </row>
    <row r="72" spans="2:12">
      <c r="B72" s="50" t="s">
        <v>334</v>
      </c>
    </row>
    <row r="73" spans="2:12" ht="14.15">
      <c r="B73" s="75"/>
      <c r="C73" s="76"/>
    </row>
    <row r="74" spans="2:12" ht="14.15">
      <c r="B74" s="75"/>
      <c r="C74" s="76"/>
    </row>
    <row r="75" spans="2:12" ht="14.15">
      <c r="B75" s="75"/>
      <c r="C75" s="76"/>
    </row>
    <row r="76" spans="2:12" ht="14.15">
      <c r="B76" s="75"/>
      <c r="C76" s="76"/>
    </row>
    <row r="77" spans="2:12" ht="14.15">
      <c r="B77" s="75"/>
      <c r="C77" s="76"/>
    </row>
    <row r="78" spans="2:12">
      <c r="B78" s="396"/>
    </row>
    <row r="79" spans="2:12">
      <c r="B79" s="50"/>
    </row>
    <row r="80" spans="2:12">
      <c r="B80" s="50"/>
    </row>
  </sheetData>
  <sheetProtection algorithmName="SHA-512" hashValue="5qC9w7OrsU6FQIoiz3HDS8DmYZSyaucqXUQYgub72ybtTV44Hl40EdUgMhUCAi+rPo+Kd1Y1vuYmbq0vSlRybw==" saltValue="A2kHxknCBGB9x4vfvjtE1g==" spinCount="100000" sheet="1" objects="1" scenarios="1"/>
  <mergeCells count="38">
    <mergeCell ref="L67:L68"/>
    <mergeCell ref="J58:K59"/>
    <mergeCell ref="L58:L59"/>
    <mergeCell ref="M58:M59"/>
    <mergeCell ref="N58:T59"/>
    <mergeCell ref="J60:K61"/>
    <mergeCell ref="L60:L61"/>
    <mergeCell ref="M60:M61"/>
    <mergeCell ref="N60:T61"/>
    <mergeCell ref="J3:K3"/>
    <mergeCell ref="J54:K55"/>
    <mergeCell ref="L54:L55"/>
    <mergeCell ref="M54:M55"/>
    <mergeCell ref="N54:T55"/>
    <mergeCell ref="N56:T57"/>
    <mergeCell ref="M56:M57"/>
    <mergeCell ref="L56:L57"/>
    <mergeCell ref="J56:K57"/>
    <mergeCell ref="B9:D9"/>
    <mergeCell ref="E5:F5"/>
    <mergeCell ref="B15:C16"/>
    <mergeCell ref="B44:C45"/>
    <mergeCell ref="B7:D7"/>
    <mergeCell ref="E7:H7"/>
    <mergeCell ref="H44:H45"/>
    <mergeCell ref="E9:H9"/>
    <mergeCell ref="E11:H11"/>
    <mergeCell ref="E10:H10"/>
    <mergeCell ref="E12:H12"/>
    <mergeCell ref="E13:H13"/>
    <mergeCell ref="B11:D13"/>
    <mergeCell ref="B67:C67"/>
    <mergeCell ref="B68:C68"/>
    <mergeCell ref="H15:H16"/>
    <mergeCell ref="B53:C53"/>
    <mergeCell ref="B46:C46"/>
    <mergeCell ref="D67:H67"/>
    <mergeCell ref="E66:H6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8" sqref="E8:F8"/>
    </sheetView>
  </sheetViews>
  <sheetFormatPr defaultRowHeight="12.45"/>
  <cols>
    <col min="2" max="2" width="2.84375" style="38" customWidth="1"/>
    <col min="3" max="3" width="34.3046875" customWidth="1"/>
    <col min="4" max="4" width="5.3046875" customWidth="1"/>
    <col min="5" max="5" width="12.3046875" customWidth="1"/>
    <col min="6" max="6" width="5.3046875" customWidth="1"/>
    <col min="7" max="7" width="12.3046875" customWidth="1"/>
    <col min="8" max="8" width="5.69140625" style="38" customWidth="1"/>
    <col min="9" max="9" width="12.3046875" style="4" customWidth="1"/>
    <col min="10" max="10" width="5.69140625" style="38" customWidth="1"/>
    <col min="11" max="11" width="12.3046875" customWidth="1"/>
    <col min="12" max="12" width="5.69140625" style="38" customWidth="1"/>
    <col min="13" max="13" width="12.3046875" customWidth="1"/>
    <col min="14" max="14" width="5.69140625" style="38" customWidth="1"/>
    <col min="15" max="15" width="12.3046875" customWidth="1"/>
    <col min="16" max="16" width="5.69140625" style="38" customWidth="1"/>
    <col min="17" max="17" width="3.3046875" customWidth="1"/>
  </cols>
  <sheetData>
    <row r="1" spans="1:32" ht="30.45" customHeight="1"/>
    <row r="2" spans="1:32" ht="15.45">
      <c r="A2" s="1524" t="s">
        <v>740</v>
      </c>
      <c r="C2" s="22" t="s">
        <v>104</v>
      </c>
      <c r="G2" s="46"/>
      <c r="R2" s="22" t="s">
        <v>104</v>
      </c>
    </row>
    <row r="3" spans="1:32" ht="15.45">
      <c r="G3" s="548"/>
      <c r="I3" s="414"/>
      <c r="K3" s="413"/>
    </row>
    <row r="4" spans="1:32" ht="20.25" customHeight="1">
      <c r="B4" s="46" t="s">
        <v>742</v>
      </c>
      <c r="C4" s="43"/>
      <c r="D4" s="43"/>
      <c r="E4" s="43"/>
      <c r="F4" s="43"/>
      <c r="G4" s="43" t="s">
        <v>743</v>
      </c>
      <c r="H4" s="56"/>
      <c r="I4" s="337"/>
      <c r="K4" s="46"/>
      <c r="M4" s="43"/>
      <c r="N4" s="43"/>
      <c r="O4" s="43" t="s">
        <v>93</v>
      </c>
      <c r="P4" s="56"/>
    </row>
    <row r="5" spans="1:32" ht="15" customHeight="1">
      <c r="B5" s="1753">
        <f>'1. T1 INVESTOINTISUUN.'!B7</f>
        <v>0</v>
      </c>
      <c r="C5" s="1753"/>
      <c r="D5" s="1753"/>
      <c r="E5" s="1753"/>
      <c r="F5" s="550"/>
      <c r="G5" s="1753">
        <f>'1. T1 INVESTOINTISUUN.'!B9</f>
        <v>0</v>
      </c>
      <c r="H5" s="1753"/>
      <c r="I5" s="1753"/>
      <c r="J5" s="1753"/>
      <c r="K5" s="1753"/>
      <c r="L5" s="1753"/>
      <c r="M5" s="495"/>
      <c r="N5" s="549"/>
      <c r="O5" s="1809">
        <f>'1. T1 INVESTOINTISUUN.'!E4</f>
        <v>0</v>
      </c>
      <c r="P5" s="1809"/>
      <c r="R5" s="1319" t="s">
        <v>408</v>
      </c>
      <c r="S5" s="1334"/>
      <c r="T5" s="1335"/>
      <c r="U5" s="1334"/>
      <c r="V5" s="1334"/>
      <c r="W5" s="1334"/>
      <c r="X5" s="1334"/>
      <c r="Y5" s="1334"/>
      <c r="Z5" s="1336"/>
      <c r="AA5" s="1336"/>
      <c r="AB5" s="1336"/>
      <c r="AC5" s="1336"/>
      <c r="AD5" s="1336"/>
      <c r="AE5" s="1336"/>
      <c r="AF5" s="1337"/>
    </row>
    <row r="6" spans="1:32" ht="12.75" customHeight="1">
      <c r="R6" s="1810"/>
      <c r="S6" s="1811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464"/>
    </row>
    <row r="7" spans="1:32">
      <c r="A7" s="51"/>
      <c r="B7" s="1813" t="s">
        <v>0</v>
      </c>
      <c r="C7" s="1814"/>
      <c r="D7" s="1815"/>
      <c r="E7" s="1775" t="s">
        <v>101</v>
      </c>
      <c r="F7" s="1776"/>
      <c r="G7" s="1775" t="s">
        <v>101</v>
      </c>
      <c r="H7" s="1776"/>
      <c r="I7" s="1775" t="str">
        <f>'1. T1 INVESTOINTISUUN.'!D15</f>
        <v>Ennuste 1</v>
      </c>
      <c r="J7" s="1776"/>
      <c r="K7" s="1775" t="s">
        <v>98</v>
      </c>
      <c r="L7" s="1776"/>
      <c r="M7" s="1775" t="s">
        <v>100</v>
      </c>
      <c r="N7" s="1776"/>
      <c r="O7" s="1775" t="s">
        <v>257</v>
      </c>
      <c r="P7" s="1779"/>
      <c r="Q7" s="4"/>
      <c r="R7" s="378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464"/>
    </row>
    <row r="8" spans="1:32">
      <c r="B8" s="1816"/>
      <c r="C8" s="1817"/>
      <c r="D8" s="1818"/>
      <c r="E8" s="1782">
        <v>2023</v>
      </c>
      <c r="F8" s="1783"/>
      <c r="G8" s="1782">
        <v>2024</v>
      </c>
      <c r="H8" s="1783"/>
      <c r="I8" s="1782">
        <f>'1. T1 INVESTOINTISUUN.'!D16</f>
        <v>2025</v>
      </c>
      <c r="J8" s="1783"/>
      <c r="K8" s="1780">
        <f>I8+1</f>
        <v>2026</v>
      </c>
      <c r="L8" s="1786"/>
      <c r="M8" s="1780">
        <f>K8+1</f>
        <v>2027</v>
      </c>
      <c r="N8" s="1786"/>
      <c r="O8" s="1780">
        <f>M8+1</f>
        <v>2028</v>
      </c>
      <c r="P8" s="1781"/>
      <c r="Q8" s="4"/>
      <c r="R8" s="378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464"/>
    </row>
    <row r="9" spans="1:32" ht="12.9" thickBot="1">
      <c r="A9" s="51"/>
      <c r="B9" s="1412"/>
      <c r="C9" s="1182"/>
      <c r="D9" s="1183"/>
      <c r="E9" s="1184" t="s">
        <v>17</v>
      </c>
      <c r="F9" s="1185" t="s">
        <v>14</v>
      </c>
      <c r="G9" s="1184" t="s">
        <v>17</v>
      </c>
      <c r="H9" s="1185" t="s">
        <v>14</v>
      </c>
      <c r="I9" s="1184" t="s">
        <v>17</v>
      </c>
      <c r="J9" s="1185" t="s">
        <v>14</v>
      </c>
      <c r="K9" s="1184" t="s">
        <v>17</v>
      </c>
      <c r="L9" s="1185" t="s">
        <v>14</v>
      </c>
      <c r="M9" s="1184" t="s">
        <v>17</v>
      </c>
      <c r="N9" s="1185" t="s">
        <v>14</v>
      </c>
      <c r="O9" s="1184" t="s">
        <v>17</v>
      </c>
      <c r="P9" s="1413" t="s">
        <v>14</v>
      </c>
      <c r="Q9" s="4"/>
      <c r="R9" s="378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464"/>
    </row>
    <row r="10" spans="1:32">
      <c r="A10" s="2"/>
      <c r="B10" s="1391"/>
      <c r="C10" s="348"/>
      <c r="D10" s="1044" t="s">
        <v>392</v>
      </c>
      <c r="E10" s="1773">
        <v>12</v>
      </c>
      <c r="F10" s="1784"/>
      <c r="G10" s="1773" t="s">
        <v>393</v>
      </c>
      <c r="H10" s="1784"/>
      <c r="I10" s="1773">
        <v>12</v>
      </c>
      <c r="J10" s="1784"/>
      <c r="K10" s="1773" t="s">
        <v>393</v>
      </c>
      <c r="L10" s="1784"/>
      <c r="M10" s="1773" t="s">
        <v>393</v>
      </c>
      <c r="N10" s="1784"/>
      <c r="O10" s="1773" t="s">
        <v>393</v>
      </c>
      <c r="P10" s="1774"/>
      <c r="Q10" s="4"/>
      <c r="R10" s="1338" t="s">
        <v>516</v>
      </c>
      <c r="S10" s="151"/>
      <c r="T10" s="151"/>
      <c r="U10" s="151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464"/>
    </row>
    <row r="11" spans="1:32" s="51" customFormat="1" ht="20.149999999999999" customHeight="1">
      <c r="B11" s="1414" t="s">
        <v>2</v>
      </c>
      <c r="C11" s="1043" t="s">
        <v>77</v>
      </c>
      <c r="D11" s="335" t="s">
        <v>89</v>
      </c>
      <c r="E11" s="960">
        <v>0</v>
      </c>
      <c r="F11" s="321">
        <v>0</v>
      </c>
      <c r="G11" s="978">
        <v>0</v>
      </c>
      <c r="H11" s="321">
        <v>0</v>
      </c>
      <c r="I11" s="961">
        <f>'6. E2 LIIKEVAIHTO '!E10</f>
        <v>0</v>
      </c>
      <c r="J11" s="321">
        <v>0</v>
      </c>
      <c r="K11" s="961">
        <f>'6. E2 LIIKEVAIHTO '!F10</f>
        <v>0</v>
      </c>
      <c r="L11" s="321">
        <v>0</v>
      </c>
      <c r="M11" s="961">
        <f>'6. E2 LIIKEVAIHTO '!G10</f>
        <v>0</v>
      </c>
      <c r="N11" s="321">
        <v>0</v>
      </c>
      <c r="O11" s="961">
        <f>'6. E2 LIIKEVAIHTO '!H10</f>
        <v>0</v>
      </c>
      <c r="P11" s="1415">
        <v>0</v>
      </c>
      <c r="Q11" s="167"/>
      <c r="R11" s="287">
        <f>I8</f>
        <v>2025</v>
      </c>
      <c r="S11" s="287">
        <f>K8</f>
        <v>2026</v>
      </c>
      <c r="T11" s="287">
        <f>M$8</f>
        <v>2027</v>
      </c>
      <c r="U11" s="287">
        <f>O$8</f>
        <v>2028</v>
      </c>
      <c r="V11" s="383"/>
      <c r="W11" s="320"/>
      <c r="X11" s="320"/>
      <c r="Y11" s="320"/>
      <c r="Z11" s="320"/>
      <c r="AA11" s="320"/>
      <c r="AB11" s="320"/>
      <c r="AC11" s="320"/>
      <c r="AD11" s="320"/>
      <c r="AE11" s="320"/>
      <c r="AF11" s="464"/>
    </row>
    <row r="12" spans="1:32" s="51" customFormat="1" ht="14.15" customHeight="1">
      <c r="A12"/>
      <c r="B12" s="1416" t="s">
        <v>3</v>
      </c>
      <c r="C12" s="322" t="s">
        <v>80</v>
      </c>
      <c r="D12" s="323" t="s">
        <v>89</v>
      </c>
      <c r="E12" s="962">
        <v>0</v>
      </c>
      <c r="F12" s="324">
        <v>0</v>
      </c>
      <c r="G12" s="900">
        <v>0</v>
      </c>
      <c r="H12" s="324">
        <v>0</v>
      </c>
      <c r="I12" s="900">
        <f>G12+G12*Q12</f>
        <v>0</v>
      </c>
      <c r="J12" s="324"/>
      <c r="K12" s="900">
        <f>I12+I12*S12</f>
        <v>0</v>
      </c>
      <c r="L12" s="324"/>
      <c r="M12" s="900">
        <f>K12+K12*T12</f>
        <v>0</v>
      </c>
      <c r="N12" s="324"/>
      <c r="O12" s="900">
        <f>M12+M12*U12</f>
        <v>0</v>
      </c>
      <c r="P12" s="1417"/>
      <c r="Q12" s="167"/>
      <c r="R12" s="382">
        <v>0</v>
      </c>
      <c r="S12" s="382">
        <f>R12</f>
        <v>0</v>
      </c>
      <c r="T12" s="382">
        <f>S12</f>
        <v>0</v>
      </c>
      <c r="U12" s="382">
        <f>T12</f>
        <v>0</v>
      </c>
      <c r="V12" s="383"/>
      <c r="W12" s="320"/>
      <c r="X12" s="320"/>
      <c r="Y12" s="320"/>
      <c r="Z12" s="320"/>
      <c r="AA12" s="320"/>
      <c r="AB12" s="320"/>
      <c r="AC12" s="320"/>
      <c r="AD12" s="320"/>
      <c r="AE12" s="320"/>
      <c r="AF12" s="464"/>
    </row>
    <row r="13" spans="1:32" s="51" customFormat="1" ht="14.15" customHeight="1">
      <c r="A13"/>
      <c r="B13" s="1416" t="s">
        <v>4</v>
      </c>
      <c r="C13" s="322" t="s">
        <v>421</v>
      </c>
      <c r="D13" s="323" t="s">
        <v>89</v>
      </c>
      <c r="E13" s="962">
        <v>0</v>
      </c>
      <c r="F13" s="324"/>
      <c r="G13" s="900">
        <v>0</v>
      </c>
      <c r="H13" s="324"/>
      <c r="I13" s="900"/>
      <c r="J13" s="324"/>
      <c r="K13" s="900"/>
      <c r="L13" s="324"/>
      <c r="M13" s="900"/>
      <c r="N13" s="324"/>
      <c r="O13" s="900"/>
      <c r="P13" s="1417"/>
      <c r="Q13" s="167"/>
      <c r="R13" s="1339"/>
      <c r="S13" s="496"/>
      <c r="T13" s="496"/>
      <c r="U13" s="496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464"/>
    </row>
    <row r="14" spans="1:32" s="47" customFormat="1" ht="14.15" customHeight="1">
      <c r="A14" s="51"/>
      <c r="B14" s="1416" t="s">
        <v>5</v>
      </c>
      <c r="C14" s="325" t="s">
        <v>84</v>
      </c>
      <c r="D14" s="326"/>
      <c r="E14" s="963">
        <f>SUM(E11:E13)</f>
        <v>0</v>
      </c>
      <c r="F14" s="327">
        <v>100</v>
      </c>
      <c r="G14" s="964">
        <f>SUM(G11:G13)</f>
        <v>0</v>
      </c>
      <c r="H14" s="327">
        <v>100</v>
      </c>
      <c r="I14" s="964">
        <f>SUM(I11:I13)</f>
        <v>0</v>
      </c>
      <c r="J14" s="327">
        <v>100</v>
      </c>
      <c r="K14" s="964">
        <f>SUM(K11:K13)</f>
        <v>0</v>
      </c>
      <c r="L14" s="327">
        <v>100</v>
      </c>
      <c r="M14" s="964">
        <f>SUM(M11:M13)</f>
        <v>0</v>
      </c>
      <c r="N14" s="327">
        <v>100</v>
      </c>
      <c r="O14" s="964">
        <f>SUM(O11:O13)</f>
        <v>0</v>
      </c>
      <c r="P14" s="755">
        <v>100</v>
      </c>
      <c r="Q14" s="167"/>
      <c r="R14" s="378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464"/>
    </row>
    <row r="15" spans="1:32" s="51" customFormat="1" ht="14.15" customHeight="1">
      <c r="A15"/>
      <c r="B15" s="1416" t="s">
        <v>6</v>
      </c>
      <c r="C15" s="322" t="s">
        <v>755</v>
      </c>
      <c r="D15" s="323" t="s">
        <v>90</v>
      </c>
      <c r="E15" s="962">
        <v>0</v>
      </c>
      <c r="F15" s="328">
        <f>-IF(E$14&gt;0,E15/E$14*100,0)</f>
        <v>0</v>
      </c>
      <c r="G15" s="900">
        <v>0</v>
      </c>
      <c r="H15" s="328">
        <f>-IF(G$14&gt;0,G15/G$14*100,0)</f>
        <v>0</v>
      </c>
      <c r="I15" s="895">
        <f>-IF('1. T1 INVESTOINTISUUN.'!D40&gt;0,'6. E2 LIIKEVAIHTO '!E11+('3. T3 TASE '!H40*'2. &amp; 7. T2 TULOSSUUN. '!I11-'3. T3 TASE '!G39),'6. E2 LIIKEVAIHTO '!E11)</f>
        <v>0</v>
      </c>
      <c r="J15" s="328">
        <f>-IF(I$14&gt;0,I15/I$14*100,0)</f>
        <v>0</v>
      </c>
      <c r="K15" s="895">
        <f>-'6. E2 LIIKEVAIHTO '!F11</f>
        <v>0</v>
      </c>
      <c r="L15" s="328">
        <f>-IF(K$14&gt;0,K15/K$14*100,0)</f>
        <v>0</v>
      </c>
      <c r="M15" s="895">
        <f>-'6. E2 LIIKEVAIHTO '!G11</f>
        <v>0</v>
      </c>
      <c r="N15" s="328">
        <f>-IF(M$14&gt;0,M15/M$14*100,0)</f>
        <v>0</v>
      </c>
      <c r="O15" s="895">
        <f>-'6. E2 LIIKEVAIHTO '!H11</f>
        <v>0</v>
      </c>
      <c r="P15" s="1418">
        <f>-IF(O$14&gt;0,O15/O$14*100,0)</f>
        <v>0</v>
      </c>
      <c r="Q15" s="167"/>
      <c r="R15" s="378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464"/>
    </row>
    <row r="16" spans="1:32" s="51" customFormat="1" ht="14.15" customHeight="1">
      <c r="B16" s="1416" t="s">
        <v>7</v>
      </c>
      <c r="C16" s="322" t="s">
        <v>82</v>
      </c>
      <c r="D16" s="323" t="s">
        <v>90</v>
      </c>
      <c r="E16" s="962">
        <v>0</v>
      </c>
      <c r="F16" s="328">
        <f>-IF(E$14&gt;0,E16/E$14*100,0)</f>
        <v>0</v>
      </c>
      <c r="G16" s="900">
        <v>0</v>
      </c>
      <c r="H16" s="328">
        <f>-IF(G$14&gt;0,G16/G$14*100,0)</f>
        <v>0</v>
      </c>
      <c r="I16" s="895">
        <f>-J16*I14/100</f>
        <v>0</v>
      </c>
      <c r="J16" s="635">
        <f>H16</f>
        <v>0</v>
      </c>
      <c r="K16" s="895">
        <f>-L16*K14/100</f>
        <v>0</v>
      </c>
      <c r="L16" s="635">
        <f>J16</f>
        <v>0</v>
      </c>
      <c r="M16" s="895">
        <f>-N16*M14/100</f>
        <v>0</v>
      </c>
      <c r="N16" s="635">
        <f>L16</f>
        <v>0</v>
      </c>
      <c r="O16" s="895">
        <f>-P16*O14/100</f>
        <v>0</v>
      </c>
      <c r="P16" s="1419">
        <f>N16</f>
        <v>0</v>
      </c>
      <c r="Q16" s="167"/>
      <c r="R16" s="378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464"/>
    </row>
    <row r="17" spans="1:32" s="51" customFormat="1" ht="14.15" customHeight="1">
      <c r="A17" s="2"/>
      <c r="B17" s="1416" t="s">
        <v>8</v>
      </c>
      <c r="C17" s="322" t="s">
        <v>13</v>
      </c>
      <c r="D17" s="323" t="s">
        <v>90</v>
      </c>
      <c r="E17" s="962">
        <v>0</v>
      </c>
      <c r="F17" s="328">
        <f>-IF(E$14&gt;0,E17/E$14*100,0)</f>
        <v>0</v>
      </c>
      <c r="G17" s="900">
        <v>0</v>
      </c>
      <c r="H17" s="328">
        <f>-IF(G$14&gt;0,G17/G$14*100,0)</f>
        <v>0</v>
      </c>
      <c r="I17" s="895">
        <f>-'5. E1 KUSTANNUKSET '!F44-'3. T3 TASE '!H93+'3. T3 TASE '!G93-'3. T3 TASE '!H94+'3. T3 TASE '!G94</f>
        <v>0</v>
      </c>
      <c r="J17" s="328">
        <f>-IF(I$14&gt;0,I17/I$14*100,0)</f>
        <v>0</v>
      </c>
      <c r="K17" s="895">
        <f>-'5. E1 KUSTANNUKSET '!H44-'3. T3 TASE '!I93+'3. T3 TASE '!H93-'3. T3 TASE '!I94+'3. T3 TASE '!H94</f>
        <v>0</v>
      </c>
      <c r="L17" s="328">
        <f>-IF(K$14&gt;0,K17/K$14*100,0)</f>
        <v>0</v>
      </c>
      <c r="M17" s="895">
        <f>-'5. E1 KUSTANNUKSET '!J44-'3. T3 TASE '!J93+'3. T3 TASE '!I93-'3. T3 TASE '!J94+'3. T3 TASE '!I94</f>
        <v>0</v>
      </c>
      <c r="N17" s="328">
        <f>-IF(M$14&gt;0,M17/M$14*100,0)</f>
        <v>0</v>
      </c>
      <c r="O17" s="895">
        <f>-'5. E1 KUSTANNUKSET '!L44-'3. T3 TASE '!K93+'3. T3 TASE '!J93-'3. T3 TASE '!K94+'3. T3 TASE '!J94</f>
        <v>0</v>
      </c>
      <c r="P17" s="1418">
        <f>-IF(O$14&gt;0,O17/O$14*100,0)</f>
        <v>0</v>
      </c>
      <c r="Q17" s="167"/>
      <c r="R17" s="378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464"/>
    </row>
    <row r="18" spans="1:32" s="51" customFormat="1" ht="14.15" customHeight="1">
      <c r="A18"/>
      <c r="B18" s="1416" t="s">
        <v>9</v>
      </c>
      <c r="C18" s="329" t="s">
        <v>83</v>
      </c>
      <c r="D18" s="323" t="s">
        <v>90</v>
      </c>
      <c r="E18" s="962">
        <v>0</v>
      </c>
      <c r="F18" s="328">
        <f>-IF(E$14&gt;0,E18/E$14*100,0)</f>
        <v>0</v>
      </c>
      <c r="G18" s="900">
        <v>0</v>
      </c>
      <c r="H18" s="328">
        <f>-IF(G$14&gt;0,G18/G$14*100,0)</f>
        <v>0</v>
      </c>
      <c r="I18" s="895">
        <f>-'5. E1 KUSTANNUKSET '!F45</f>
        <v>0</v>
      </c>
      <c r="J18" s="328">
        <f>-IF(I$14&gt;0,I18/I$14*100,0)</f>
        <v>0</v>
      </c>
      <c r="K18" s="895">
        <f>-'5. E1 KUSTANNUKSET '!H45</f>
        <v>0</v>
      </c>
      <c r="L18" s="328">
        <f>-IF(K$14&gt;0,K18/K$14*100,0)</f>
        <v>0</v>
      </c>
      <c r="M18" s="895">
        <f>-'5. E1 KUSTANNUKSET '!J45</f>
        <v>0</v>
      </c>
      <c r="N18" s="328">
        <f>-IF(M$14&gt;0,M18/M$14*100,0)</f>
        <v>0</v>
      </c>
      <c r="O18" s="895">
        <f>-'5. E1 KUSTANNUKSET '!L45</f>
        <v>0</v>
      </c>
      <c r="P18" s="1418">
        <f>-IF(O$14&gt;0,O18/O$14*100,0)</f>
        <v>0</v>
      </c>
      <c r="Q18" s="167"/>
      <c r="R18" s="378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464"/>
    </row>
    <row r="19" spans="1:32" s="51" customFormat="1" ht="14.15" customHeight="1">
      <c r="A19"/>
      <c r="B19" s="1416" t="s">
        <v>10</v>
      </c>
      <c r="C19" s="329" t="s">
        <v>699</v>
      </c>
      <c r="D19" s="330" t="s">
        <v>262</v>
      </c>
      <c r="E19" s="962">
        <v>0</v>
      </c>
      <c r="F19" s="328">
        <f>IF(E$14&gt;0,E19/E$14*100,0)</f>
        <v>0</v>
      </c>
      <c r="G19" s="900">
        <v>0</v>
      </c>
      <c r="H19" s="328">
        <f>IF(G$14&gt;0,G19/G$14*100,0)</f>
        <v>0</v>
      </c>
      <c r="I19" s="895">
        <f>'3. T3 TASE '!H39-'3. T3 TASE '!G39</f>
        <v>0</v>
      </c>
      <c r="J19" s="328">
        <f>IF(I$14&gt;0,I19/I$14*100,0)</f>
        <v>0</v>
      </c>
      <c r="K19" s="895">
        <f>'3. T3 TASE '!I39-'3. T3 TASE '!H39</f>
        <v>0</v>
      </c>
      <c r="L19" s="328">
        <f>IF(K$14&gt;0,K19/K$14*100,0)</f>
        <v>0</v>
      </c>
      <c r="M19" s="895">
        <f>'3. T3 TASE '!J39-'3. T3 TASE '!I39</f>
        <v>0</v>
      </c>
      <c r="N19" s="328">
        <f>IF(M$14&gt;0,M19/M$14*100,0)</f>
        <v>0</v>
      </c>
      <c r="O19" s="895">
        <f>'3. T3 TASE '!K39-'3. T3 TASE '!J39</f>
        <v>0</v>
      </c>
      <c r="P19" s="1418">
        <f>IF(O$14&gt;0,O19/O$14*100,0)</f>
        <v>0</v>
      </c>
      <c r="Q19" s="167"/>
      <c r="R19" s="378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464"/>
    </row>
    <row r="20" spans="1:32" s="51" customFormat="1" ht="14.15" customHeight="1">
      <c r="A20"/>
      <c r="B20" s="1416" t="s">
        <v>11</v>
      </c>
      <c r="C20" s="331" t="s">
        <v>85</v>
      </c>
      <c r="D20" s="332"/>
      <c r="E20" s="963">
        <f>SUM(E14:E19)</f>
        <v>0</v>
      </c>
      <c r="F20" s="328">
        <f>IF(E$14&gt;0,E20/E$14*100,0)</f>
        <v>0</v>
      </c>
      <c r="G20" s="964">
        <f>SUM(G14:G19)</f>
        <v>0</v>
      </c>
      <c r="H20" s="328">
        <f>IF(G$14&gt;0,G20/G$14*100,0)</f>
        <v>0</v>
      </c>
      <c r="I20" s="964">
        <f>SUM(I14:I19)</f>
        <v>0</v>
      </c>
      <c r="J20" s="328">
        <f>IF(I$14&gt;0,I20/I$14*100,0)</f>
        <v>0</v>
      </c>
      <c r="K20" s="964">
        <f>SUM(K14:K19)</f>
        <v>0</v>
      </c>
      <c r="L20" s="328">
        <f>IF(K$14&gt;0,K20/K$14*100,0)</f>
        <v>0</v>
      </c>
      <c r="M20" s="964">
        <f>SUM(M14:M19)</f>
        <v>0</v>
      </c>
      <c r="N20" s="328">
        <f>IF(M$14&gt;0,M20/M$14*100,0)</f>
        <v>0</v>
      </c>
      <c r="O20" s="964">
        <f>SUM(O14:O19)</f>
        <v>0</v>
      </c>
      <c r="P20" s="1418">
        <f>IF(O$14&gt;0,O20/O$14*100,0)</f>
        <v>0</v>
      </c>
      <c r="Q20" s="167"/>
      <c r="R20" s="378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464"/>
    </row>
    <row r="21" spans="1:32" s="51" customFormat="1" ht="14.15" customHeight="1">
      <c r="A21"/>
      <c r="B21" s="1416" t="s">
        <v>168</v>
      </c>
      <c r="C21" s="329" t="s">
        <v>362</v>
      </c>
      <c r="D21" s="323" t="s">
        <v>90</v>
      </c>
      <c r="E21" s="962">
        <v>0</v>
      </c>
      <c r="F21" s="328">
        <f>-IF(E$14&gt;0,E21/E$14*100,0)</f>
        <v>0</v>
      </c>
      <c r="G21" s="900">
        <v>0</v>
      </c>
      <c r="H21" s="328">
        <f>-IF(G$14&gt;0,G21/G$14*100,0)</f>
        <v>0</v>
      </c>
      <c r="I21" s="895">
        <f>-('3. T3 TASE '!H17+'3. T3 TASE '!H25+'3. T3 TASE '!H29+'3. T3 TASE '!H33)</f>
        <v>0</v>
      </c>
      <c r="J21" s="328">
        <f>-IF(I$11&gt;0,I21/I$14*100,0)</f>
        <v>0</v>
      </c>
      <c r="K21" s="895">
        <f>-('3. T3 TASE '!I17+'3. T3 TASE '!I25+'3. T3 TASE '!I29+'3. T3 TASE '!I33+'3. T3 TASE '!I16+'3. T3 TASE '!I21+'3. T3 TASE '!I24+'3. T3 TASE '!I28+'3. T3 TASE '!I32)</f>
        <v>0</v>
      </c>
      <c r="L21" s="328">
        <f>-IF(K$11&gt;0,K21/K$14*100,0)</f>
        <v>0</v>
      </c>
      <c r="M21" s="895">
        <f>-('3. T3 TASE '!J17+'3. T3 TASE '!J25+'3. T3 TASE '!J29+'3. T3 TASE '!J33+'3. T3 TASE '!J16+'3. T3 TASE '!J21+'3. T3 TASE '!J24+'3. T3 TASE '!J28+'3. T3 TASE '!J32)</f>
        <v>0</v>
      </c>
      <c r="N21" s="328">
        <f>-IF(M$11&gt;0,M21/M$14*100,0)</f>
        <v>0</v>
      </c>
      <c r="O21" s="895">
        <f>-('3. T3 TASE '!K17+'3. T3 TASE '!K25+'3. T3 TASE '!K29+'3. T3 TASE '!K33+'3. T3 TASE '!K16+'3. T3 TASE '!K21+'3. T3 TASE '!K24+'3. T3 TASE '!K28+'3. T3 TASE '!K32)</f>
        <v>0</v>
      </c>
      <c r="P21" s="1418">
        <f>-IF(O$11&gt;0,O21/O$14*100,0)</f>
        <v>0</v>
      </c>
      <c r="Q21" s="167"/>
      <c r="R21" s="378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464"/>
    </row>
    <row r="22" spans="1:32" s="51" customFormat="1" ht="14.15" customHeight="1">
      <c r="A22"/>
      <c r="B22" s="1416" t="s">
        <v>169</v>
      </c>
      <c r="C22" s="331" t="s">
        <v>363</v>
      </c>
      <c r="D22" s="333"/>
      <c r="E22" s="963">
        <f>SUM(E20:E21)</f>
        <v>0</v>
      </c>
      <c r="F22" s="328">
        <f>IF(E$14&gt;0,E22/E$14*100,0)</f>
        <v>0</v>
      </c>
      <c r="G22" s="964">
        <f>SUM(G20:G21)</f>
        <v>0</v>
      </c>
      <c r="H22" s="328">
        <f>IF(G$14&gt;0,G22/G$14*100,0)</f>
        <v>0</v>
      </c>
      <c r="I22" s="964">
        <f>SUM(I20:I21)</f>
        <v>0</v>
      </c>
      <c r="J22" s="328">
        <f>IF(I$11&gt;0,I22/I$14*100,0)</f>
        <v>0</v>
      </c>
      <c r="K22" s="964">
        <f>SUM(K20:K21)</f>
        <v>0</v>
      </c>
      <c r="L22" s="328">
        <f>IF(K$11&gt;0,K22/K$14*100,0)</f>
        <v>0</v>
      </c>
      <c r="M22" s="964">
        <f>SUM(M20:M21)</f>
        <v>0</v>
      </c>
      <c r="N22" s="328">
        <f>IF(M$11&gt;0,M22/M$14*100,0)</f>
        <v>0</v>
      </c>
      <c r="O22" s="964">
        <f>SUM(O20:O21)</f>
        <v>0</v>
      </c>
      <c r="P22" s="1418">
        <f>IF(O$11&gt;0,O22/O$14*100,0)</f>
        <v>0</v>
      </c>
      <c r="Q22" s="167"/>
      <c r="R22" s="378"/>
      <c r="S22" s="320"/>
      <c r="T22" s="320">
        <v>0</v>
      </c>
      <c r="U22" s="320"/>
      <c r="V22" s="320"/>
      <c r="W22" s="320">
        <v>0</v>
      </c>
      <c r="X22" s="320"/>
      <c r="Y22" s="320"/>
      <c r="Z22" s="320"/>
      <c r="AA22" s="320"/>
      <c r="AB22" s="320"/>
      <c r="AC22" s="320"/>
      <c r="AD22" s="320"/>
      <c r="AE22" s="320"/>
      <c r="AF22" s="464"/>
    </row>
    <row r="23" spans="1:32" s="51" customFormat="1" ht="14.15" customHeight="1">
      <c r="A23"/>
      <c r="B23" s="1416" t="s">
        <v>366</v>
      </c>
      <c r="C23" s="329" t="s">
        <v>97</v>
      </c>
      <c r="D23" s="323" t="s">
        <v>89</v>
      </c>
      <c r="E23" s="962">
        <v>0</v>
      </c>
      <c r="F23" s="328">
        <f>IF(E$14&gt;0,E23/E$14*100,0)</f>
        <v>0</v>
      </c>
      <c r="G23" s="900">
        <v>0</v>
      </c>
      <c r="H23" s="328">
        <f>IF(G$14&gt;0,G23/G$14*100,0)</f>
        <v>0</v>
      </c>
      <c r="I23" s="900">
        <v>0</v>
      </c>
      <c r="J23" s="328">
        <f>IF(I$14&gt;0,I23/I$14*100,0)</f>
        <v>0</v>
      </c>
      <c r="K23" s="900">
        <v>0</v>
      </c>
      <c r="L23" s="328">
        <f>IF(K$14&gt;0,K23/K$14*100,0)</f>
        <v>0</v>
      </c>
      <c r="M23" s="900"/>
      <c r="N23" s="328">
        <f>IF(M$14&gt;0,M23/M$14*100,0)</f>
        <v>0</v>
      </c>
      <c r="O23" s="900"/>
      <c r="P23" s="1418">
        <f>IF(O$14&gt;0,O23/O$14*100,0)</f>
        <v>0</v>
      </c>
      <c r="Q23" s="167"/>
      <c r="R23" s="378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464"/>
    </row>
    <row r="24" spans="1:32" s="51" customFormat="1" ht="14.15" customHeight="1">
      <c r="A24"/>
      <c r="B24" s="1414" t="s">
        <v>170</v>
      </c>
      <c r="C24" s="334" t="s">
        <v>437</v>
      </c>
      <c r="D24" s="335" t="s">
        <v>89</v>
      </c>
      <c r="E24" s="962">
        <v>0</v>
      </c>
      <c r="F24" s="328">
        <f>IF(E$14&gt;0,E24/E$14*100,0)</f>
        <v>0</v>
      </c>
      <c r="G24" s="900">
        <v>0</v>
      </c>
      <c r="H24" s="328">
        <f>IF(G$14&gt;0,G24/G$14*100,0)</f>
        <v>0</v>
      </c>
      <c r="I24" s="900">
        <v>0</v>
      </c>
      <c r="J24" s="328">
        <f>IF(I$14&gt;0,I24/I$14*100,0)</f>
        <v>0</v>
      </c>
      <c r="K24" s="900">
        <v>0</v>
      </c>
      <c r="L24" s="328">
        <f>IF(K$14&gt;0,K24/K$14*100,0)</f>
        <v>0</v>
      </c>
      <c r="M24" s="900">
        <v>0</v>
      </c>
      <c r="N24" s="328">
        <f>IF(M$14&gt;0,M24/M$14*100,0)</f>
        <v>0</v>
      </c>
      <c r="O24" s="900">
        <v>0</v>
      </c>
      <c r="P24" s="1418">
        <f>IF(O$14&gt;0,O24/O$14*100,0)</f>
        <v>0</v>
      </c>
      <c r="Q24" s="167"/>
      <c r="R24" s="378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464"/>
    </row>
    <row r="25" spans="1:32" s="51" customFormat="1" ht="14.15" customHeight="1">
      <c r="A25"/>
      <c r="B25" s="1416" t="s">
        <v>171</v>
      </c>
      <c r="C25" s="322" t="s">
        <v>438</v>
      </c>
      <c r="D25" s="323" t="s">
        <v>90</v>
      </c>
      <c r="E25" s="962">
        <v>0</v>
      </c>
      <c r="F25" s="328">
        <f>-IF(E$14&gt;0,E25/E$14*100,0)</f>
        <v>0</v>
      </c>
      <c r="G25" s="900">
        <v>0</v>
      </c>
      <c r="H25" s="328">
        <f>-IF(G$14&gt;0,G25/G$14*100,0)</f>
        <v>0</v>
      </c>
      <c r="I25" s="895">
        <f>-'4. T7 LAINAT '!H50</f>
        <v>0</v>
      </c>
      <c r="J25" s="328">
        <f>-IF(I$14&gt;0,I25/I$14*100,0)</f>
        <v>0</v>
      </c>
      <c r="K25" s="895">
        <f>-'4. T7 LAINAT '!K50</f>
        <v>0</v>
      </c>
      <c r="L25" s="328">
        <f>-IF(K$14&gt;0,K25/K$14*100,0)</f>
        <v>0</v>
      </c>
      <c r="M25" s="895">
        <f>-'4. T7 LAINAT '!N50</f>
        <v>0</v>
      </c>
      <c r="N25" s="328">
        <f>-IF(M$14&gt;0,M25/M$14*100,0)</f>
        <v>0</v>
      </c>
      <c r="O25" s="895">
        <f>-'4. T7 LAINAT '!Q50</f>
        <v>0</v>
      </c>
      <c r="P25" s="1418">
        <f>-IF(O$14&gt;0,O25/O$14*100,0)</f>
        <v>0</v>
      </c>
      <c r="Q25" s="167"/>
      <c r="R25" s="378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464"/>
    </row>
    <row r="26" spans="1:32" s="51" customFormat="1" ht="23.7" customHeight="1">
      <c r="B26" s="1416" t="s">
        <v>172</v>
      </c>
      <c r="C26" s="1799" t="s">
        <v>86</v>
      </c>
      <c r="D26" s="1800"/>
      <c r="E26" s="965">
        <f>E22+E23+E24+E25</f>
        <v>0</v>
      </c>
      <c r="F26" s="328">
        <f>IF(E$14&gt;0,E26/E$14*100,0)</f>
        <v>0</v>
      </c>
      <c r="G26" s="966">
        <f>G22+G23+G24+G25</f>
        <v>0</v>
      </c>
      <c r="H26" s="328">
        <f>IF(G$14&gt;0,G26/G$14*100,0)</f>
        <v>0</v>
      </c>
      <c r="I26" s="966">
        <f>I22+I23+I24+I25</f>
        <v>0</v>
      </c>
      <c r="J26" s="328">
        <f>IF(I$11&gt;0,I26/I$14*100,0)</f>
        <v>0</v>
      </c>
      <c r="K26" s="966">
        <f>K22+K23+K24+K25</f>
        <v>0</v>
      </c>
      <c r="L26" s="328">
        <f>IF(K$11&gt;0,K26/K$14*100,0)</f>
        <v>0</v>
      </c>
      <c r="M26" s="966">
        <f>M22+M23+M24+M25</f>
        <v>0</v>
      </c>
      <c r="N26" s="328">
        <f>IF(M$11&gt;0,M26/M$14*100,0)</f>
        <v>0</v>
      </c>
      <c r="O26" s="966">
        <f>O22+O23+O24+O25</f>
        <v>0</v>
      </c>
      <c r="P26" s="1418">
        <f>IF(O$11&gt;0,O26/O$14*100,0)</f>
        <v>0</v>
      </c>
      <c r="Q26" s="167"/>
      <c r="R26" s="378"/>
      <c r="S26" s="320"/>
      <c r="T26" s="320"/>
      <c r="U26" s="1678"/>
      <c r="V26" s="1678"/>
      <c r="W26" s="320"/>
      <c r="X26" s="320"/>
      <c r="Y26" s="320"/>
      <c r="Z26" s="320"/>
      <c r="AA26" s="320"/>
      <c r="AB26" s="320"/>
      <c r="AC26" s="320"/>
      <c r="AD26" s="320"/>
      <c r="AE26" s="320"/>
      <c r="AF26" s="464"/>
    </row>
    <row r="27" spans="1:32" s="51" customFormat="1" ht="14.15" customHeight="1">
      <c r="B27" s="1416" t="s">
        <v>173</v>
      </c>
      <c r="C27" s="543" t="s">
        <v>87</v>
      </c>
      <c r="D27" s="544" t="s">
        <v>90</v>
      </c>
      <c r="E27" s="967">
        <v>0</v>
      </c>
      <c r="F27" s="328">
        <f>-IF(E$14&gt;0,E27/E$14*100,0)</f>
        <v>0</v>
      </c>
      <c r="G27" s="968">
        <v>0</v>
      </c>
      <c r="H27" s="328">
        <f>-IF(G$14&gt;0,G27/G$14*100,0)</f>
        <v>0</v>
      </c>
      <c r="I27" s="969">
        <f>-IF(I28*(I26+I29+I30+0.5*'5. E1 KUSTANNUKSET '!F86)&lt;0,0,I28*(I26+I29+I30+0.5*'5. E1 KUSTANNUKSET '!F86))</f>
        <v>0</v>
      </c>
      <c r="J27" s="328">
        <f>-IF(I$14&gt;0,I27/I$14*100,0)</f>
        <v>0</v>
      </c>
      <c r="K27" s="969">
        <f>-IF(K28*(K26+K29+K30+0.5*'5. E1 KUSTANNUKSET '!H86)&lt;0,0,K28*(K26+K29+K30+0.5*'5. E1 KUSTANNUKSET '!H86))</f>
        <v>0</v>
      </c>
      <c r="L27" s="328">
        <f>-IF(K$14&gt;0,K27/K$14*100,0)</f>
        <v>0</v>
      </c>
      <c r="M27" s="969">
        <f>-IF(M28*(M26+M29+M30+0.5*'5. E1 KUSTANNUKSET '!J86)&lt;0,0,M28*(M26+M29+M30+0.5*'5. E1 KUSTANNUKSET '!J86))</f>
        <v>0</v>
      </c>
      <c r="N27" s="328">
        <f>-IF(M$14&gt;0,M27/M$14*100,0)</f>
        <v>0</v>
      </c>
      <c r="O27" s="969">
        <f>-IF(O28*(O26+O29+O30+0.5*'5. E1 KUSTANNUKSET '!L86)&lt;0,0,O28*(O26+O29+O30+0.5*'5. E1 KUSTANNUKSET '!L86))</f>
        <v>0</v>
      </c>
      <c r="P27" s="1418">
        <f>-IF(O$14&gt;0,O27/O$14*100,0)</f>
        <v>0</v>
      </c>
      <c r="Q27" s="167"/>
      <c r="R27" s="378">
        <v>0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464"/>
    </row>
    <row r="28" spans="1:32" s="51" customFormat="1" ht="14.15" customHeight="1">
      <c r="A28"/>
      <c r="B28" s="1416"/>
      <c r="C28" s="1807" t="s">
        <v>349</v>
      </c>
      <c r="D28" s="1808"/>
      <c r="E28" s="970"/>
      <c r="F28" s="328"/>
      <c r="G28" s="979"/>
      <c r="H28" s="328"/>
      <c r="I28" s="971">
        <v>0.2</v>
      </c>
      <c r="J28" s="766"/>
      <c r="K28" s="971">
        <f>I28</f>
        <v>0.2</v>
      </c>
      <c r="L28" s="1016"/>
      <c r="M28" s="971">
        <f>K28</f>
        <v>0.2</v>
      </c>
      <c r="N28" s="766"/>
      <c r="O28" s="971">
        <f>M28</f>
        <v>0.2</v>
      </c>
      <c r="P28" s="1418"/>
      <c r="Q28" s="167"/>
      <c r="R28" s="378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464"/>
    </row>
    <row r="29" spans="1:32" s="51" customFormat="1" ht="14.15" customHeight="1">
      <c r="A29"/>
      <c r="B29" s="1416" t="s">
        <v>174</v>
      </c>
      <c r="C29" s="334" t="s">
        <v>106</v>
      </c>
      <c r="D29" s="545" t="s">
        <v>617</v>
      </c>
      <c r="E29" s="967">
        <v>0</v>
      </c>
      <c r="F29" s="328">
        <f>IF(E$14&gt;0,E29/E$14*100,0)</f>
        <v>0</v>
      </c>
      <c r="G29" s="968">
        <v>0</v>
      </c>
      <c r="H29" s="328">
        <f>IF(G$14&gt;0,G29/G$14*100,0)</f>
        <v>0</v>
      </c>
      <c r="I29" s="968">
        <v>0</v>
      </c>
      <c r="J29" s="328">
        <f>IF(I$14&gt;0,I29/I$14*100,0)</f>
        <v>0</v>
      </c>
      <c r="K29" s="972">
        <v>0</v>
      </c>
      <c r="L29" s="1017">
        <f>IF(K$14&gt;0,K29/K$14*100,0)</f>
        <v>0</v>
      </c>
      <c r="M29" s="973">
        <v>0</v>
      </c>
      <c r="N29" s="328">
        <f>IF(M$14&gt;0,M29/M$14*100,0)</f>
        <v>0</v>
      </c>
      <c r="O29" s="968">
        <v>0</v>
      </c>
      <c r="P29" s="1418">
        <f>IF(O$14&gt;0,O29/O$14*100,0)</f>
        <v>0</v>
      </c>
      <c r="Q29" s="167"/>
      <c r="R29" s="378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464"/>
    </row>
    <row r="30" spans="1:32" s="51" customFormat="1" ht="14.15" customHeight="1">
      <c r="A30"/>
      <c r="B30" s="1416" t="s">
        <v>175</v>
      </c>
      <c r="C30" s="322" t="s">
        <v>422</v>
      </c>
      <c r="D30" s="330" t="s">
        <v>280</v>
      </c>
      <c r="E30" s="967">
        <v>0</v>
      </c>
      <c r="F30" s="328">
        <f>-IF(E$14&gt;0,E30/E$14*100,0)</f>
        <v>0</v>
      </c>
      <c r="G30" s="968">
        <v>0</v>
      </c>
      <c r="H30" s="328">
        <f>-IF(G$14&gt;0,G30/G$14*100,0)</f>
        <v>0</v>
      </c>
      <c r="I30" s="966">
        <f>-('3. T3 TASE '!H64-'3. T3 TASE '!G64)</f>
        <v>0</v>
      </c>
      <c r="J30" s="328">
        <f>-IF(I$14&gt;0,I30/I$14*100,0)</f>
        <v>0</v>
      </c>
      <c r="K30" s="966">
        <f>-('3. T3 TASE '!I64-'3. T3 TASE '!H64)</f>
        <v>0</v>
      </c>
      <c r="L30" s="328">
        <f>-IF(K$14&gt;0,K30/K$14*100,0)</f>
        <v>0</v>
      </c>
      <c r="M30" s="966">
        <f>-('3. T3 TASE '!J64-'3. T3 TASE '!I64)</f>
        <v>0</v>
      </c>
      <c r="N30" s="328">
        <f>-IF(M$14&gt;0,M30/M$14*100,0)</f>
        <v>0</v>
      </c>
      <c r="O30" s="966">
        <f>-('3. T3 TASE '!K64-'3. T3 TASE '!J64)</f>
        <v>0</v>
      </c>
      <c r="P30" s="1418">
        <f>-IF(O$14&gt;0,O30/O$14*100,0)</f>
        <v>0</v>
      </c>
      <c r="Q30" s="167"/>
      <c r="R30" s="378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464"/>
    </row>
    <row r="31" spans="1:32" s="51" customFormat="1" ht="20.149999999999999" customHeight="1">
      <c r="B31" s="1420" t="s">
        <v>439</v>
      </c>
      <c r="C31" s="1421" t="s">
        <v>91</v>
      </c>
      <c r="D31" s="1422"/>
      <c r="E31" s="963">
        <f>SUM(E26:E30)</f>
        <v>0</v>
      </c>
      <c r="F31" s="328">
        <f>IF(E$14&gt;0,E31/E$14*100,0)</f>
        <v>0</v>
      </c>
      <c r="G31" s="964">
        <f>SUM(G26:G30)</f>
        <v>0</v>
      </c>
      <c r="H31" s="328">
        <f>IF(G$14&gt;0,G31/G$14*100,0)</f>
        <v>0</v>
      </c>
      <c r="I31" s="964">
        <f>I26+I27+I29+I30</f>
        <v>0</v>
      </c>
      <c r="J31" s="328">
        <f>IF(I$11&gt;0,I31/I$14*100,0)</f>
        <v>0</v>
      </c>
      <c r="K31" s="964">
        <f>K26+K27+K29+K30</f>
        <v>0</v>
      </c>
      <c r="L31" s="328">
        <f>IF(K$11&gt;0,K31/K$14*100,0)</f>
        <v>0</v>
      </c>
      <c r="M31" s="964">
        <f>M26+M27+M29+M30</f>
        <v>0</v>
      </c>
      <c r="N31" s="328">
        <f>IF(M$11&gt;0,M31/M$14*100,0)</f>
        <v>0</v>
      </c>
      <c r="O31" s="964">
        <f>O26+O27+O29+O30</f>
        <v>0</v>
      </c>
      <c r="P31" s="1418">
        <f>IF(O$11&gt;0,O31/O$14*100,0)</f>
        <v>0</v>
      </c>
      <c r="Q31" s="167"/>
      <c r="R31" s="541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7"/>
    </row>
    <row r="32" spans="1:32" ht="3.75" customHeight="1">
      <c r="B32" s="57"/>
      <c r="C32" s="167"/>
      <c r="D32" s="167"/>
      <c r="E32" s="167"/>
      <c r="F32" s="167"/>
      <c r="G32" s="167"/>
      <c r="H32" s="168"/>
      <c r="I32" s="167"/>
      <c r="J32" s="168"/>
      <c r="K32" s="167"/>
      <c r="L32" s="168"/>
      <c r="M32" s="167"/>
      <c r="N32" s="168"/>
      <c r="O32" s="167"/>
      <c r="P32" s="168"/>
    </row>
    <row r="33" spans="1:17" ht="15" customHeight="1">
      <c r="B33" s="1409"/>
      <c r="C33" s="1410" t="s">
        <v>102</v>
      </c>
      <c r="D33" s="1411"/>
      <c r="E33" s="1785">
        <v>1</v>
      </c>
      <c r="F33" s="1785"/>
      <c r="G33" s="1787">
        <f>E33</f>
        <v>1</v>
      </c>
      <c r="H33" s="1788"/>
      <c r="I33" s="1787">
        <f>G33</f>
        <v>1</v>
      </c>
      <c r="J33" s="1788"/>
      <c r="K33" s="1787">
        <f>I33</f>
        <v>1</v>
      </c>
      <c r="L33" s="1788"/>
      <c r="M33" s="1787">
        <f>K33</f>
        <v>1</v>
      </c>
      <c r="N33" s="1788"/>
      <c r="O33" s="1787">
        <f>M33</f>
        <v>1</v>
      </c>
      <c r="P33" s="1789"/>
    </row>
    <row r="34" spans="1:17" ht="12.75" customHeight="1">
      <c r="B34" s="57"/>
      <c r="C34" s="1"/>
      <c r="D34" s="4"/>
      <c r="E34" s="4"/>
      <c r="F34" s="4"/>
      <c r="G34" s="82"/>
      <c r="H34" s="82"/>
      <c r="I34" s="338"/>
      <c r="J34" s="82"/>
      <c r="K34" s="82"/>
      <c r="L34" s="82"/>
      <c r="M34" s="82"/>
      <c r="N34" s="82"/>
      <c r="O34" s="82"/>
      <c r="P34" s="82"/>
    </row>
    <row r="35" spans="1:17" ht="12.75" customHeight="1">
      <c r="B35" s="74">
        <f>'1. T1 INVESTOINTISUUN.'!B66</f>
        <v>0</v>
      </c>
      <c r="C35" s="1"/>
      <c r="D35" s="4"/>
      <c r="E35" s="4"/>
      <c r="F35" s="4"/>
      <c r="G35" s="82"/>
      <c r="H35" s="1073" t="str">
        <f>IF(I18&gt;0,"MUUTA E1 KUSTANNUKSET -TAULUKON LUVUT +MERKKISIKSI!","")</f>
        <v/>
      </c>
      <c r="I35" s="338"/>
      <c r="J35" s="82"/>
      <c r="K35" s="82"/>
      <c r="L35" s="82"/>
      <c r="M35" s="1735" t="str">
        <f>OHJE!I5</f>
        <v>Yritystulkin tarjoaa</v>
      </c>
      <c r="N35" s="1735"/>
      <c r="O35" s="1735"/>
      <c r="P35" s="1735"/>
    </row>
    <row r="36" spans="1:17" ht="14.25" customHeight="1">
      <c r="A36" s="51"/>
      <c r="B36" s="74" t="str">
        <f>'1. T1 INVESTOINTISUUN.'!B67</f>
        <v>YT22 Toimivan yrityksen tulossuunnitelma</v>
      </c>
      <c r="C36" s="4"/>
      <c r="D36" s="4"/>
      <c r="E36" s="4"/>
      <c r="F36" s="4"/>
      <c r="G36" s="4"/>
      <c r="H36" s="57"/>
      <c r="I36" s="130"/>
      <c r="J36" s="57"/>
      <c r="K36" s="1746" t="str">
        <f>OHJE!H7</f>
        <v>Alavuden Kehitys Oy</v>
      </c>
      <c r="L36" s="1746"/>
      <c r="M36" s="1746"/>
      <c r="N36" s="1746"/>
      <c r="O36" s="1746"/>
      <c r="P36" s="1746"/>
    </row>
    <row r="37" spans="1:17">
      <c r="A37" s="2"/>
      <c r="B37" s="1804"/>
      <c r="C37" s="1804"/>
      <c r="D37" s="1804"/>
      <c r="E37" s="499"/>
      <c r="F37" s="499"/>
      <c r="G37" s="1777"/>
      <c r="H37" s="1777"/>
      <c r="I37" s="1777"/>
      <c r="J37" s="1777"/>
      <c r="K37" s="533"/>
      <c r="L37" s="533"/>
      <c r="M37" s="533"/>
      <c r="N37" s="533"/>
      <c r="O37" s="533"/>
      <c r="P37" s="533"/>
      <c r="Q37" s="128"/>
    </row>
    <row r="38" spans="1:17">
      <c r="B38" s="129"/>
      <c r="C38" s="130"/>
      <c r="D38" s="130"/>
      <c r="E38" s="130"/>
      <c r="F38" s="130"/>
      <c r="G38" s="1770"/>
      <c r="H38" s="1770"/>
      <c r="I38" s="1770"/>
      <c r="J38" s="1770"/>
      <c r="K38" s="1770"/>
      <c r="L38" s="1770"/>
      <c r="M38" s="1770"/>
      <c r="N38" s="1770"/>
      <c r="O38" s="1770"/>
      <c r="P38" s="1770"/>
      <c r="Q38" s="128"/>
    </row>
    <row r="39" spans="1:17">
      <c r="B39" s="129"/>
      <c r="C39" s="396" t="s">
        <v>332</v>
      </c>
      <c r="D39" s="130"/>
      <c r="E39" s="130"/>
      <c r="F39" s="130"/>
      <c r="G39" s="401"/>
      <c r="H39" s="401"/>
      <c r="I39" s="401"/>
      <c r="J39" s="401"/>
      <c r="K39" s="1770"/>
      <c r="L39" s="1770"/>
      <c r="M39" s="1770"/>
      <c r="N39" s="1770"/>
      <c r="O39" s="1770"/>
      <c r="P39" s="1770"/>
      <c r="Q39" s="128"/>
    </row>
    <row r="40" spans="1:17">
      <c r="B40" s="129"/>
      <c r="C40" s="50" t="s">
        <v>333</v>
      </c>
      <c r="D40" s="130"/>
      <c r="E40" s="130"/>
      <c r="F40" s="130"/>
      <c r="G40" s="128"/>
      <c r="H40" s="128"/>
      <c r="I40" s="401"/>
      <c r="J40" s="401"/>
      <c r="K40" s="1770"/>
      <c r="L40" s="1770"/>
      <c r="M40" s="1770"/>
      <c r="N40" s="1770"/>
      <c r="O40" s="1770"/>
      <c r="P40" s="1770"/>
      <c r="Q40" s="128"/>
    </row>
    <row r="41" spans="1:17">
      <c r="B41" s="129"/>
      <c r="C41" s="50" t="s">
        <v>334</v>
      </c>
      <c r="D41" s="130"/>
      <c r="E41" s="130"/>
      <c r="F41" s="130"/>
      <c r="G41" s="401"/>
      <c r="H41" s="401"/>
      <c r="I41" s="401"/>
      <c r="J41" s="401"/>
      <c r="K41" s="1770"/>
      <c r="L41" s="1770"/>
      <c r="M41" s="1770"/>
      <c r="N41" s="1770"/>
      <c r="O41" s="1770"/>
      <c r="P41" s="1770"/>
      <c r="Q41" s="128"/>
    </row>
    <row r="42" spans="1:17">
      <c r="B42" s="129"/>
      <c r="C42" s="130"/>
      <c r="D42" s="130"/>
      <c r="E42" s="130"/>
      <c r="F42" s="130"/>
      <c r="G42" s="1770"/>
      <c r="H42" s="1770"/>
      <c r="I42" s="1770"/>
      <c r="J42" s="1770"/>
      <c r="K42" s="1770"/>
      <c r="L42" s="1770"/>
      <c r="M42" s="1770"/>
      <c r="N42" s="1770"/>
      <c r="O42" s="1770"/>
      <c r="P42" s="1770"/>
      <c r="Q42" s="128"/>
    </row>
    <row r="43" spans="1:17">
      <c r="B43" s="129"/>
      <c r="C43" s="130"/>
      <c r="D43" s="130"/>
      <c r="E43" s="130"/>
      <c r="F43" s="130"/>
      <c r="G43" s="1770"/>
      <c r="H43" s="1770"/>
      <c r="I43" s="1770"/>
      <c r="J43" s="1770"/>
      <c r="K43" s="1770"/>
      <c r="L43" s="1770"/>
      <c r="M43" s="1770"/>
      <c r="N43" s="1770"/>
      <c r="O43" s="1770"/>
      <c r="P43" s="1770"/>
      <c r="Q43" s="128"/>
    </row>
    <row r="44" spans="1:17">
      <c r="B44" s="129"/>
      <c r="C44" s="130"/>
      <c r="D44" s="130"/>
      <c r="E44" s="130"/>
      <c r="F44" s="130"/>
      <c r="G44" s="1770"/>
      <c r="H44" s="1770"/>
      <c r="I44" s="1770"/>
      <c r="J44" s="1770"/>
      <c r="K44" s="1770"/>
      <c r="L44" s="1770"/>
      <c r="M44" s="1770"/>
      <c r="N44" s="1770"/>
      <c r="O44" s="1770"/>
      <c r="P44" s="1770"/>
      <c r="Q44" s="128"/>
    </row>
    <row r="45" spans="1:17">
      <c r="B45" s="129"/>
      <c r="C45" s="130"/>
      <c r="D45" s="130"/>
      <c r="E45" s="130"/>
      <c r="F45" s="130"/>
      <c r="G45" s="1770"/>
      <c r="H45" s="1770"/>
      <c r="I45" s="1770"/>
      <c r="J45" s="1770"/>
      <c r="K45" s="1770"/>
      <c r="L45" s="1770"/>
      <c r="M45" s="1770"/>
      <c r="N45" s="1770"/>
      <c r="O45" s="1770"/>
      <c r="P45" s="1770"/>
      <c r="Q45" s="128"/>
    </row>
    <row r="46" spans="1:17">
      <c r="B46" s="129"/>
      <c r="C46" s="130"/>
      <c r="D46" s="130"/>
      <c r="E46" s="130"/>
      <c r="F46" s="130"/>
      <c r="G46" s="1778"/>
      <c r="H46" s="1778"/>
      <c r="I46" s="1778"/>
      <c r="J46" s="1778"/>
      <c r="K46" s="1778"/>
      <c r="L46" s="1778"/>
      <c r="M46" s="1778"/>
      <c r="N46" s="1778"/>
      <c r="O46" s="1778"/>
      <c r="P46" s="1778"/>
      <c r="Q46" s="128"/>
    </row>
    <row r="47" spans="1:17">
      <c r="B47" s="1790"/>
      <c r="C47" s="1790"/>
      <c r="D47" s="1790"/>
      <c r="E47" s="132"/>
      <c r="F47" s="132"/>
      <c r="G47" s="1770"/>
      <c r="H47" s="1770"/>
      <c r="I47" s="1770"/>
      <c r="J47" s="1770"/>
      <c r="K47" s="1770"/>
      <c r="L47" s="1770"/>
      <c r="M47" s="1770"/>
      <c r="N47" s="1770"/>
      <c r="O47" s="1770"/>
      <c r="P47" s="1770"/>
      <c r="Q47" s="128"/>
    </row>
    <row r="48" spans="1:17">
      <c r="B48" s="129"/>
      <c r="C48" s="130"/>
      <c r="D48" s="130"/>
      <c r="E48" s="130"/>
      <c r="F48" s="130"/>
      <c r="G48" s="1770"/>
      <c r="H48" s="1770"/>
      <c r="I48" s="1770"/>
      <c r="J48" s="1770"/>
      <c r="K48" s="1770"/>
      <c r="L48" s="1770"/>
      <c r="M48" s="1770"/>
      <c r="N48" s="1770"/>
      <c r="O48" s="1770"/>
      <c r="P48" s="1770"/>
      <c r="Q48" s="128"/>
    </row>
    <row r="49" spans="2:21">
      <c r="B49" s="129"/>
      <c r="C49" s="130"/>
      <c r="D49" s="130"/>
      <c r="E49" s="130"/>
      <c r="F49" s="130"/>
      <c r="G49" s="1770"/>
      <c r="H49" s="1770"/>
      <c r="I49" s="1770"/>
      <c r="J49" s="1770"/>
      <c r="K49" s="1770"/>
      <c r="L49" s="1770"/>
      <c r="M49" s="1770"/>
      <c r="N49" s="1770"/>
      <c r="O49" s="1770"/>
      <c r="P49" s="1770"/>
      <c r="Q49" s="128"/>
    </row>
    <row r="50" spans="2:21">
      <c r="B50" s="129"/>
      <c r="C50" s="1793"/>
      <c r="D50" s="1793"/>
      <c r="E50" s="133"/>
      <c r="F50" s="133"/>
      <c r="G50" s="1770"/>
      <c r="H50" s="1770"/>
      <c r="I50" s="1770"/>
      <c r="J50" s="1770"/>
      <c r="K50" s="1770"/>
      <c r="L50" s="1770"/>
      <c r="M50" s="1770"/>
      <c r="N50" s="1770"/>
      <c r="O50" s="1770"/>
      <c r="P50" s="1770"/>
      <c r="Q50" s="128"/>
      <c r="R50" s="1" t="s">
        <v>0</v>
      </c>
    </row>
    <row r="51" spans="2:21">
      <c r="B51" s="129"/>
      <c r="C51" s="130"/>
      <c r="D51" s="130"/>
      <c r="E51" s="130"/>
      <c r="F51" s="130"/>
      <c r="G51" s="1770"/>
      <c r="H51" s="1770"/>
      <c r="I51" s="1770"/>
      <c r="J51" s="1770"/>
      <c r="K51" s="1770"/>
      <c r="L51" s="1770"/>
      <c r="M51" s="1770"/>
      <c r="N51" s="1770"/>
      <c r="O51" s="1770"/>
      <c r="P51" s="1770"/>
      <c r="Q51" s="128"/>
      <c r="R51" s="1" t="s">
        <v>0</v>
      </c>
    </row>
    <row r="52" spans="2:21">
      <c r="B52" s="129"/>
      <c r="C52" s="130"/>
      <c r="D52" s="130"/>
      <c r="E52" s="130"/>
      <c r="F52" s="130"/>
      <c r="G52" s="1770"/>
      <c r="H52" s="1770"/>
      <c r="I52" s="1770"/>
      <c r="J52" s="1770"/>
      <c r="K52" s="1770"/>
      <c r="L52" s="1770"/>
      <c r="M52" s="1770"/>
      <c r="N52" s="1770"/>
      <c r="O52" s="1770"/>
      <c r="P52" s="1770"/>
      <c r="Q52" s="128"/>
    </row>
    <row r="53" spans="2:21">
      <c r="B53" s="1805"/>
      <c r="C53" s="1805"/>
      <c r="D53" s="1805"/>
      <c r="E53" s="499"/>
      <c r="F53" s="499"/>
      <c r="G53" s="1770"/>
      <c r="H53" s="1770"/>
      <c r="I53" s="1770"/>
      <c r="J53" s="1770"/>
      <c r="K53" s="1770"/>
      <c r="L53" s="1770"/>
      <c r="M53" s="1770"/>
      <c r="N53" s="1770"/>
      <c r="O53" s="1770"/>
      <c r="P53" s="1770"/>
      <c r="Q53" s="128"/>
    </row>
    <row r="54" spans="2:21">
      <c r="B54" s="134"/>
      <c r="C54" s="128"/>
      <c r="D54" s="128"/>
      <c r="E54" s="128"/>
      <c r="F54" s="128"/>
      <c r="G54" s="128"/>
      <c r="H54" s="134"/>
      <c r="I54" s="130"/>
      <c r="J54" s="134"/>
      <c r="K54" s="128"/>
      <c r="L54" s="134"/>
      <c r="M54" s="128"/>
      <c r="N54" s="134"/>
      <c r="O54" s="128"/>
      <c r="P54" s="134"/>
      <c r="Q54" s="128"/>
    </row>
    <row r="55" spans="2:21">
      <c r="B55" s="1806"/>
      <c r="C55" s="1806"/>
      <c r="D55" s="1806"/>
      <c r="E55" s="500"/>
      <c r="F55" s="500"/>
      <c r="G55" s="1771"/>
      <c r="H55" s="1772"/>
      <c r="I55" s="1771"/>
      <c r="J55" s="1772"/>
      <c r="K55" s="1771"/>
      <c r="L55" s="1772"/>
      <c r="M55" s="1771"/>
      <c r="N55" s="1772"/>
      <c r="O55" s="1771"/>
      <c r="P55" s="1772"/>
      <c r="Q55" s="128"/>
    </row>
    <row r="56" spans="2:21">
      <c r="B56" s="1801"/>
      <c r="C56" s="1801"/>
      <c r="D56" s="1801"/>
      <c r="E56" s="110"/>
      <c r="F56" s="110"/>
      <c r="G56" s="1770"/>
      <c r="H56" s="1770"/>
      <c r="I56" s="1770"/>
      <c r="J56" s="1770"/>
      <c r="K56" s="1770"/>
      <c r="L56" s="1770"/>
      <c r="M56" s="1770"/>
      <c r="N56" s="1770"/>
      <c r="O56" s="1770"/>
      <c r="P56" s="1770"/>
      <c r="Q56" s="128"/>
    </row>
    <row r="57" spans="2:21">
      <c r="B57" s="1801"/>
      <c r="C57" s="1801"/>
      <c r="D57" s="1801"/>
      <c r="E57" s="110"/>
      <c r="F57" s="110"/>
      <c r="G57" s="1770"/>
      <c r="H57" s="1770"/>
      <c r="I57" s="1770"/>
      <c r="J57" s="1770"/>
      <c r="K57" s="1770"/>
      <c r="L57" s="1770"/>
      <c r="M57" s="1770"/>
      <c r="N57" s="1770"/>
      <c r="O57" s="1770"/>
      <c r="P57" s="1770"/>
      <c r="Q57" s="128"/>
    </row>
    <row r="58" spans="2:21">
      <c r="B58" s="1801"/>
      <c r="C58" s="1801"/>
      <c r="D58" s="1801"/>
      <c r="E58" s="110"/>
      <c r="F58" s="110"/>
      <c r="G58" s="1770"/>
      <c r="H58" s="1770"/>
      <c r="I58" s="1770"/>
      <c r="J58" s="1770"/>
      <c r="K58" s="1770"/>
      <c r="L58" s="1770"/>
      <c r="M58" s="1770"/>
      <c r="N58" s="1770"/>
      <c r="O58" s="1770"/>
      <c r="P58" s="1770"/>
      <c r="Q58" s="128"/>
    </row>
    <row r="59" spans="2:21">
      <c r="B59" s="1801"/>
      <c r="C59" s="1801"/>
      <c r="D59" s="1801"/>
      <c r="E59" s="110"/>
      <c r="F59" s="110"/>
      <c r="G59" s="1770"/>
      <c r="H59" s="1770"/>
      <c r="I59" s="1770"/>
      <c r="J59" s="1770"/>
      <c r="K59" s="1770"/>
      <c r="L59" s="1770"/>
      <c r="M59" s="1770"/>
      <c r="N59" s="1770"/>
      <c r="O59" s="1770"/>
      <c r="P59" s="1770"/>
      <c r="Q59" s="128"/>
    </row>
    <row r="60" spans="2:21">
      <c r="B60" s="110"/>
      <c r="C60" s="110"/>
      <c r="D60" s="110"/>
      <c r="E60" s="110"/>
      <c r="F60" s="110"/>
      <c r="G60" s="1770"/>
      <c r="H60" s="1770"/>
      <c r="I60" s="150"/>
      <c r="J60" s="131"/>
      <c r="K60" s="131"/>
      <c r="L60" s="131"/>
      <c r="M60" s="131"/>
      <c r="N60" s="131"/>
      <c r="O60" s="131"/>
      <c r="P60" s="131"/>
      <c r="Q60" s="128"/>
    </row>
    <row r="61" spans="2:21">
      <c r="B61" s="1801"/>
      <c r="C61" s="1801"/>
      <c r="D61" s="1801"/>
      <c r="E61" s="110"/>
      <c r="F61" s="110"/>
      <c r="G61" s="1770"/>
      <c r="H61" s="1770"/>
      <c r="I61" s="1770"/>
      <c r="J61" s="1770"/>
      <c r="K61" s="1770"/>
      <c r="L61" s="1770"/>
      <c r="M61" s="1770"/>
      <c r="N61" s="1770"/>
      <c r="O61" s="1770"/>
      <c r="P61" s="1770"/>
      <c r="Q61" s="128"/>
      <c r="U61" s="1" t="s">
        <v>92</v>
      </c>
    </row>
    <row r="62" spans="2:21">
      <c r="B62" s="1801"/>
      <c r="C62" s="1801"/>
      <c r="D62" s="1801"/>
      <c r="E62" s="110"/>
      <c r="F62" s="110"/>
      <c r="G62" s="1770"/>
      <c r="H62" s="1770"/>
      <c r="I62" s="1770"/>
      <c r="J62" s="1770"/>
      <c r="K62" s="1770"/>
      <c r="L62" s="1770"/>
      <c r="M62" s="1770"/>
      <c r="N62" s="1770"/>
      <c r="O62" s="1770"/>
      <c r="P62" s="1770"/>
      <c r="Q62" s="128"/>
    </row>
    <row r="63" spans="2:21">
      <c r="B63" s="1801"/>
      <c r="C63" s="1801"/>
      <c r="D63" s="1801"/>
      <c r="E63" s="110"/>
      <c r="F63" s="110"/>
      <c r="G63" s="1769"/>
      <c r="H63" s="1769"/>
      <c r="I63" s="1769"/>
      <c r="J63" s="1769"/>
      <c r="K63" s="1769"/>
      <c r="L63" s="1769"/>
      <c r="M63" s="1769"/>
      <c r="N63" s="1769"/>
      <c r="O63" s="1769"/>
      <c r="P63" s="1769"/>
      <c r="Q63" s="128"/>
    </row>
    <row r="64" spans="2:21">
      <c r="B64" s="110"/>
      <c r="C64" s="110"/>
      <c r="D64" s="110"/>
      <c r="E64" s="110"/>
      <c r="F64" s="110"/>
      <c r="G64" s="136"/>
      <c r="H64" s="136"/>
      <c r="I64" s="339"/>
      <c r="J64" s="136"/>
      <c r="K64" s="136"/>
      <c r="L64" s="136"/>
      <c r="M64" s="136"/>
      <c r="N64" s="136"/>
      <c r="O64" s="136"/>
      <c r="P64" s="136"/>
      <c r="Q64" s="128"/>
    </row>
    <row r="65" spans="2:17">
      <c r="B65" s="110"/>
      <c r="C65" s="110"/>
      <c r="D65" s="110"/>
      <c r="E65" s="110"/>
      <c r="F65" s="110"/>
      <c r="G65" s="136"/>
      <c r="H65" s="136"/>
      <c r="I65" s="339"/>
      <c r="J65" s="136"/>
      <c r="K65" s="136"/>
      <c r="L65" s="136"/>
      <c r="M65" s="136"/>
      <c r="N65" s="136"/>
      <c r="O65" s="136"/>
      <c r="P65" s="136"/>
      <c r="Q65" s="128"/>
    </row>
    <row r="66" spans="2:17">
      <c r="B66" s="110"/>
      <c r="C66" s="110"/>
      <c r="D66" s="110"/>
      <c r="E66" s="110"/>
      <c r="F66" s="110"/>
      <c r="G66" s="136"/>
      <c r="H66" s="136"/>
      <c r="I66" s="339"/>
      <c r="J66" s="136"/>
      <c r="K66" s="136"/>
      <c r="L66" s="136"/>
      <c r="M66" s="136"/>
      <c r="N66" s="136"/>
      <c r="O66" s="136"/>
      <c r="P66" s="136"/>
      <c r="Q66" s="128"/>
    </row>
    <row r="67" spans="2:17">
      <c r="B67" s="110"/>
      <c r="C67" s="110"/>
      <c r="D67" s="110"/>
      <c r="E67" s="110"/>
      <c r="F67" s="110"/>
      <c r="G67" s="136"/>
      <c r="H67" s="136"/>
      <c r="I67" s="339"/>
      <c r="J67" s="136"/>
      <c r="K67" s="136"/>
      <c r="L67" s="136"/>
      <c r="M67" s="136"/>
      <c r="N67" s="136"/>
      <c r="O67" s="136"/>
      <c r="P67" s="136"/>
      <c r="Q67" s="128"/>
    </row>
    <row r="68" spans="2:17">
      <c r="B68" s="110"/>
      <c r="C68" s="110"/>
      <c r="D68" s="110"/>
      <c r="E68" s="110"/>
      <c r="F68" s="110"/>
      <c r="G68" s="136"/>
      <c r="H68" s="136"/>
      <c r="I68" s="339"/>
      <c r="J68" s="136"/>
      <c r="K68" s="136"/>
      <c r="L68" s="136"/>
      <c r="M68" s="136"/>
      <c r="N68" s="136"/>
      <c r="O68" s="136"/>
      <c r="P68" s="136"/>
      <c r="Q68" s="128"/>
    </row>
    <row r="69" spans="2:17">
      <c r="B69" s="110"/>
      <c r="C69" s="110"/>
      <c r="D69" s="110"/>
      <c r="E69" s="110"/>
      <c r="F69" s="110"/>
      <c r="G69" s="136"/>
      <c r="H69" s="136"/>
      <c r="I69" s="339"/>
      <c r="J69" s="136"/>
      <c r="K69" s="136"/>
      <c r="L69" s="136"/>
      <c r="M69" s="136"/>
      <c r="N69" s="136"/>
      <c r="O69" s="136"/>
      <c r="P69" s="136"/>
      <c r="Q69" s="128"/>
    </row>
    <row r="70" spans="2:17">
      <c r="B70" s="110"/>
      <c r="C70" s="110"/>
      <c r="D70" s="110"/>
      <c r="E70" s="110"/>
      <c r="F70" s="110"/>
      <c r="G70" s="136"/>
      <c r="H70" s="136"/>
      <c r="I70" s="339"/>
      <c r="J70" s="136"/>
      <c r="K70" s="136"/>
      <c r="L70" s="136"/>
      <c r="M70" s="136"/>
      <c r="N70" s="136"/>
      <c r="O70" s="136"/>
      <c r="P70" s="136"/>
      <c r="Q70" s="128"/>
    </row>
    <row r="71" spans="2:17">
      <c r="B71" s="110"/>
      <c r="C71" s="110"/>
      <c r="D71" s="110"/>
      <c r="E71" s="110"/>
      <c r="F71" s="110"/>
      <c r="G71" s="136"/>
      <c r="H71" s="136"/>
      <c r="I71" s="339"/>
      <c r="J71" s="136"/>
      <c r="K71" s="136"/>
      <c r="L71" s="136"/>
      <c r="M71" s="136"/>
      <c r="N71" s="136"/>
      <c r="O71" s="136"/>
      <c r="P71" s="136"/>
      <c r="Q71" s="128"/>
    </row>
    <row r="72" spans="2:17">
      <c r="B72" s="110"/>
      <c r="C72" s="110"/>
      <c r="D72" s="110"/>
      <c r="E72" s="110"/>
      <c r="F72" s="110"/>
      <c r="G72" s="136"/>
      <c r="H72" s="136"/>
      <c r="I72" s="339"/>
      <c r="J72" s="136"/>
      <c r="K72" s="136"/>
      <c r="L72" s="136"/>
      <c r="M72" s="136"/>
      <c r="N72" s="136"/>
      <c r="O72" s="136"/>
      <c r="P72" s="136"/>
      <c r="Q72" s="128"/>
    </row>
    <row r="73" spans="2:17">
      <c r="B73" s="110"/>
      <c r="C73" s="110"/>
      <c r="D73" s="110"/>
      <c r="E73" s="110"/>
      <c r="F73" s="110"/>
      <c r="G73" s="136"/>
      <c r="H73" s="136"/>
      <c r="I73" s="339"/>
      <c r="J73" s="136"/>
      <c r="K73" s="136"/>
      <c r="L73" s="136"/>
      <c r="M73" s="136"/>
      <c r="N73" s="136"/>
      <c r="O73" s="136"/>
      <c r="P73" s="136"/>
      <c r="Q73" s="128"/>
    </row>
    <row r="74" spans="2:17">
      <c r="B74" s="110"/>
      <c r="C74" s="110"/>
      <c r="D74" s="110"/>
      <c r="E74" s="110"/>
      <c r="F74" s="110"/>
      <c r="G74" s="136"/>
      <c r="H74" s="136"/>
      <c r="I74" s="339"/>
      <c r="J74" s="136"/>
      <c r="K74" s="136"/>
      <c r="L74" s="136"/>
      <c r="M74" s="136"/>
      <c r="N74" s="136"/>
      <c r="O74" s="136"/>
      <c r="P74" s="136"/>
      <c r="Q74" s="128"/>
    </row>
    <row r="75" spans="2:17">
      <c r="B75" s="110"/>
      <c r="C75" s="110"/>
      <c r="D75" s="110"/>
      <c r="E75" s="110"/>
      <c r="F75" s="110"/>
      <c r="G75" s="136"/>
      <c r="H75" s="136"/>
      <c r="I75" s="339"/>
      <c r="J75" s="136"/>
      <c r="K75" s="136"/>
      <c r="L75" s="136"/>
      <c r="M75" s="136"/>
      <c r="N75" s="136"/>
      <c r="O75" s="136"/>
      <c r="P75" s="136"/>
      <c r="Q75" s="128"/>
    </row>
    <row r="76" spans="2:17">
      <c r="B76" s="134"/>
      <c r="C76" s="137"/>
      <c r="D76" s="128"/>
      <c r="E76" s="128"/>
      <c r="F76" s="128"/>
      <c r="G76" s="135"/>
      <c r="H76" s="138"/>
      <c r="I76" s="130"/>
      <c r="J76" s="138"/>
      <c r="K76" s="135"/>
      <c r="L76" s="138"/>
      <c r="M76" s="135"/>
      <c r="N76" s="138"/>
      <c r="O76" s="135"/>
      <c r="P76" s="138"/>
      <c r="Q76" s="128"/>
    </row>
    <row r="77" spans="2:17">
      <c r="B77" s="134"/>
      <c r="C77" s="137"/>
      <c r="D77" s="128"/>
      <c r="E77" s="128"/>
      <c r="F77" s="128"/>
      <c r="G77" s="128"/>
      <c r="H77" s="134"/>
      <c r="I77" s="130"/>
      <c r="J77" s="134"/>
      <c r="K77" s="128"/>
      <c r="L77" s="134"/>
      <c r="M77" s="128"/>
      <c r="N77" s="134"/>
      <c r="O77" s="128"/>
      <c r="P77" s="134"/>
      <c r="Q77" s="128"/>
    </row>
    <row r="78" spans="2:17">
      <c r="B78" s="134"/>
      <c r="C78" s="137"/>
      <c r="D78" s="128"/>
      <c r="E78" s="128"/>
      <c r="F78" s="128"/>
      <c r="G78" s="128"/>
      <c r="H78" s="134"/>
      <c r="I78" s="130"/>
      <c r="J78" s="134"/>
      <c r="K78" s="128"/>
      <c r="L78" s="134"/>
      <c r="M78" s="128"/>
      <c r="N78" s="134"/>
      <c r="O78" s="128"/>
      <c r="P78" s="134"/>
      <c r="Q78" s="128"/>
    </row>
    <row r="79" spans="2:17">
      <c r="B79" s="139"/>
      <c r="C79" s="137"/>
      <c r="D79" s="137"/>
      <c r="E79" s="137"/>
      <c r="F79" s="137"/>
      <c r="G79" s="137"/>
      <c r="H79" s="139"/>
      <c r="I79" s="340"/>
      <c r="J79" s="139"/>
      <c r="K79" s="137"/>
      <c r="L79" s="139"/>
      <c r="M79" s="137"/>
      <c r="N79" s="139"/>
      <c r="O79" s="137"/>
      <c r="P79" s="139"/>
      <c r="Q79" s="128"/>
    </row>
    <row r="80" spans="2:17">
      <c r="B80" s="1801"/>
      <c r="C80" s="1801"/>
      <c r="D80" s="1801"/>
      <c r="E80" s="110"/>
      <c r="F80" s="110"/>
      <c r="G80" s="1802"/>
      <c r="H80" s="1802"/>
      <c r="I80" s="1802"/>
      <c r="J80" s="1802"/>
      <c r="K80" s="1802"/>
      <c r="L80" s="1803"/>
      <c r="M80" s="1772"/>
      <c r="N80" s="1772"/>
      <c r="O80" s="134"/>
      <c r="P80" s="134"/>
      <c r="Q80" s="128"/>
    </row>
    <row r="81" spans="2:17">
      <c r="B81" s="138"/>
      <c r="C81" s="110"/>
      <c r="D81" s="110"/>
      <c r="E81" s="110"/>
      <c r="F81" s="110"/>
      <c r="G81" s="140"/>
      <c r="H81" s="142"/>
      <c r="I81" s="315"/>
      <c r="J81" s="142"/>
      <c r="K81" s="140"/>
      <c r="L81" s="141"/>
      <c r="M81" s="134"/>
      <c r="N81" s="134"/>
      <c r="O81" s="134"/>
      <c r="P81" s="134"/>
      <c r="Q81" s="128"/>
    </row>
    <row r="82" spans="2:17">
      <c r="B82" s="138"/>
      <c r="C82" s="110"/>
      <c r="D82" s="110"/>
      <c r="E82" s="110"/>
      <c r="F82" s="110"/>
      <c r="G82" s="140"/>
      <c r="H82" s="142"/>
      <c r="I82" s="315"/>
      <c r="J82" s="142"/>
      <c r="K82" s="140"/>
      <c r="L82" s="141"/>
      <c r="M82" s="134"/>
      <c r="N82" s="134"/>
      <c r="O82" s="134"/>
      <c r="P82" s="134"/>
      <c r="Q82" s="128"/>
    </row>
    <row r="83" spans="2:17">
      <c r="B83" s="138"/>
      <c r="C83" s="110"/>
      <c r="D83" s="110"/>
      <c r="E83" s="110"/>
      <c r="F83" s="110"/>
      <c r="G83" s="140"/>
      <c r="H83" s="142"/>
      <c r="I83" s="315"/>
      <c r="J83" s="142"/>
      <c r="K83" s="140"/>
      <c r="L83" s="141"/>
      <c r="M83" s="134"/>
      <c r="N83" s="134"/>
      <c r="O83" s="134"/>
      <c r="P83" s="134"/>
      <c r="Q83" s="128"/>
    </row>
    <row r="84" spans="2:17" ht="17.600000000000001">
      <c r="B84" s="138"/>
      <c r="C84" s="110"/>
      <c r="D84" s="143"/>
      <c r="E84" s="143"/>
      <c r="F84" s="143"/>
      <c r="G84" s="128"/>
      <c r="H84" s="142"/>
      <c r="I84" s="315"/>
      <c r="J84" s="142"/>
      <c r="K84" s="140"/>
      <c r="L84" s="141"/>
      <c r="M84" s="134"/>
      <c r="N84" s="134"/>
      <c r="O84" s="134"/>
      <c r="P84" s="134"/>
      <c r="Q84" s="128"/>
    </row>
    <row r="85" spans="2:17" ht="17.600000000000001">
      <c r="B85" s="138"/>
      <c r="C85" s="110"/>
      <c r="D85" s="143"/>
      <c r="E85" s="143"/>
      <c r="F85" s="143"/>
      <c r="G85" s="128"/>
      <c r="H85" s="142"/>
      <c r="I85" s="315"/>
      <c r="J85" s="142"/>
      <c r="K85" s="140"/>
      <c r="L85" s="141"/>
      <c r="M85" s="134"/>
      <c r="N85" s="134"/>
      <c r="O85" s="134"/>
      <c r="P85" s="134"/>
      <c r="Q85" s="128"/>
    </row>
    <row r="86" spans="2:17">
      <c r="B86" s="134"/>
      <c r="C86" s="128"/>
      <c r="D86" s="128"/>
      <c r="E86" s="128"/>
      <c r="F86" s="128"/>
      <c r="G86" s="128"/>
      <c r="H86" s="134"/>
      <c r="I86" s="130"/>
      <c r="J86" s="134"/>
      <c r="K86" s="128"/>
      <c r="L86" s="134"/>
      <c r="M86" s="128"/>
      <c r="N86" s="134"/>
      <c r="O86" s="128"/>
      <c r="P86" s="134"/>
      <c r="Q86" s="128"/>
    </row>
    <row r="87" spans="2:17">
      <c r="B87" s="134"/>
      <c r="C87" s="128"/>
      <c r="D87" s="128"/>
      <c r="E87" s="128"/>
      <c r="F87" s="128"/>
      <c r="G87" s="128"/>
      <c r="H87" s="134"/>
      <c r="I87" s="130"/>
      <c r="J87" s="134"/>
      <c r="K87" s="128"/>
      <c r="L87" s="134"/>
      <c r="M87" s="128"/>
      <c r="N87" s="134"/>
      <c r="O87" s="128"/>
      <c r="P87" s="134"/>
      <c r="Q87" s="128"/>
    </row>
    <row r="88" spans="2:17">
      <c r="B88" s="134"/>
      <c r="C88" s="128"/>
      <c r="D88" s="128"/>
      <c r="E88" s="128"/>
      <c r="F88" s="128"/>
      <c r="G88" s="128"/>
      <c r="H88" s="134"/>
      <c r="I88" s="130"/>
      <c r="J88" s="134"/>
      <c r="K88" s="128"/>
      <c r="L88" s="134"/>
      <c r="M88" s="128"/>
      <c r="N88" s="134"/>
      <c r="O88" s="128"/>
      <c r="P88" s="134"/>
      <c r="Q88" s="128"/>
    </row>
    <row r="89" spans="2:17">
      <c r="B89" s="134"/>
      <c r="C89" s="128"/>
      <c r="D89" s="128"/>
      <c r="E89" s="128"/>
      <c r="F89" s="128"/>
      <c r="G89" s="128"/>
      <c r="H89" s="134"/>
      <c r="I89" s="130"/>
      <c r="J89" s="134"/>
      <c r="K89" s="128"/>
      <c r="L89" s="134"/>
      <c r="M89" s="128"/>
      <c r="N89" s="134"/>
      <c r="O89" s="128"/>
      <c r="P89" s="134"/>
      <c r="Q89" s="128"/>
    </row>
    <row r="90" spans="2:17">
      <c r="B90" s="134"/>
      <c r="C90" s="128"/>
      <c r="D90" s="128"/>
      <c r="E90" s="128"/>
      <c r="F90" s="128"/>
      <c r="G90" s="128"/>
      <c r="H90" s="134"/>
      <c r="I90" s="130"/>
      <c r="J90" s="134"/>
      <c r="K90" s="128"/>
      <c r="L90" s="134"/>
      <c r="M90" s="128"/>
      <c r="N90" s="134"/>
      <c r="O90" s="128"/>
      <c r="P90" s="134"/>
      <c r="Q90" s="128"/>
    </row>
    <row r="91" spans="2:17">
      <c r="B91" s="134"/>
      <c r="C91" s="128"/>
      <c r="D91" s="128"/>
      <c r="E91" s="128"/>
      <c r="F91" s="128"/>
      <c r="G91" s="128"/>
      <c r="H91" s="134"/>
      <c r="I91" s="130"/>
      <c r="J91" s="134"/>
      <c r="K91" s="128"/>
      <c r="L91" s="134"/>
      <c r="M91" s="128"/>
      <c r="N91" s="134"/>
      <c r="O91" s="128"/>
      <c r="P91" s="134"/>
      <c r="Q91" s="128"/>
    </row>
    <row r="92" spans="2:17">
      <c r="B92" s="134"/>
      <c r="C92" s="128"/>
      <c r="D92" s="128"/>
      <c r="E92" s="128"/>
      <c r="F92" s="128"/>
      <c r="G92" s="128"/>
      <c r="H92" s="134"/>
      <c r="I92" s="130"/>
      <c r="J92" s="134"/>
      <c r="K92" s="128"/>
      <c r="L92" s="134"/>
      <c r="M92" s="128"/>
      <c r="N92" s="134"/>
      <c r="O92" s="128"/>
      <c r="P92" s="134"/>
      <c r="Q92" s="128"/>
    </row>
    <row r="93" spans="2:17">
      <c r="B93" s="134"/>
      <c r="C93" s="128"/>
      <c r="D93" s="128"/>
      <c r="E93" s="128"/>
      <c r="F93" s="128"/>
      <c r="G93" s="128"/>
      <c r="H93" s="134"/>
      <c r="I93" s="130"/>
      <c r="J93" s="134"/>
      <c r="K93" s="128"/>
      <c r="L93" s="134"/>
      <c r="M93" s="128"/>
      <c r="N93" s="134"/>
      <c r="O93" s="128"/>
      <c r="P93" s="134"/>
      <c r="Q93" s="128"/>
    </row>
    <row r="94" spans="2:17">
      <c r="B94" s="134"/>
      <c r="C94" s="128"/>
      <c r="D94" s="128"/>
      <c r="E94" s="128"/>
      <c r="F94" s="128"/>
      <c r="G94" s="128"/>
      <c r="H94" s="134"/>
      <c r="I94" s="130"/>
      <c r="J94" s="134"/>
      <c r="K94" s="128"/>
      <c r="L94" s="134"/>
      <c r="M94" s="128"/>
      <c r="N94" s="134"/>
      <c r="O94" s="128"/>
      <c r="P94" s="134"/>
      <c r="Q94" s="128"/>
    </row>
    <row r="95" spans="2:17">
      <c r="B95" s="134"/>
      <c r="C95" s="128"/>
      <c r="D95" s="128"/>
      <c r="E95" s="128"/>
      <c r="F95" s="128"/>
      <c r="G95" s="128"/>
      <c r="H95" s="134"/>
      <c r="I95" s="130"/>
      <c r="J95" s="134"/>
      <c r="K95" s="128"/>
      <c r="L95" s="134"/>
      <c r="M95" s="128"/>
      <c r="N95" s="134"/>
      <c r="O95" s="128"/>
      <c r="P95" s="134"/>
      <c r="Q95" s="128"/>
    </row>
    <row r="96" spans="2:17">
      <c r="B96" s="134"/>
      <c r="C96" s="128"/>
      <c r="D96" s="128"/>
      <c r="E96" s="128"/>
      <c r="F96" s="128"/>
      <c r="G96" s="128"/>
      <c r="H96" s="134"/>
      <c r="I96" s="130"/>
      <c r="J96" s="134"/>
      <c r="K96" s="128"/>
      <c r="L96" s="134"/>
      <c r="M96" s="128"/>
      <c r="N96" s="134"/>
      <c r="O96" s="128"/>
      <c r="P96" s="134"/>
      <c r="Q96" s="128"/>
    </row>
    <row r="97" spans="2:17">
      <c r="B97" s="134"/>
      <c r="C97" s="128"/>
      <c r="D97" s="128"/>
      <c r="E97" s="128"/>
      <c r="F97" s="128"/>
      <c r="G97" s="128"/>
      <c r="H97" s="134"/>
      <c r="I97" s="130"/>
      <c r="J97" s="134"/>
      <c r="K97" s="128"/>
      <c r="L97" s="134"/>
      <c r="M97" s="128"/>
      <c r="N97" s="134"/>
      <c r="O97" s="128"/>
      <c r="P97" s="134"/>
      <c r="Q97" s="128"/>
    </row>
    <row r="98" spans="2:17">
      <c r="B98" s="134"/>
      <c r="C98" s="128"/>
      <c r="D98" s="128"/>
      <c r="E98" s="128"/>
      <c r="F98" s="128"/>
      <c r="G98" s="128"/>
      <c r="H98" s="134"/>
      <c r="I98" s="130"/>
      <c r="J98" s="134"/>
      <c r="K98" s="128"/>
      <c r="L98" s="134"/>
      <c r="M98" s="128"/>
      <c r="N98" s="134"/>
      <c r="O98" s="128"/>
      <c r="P98" s="134"/>
      <c r="Q98" s="128"/>
    </row>
    <row r="99" spans="2:17">
      <c r="B99" s="134"/>
      <c r="C99" s="128"/>
      <c r="D99" s="128"/>
      <c r="E99" s="128"/>
      <c r="F99" s="128"/>
      <c r="G99" s="128"/>
      <c r="H99" s="134"/>
      <c r="I99" s="130"/>
      <c r="J99" s="134"/>
      <c r="K99" s="128"/>
      <c r="L99" s="134"/>
      <c r="M99" s="128"/>
      <c r="N99" s="134"/>
      <c r="O99" s="128"/>
      <c r="P99" s="134"/>
      <c r="Q99" s="128"/>
    </row>
    <row r="100" spans="2:17">
      <c r="B100" s="134"/>
      <c r="C100" s="128"/>
      <c r="D100" s="128"/>
      <c r="E100" s="128"/>
      <c r="F100" s="128"/>
      <c r="G100" s="128"/>
      <c r="H100" s="134"/>
      <c r="I100" s="130"/>
      <c r="J100" s="134"/>
      <c r="K100" s="128"/>
      <c r="L100" s="134"/>
      <c r="M100" s="128"/>
      <c r="N100" s="134"/>
      <c r="O100" s="128"/>
      <c r="P100" s="134"/>
      <c r="Q100" s="128"/>
    </row>
    <row r="101" spans="2:17">
      <c r="B101" s="134"/>
      <c r="C101" s="128"/>
      <c r="D101" s="128"/>
      <c r="E101" s="128"/>
      <c r="F101" s="128"/>
      <c r="G101" s="128"/>
      <c r="H101" s="134"/>
      <c r="I101" s="130"/>
      <c r="J101" s="134"/>
      <c r="K101" s="128"/>
      <c r="L101" s="134"/>
      <c r="M101" s="128"/>
      <c r="N101" s="134"/>
      <c r="O101" s="128"/>
      <c r="P101" s="134"/>
      <c r="Q101" s="128"/>
    </row>
    <row r="102" spans="2:17">
      <c r="B102" s="134"/>
      <c r="C102" s="128"/>
      <c r="D102" s="128"/>
      <c r="E102" s="128"/>
      <c r="F102" s="128"/>
      <c r="G102" s="128"/>
      <c r="H102" s="134"/>
      <c r="I102" s="130"/>
      <c r="J102" s="134"/>
      <c r="K102" s="128"/>
      <c r="L102" s="134"/>
      <c r="M102" s="128"/>
      <c r="N102" s="134"/>
      <c r="O102" s="128"/>
      <c r="P102" s="134"/>
      <c r="Q102" s="128"/>
    </row>
    <row r="103" spans="2:17">
      <c r="B103" s="134"/>
      <c r="C103" s="128"/>
      <c r="D103" s="128"/>
      <c r="E103" s="128"/>
      <c r="F103" s="128"/>
      <c r="G103" s="128"/>
      <c r="H103" s="134"/>
      <c r="I103" s="130"/>
      <c r="J103" s="134"/>
      <c r="K103" s="128"/>
      <c r="L103" s="134"/>
      <c r="M103" s="128"/>
      <c r="N103" s="134"/>
      <c r="O103" s="128"/>
      <c r="P103" s="134"/>
      <c r="Q103" s="128"/>
    </row>
    <row r="104" spans="2:17">
      <c r="B104" s="134"/>
      <c r="C104" s="128"/>
      <c r="D104" s="128"/>
      <c r="E104" s="128"/>
      <c r="F104" s="128"/>
      <c r="G104" s="128"/>
      <c r="H104" s="134"/>
      <c r="I104" s="130"/>
      <c r="J104" s="134"/>
      <c r="K104" s="128"/>
      <c r="L104" s="134"/>
      <c r="M104" s="128"/>
      <c r="N104" s="134"/>
      <c r="O104" s="128"/>
      <c r="P104" s="134"/>
      <c r="Q104" s="128"/>
    </row>
    <row r="105" spans="2:17">
      <c r="B105" s="134"/>
      <c r="C105" s="128"/>
      <c r="D105" s="128"/>
      <c r="E105" s="128"/>
      <c r="F105" s="128"/>
      <c r="G105" s="128"/>
      <c r="H105" s="134"/>
      <c r="I105" s="130"/>
      <c r="J105" s="134"/>
      <c r="K105" s="128"/>
      <c r="L105" s="134"/>
      <c r="M105" s="128"/>
      <c r="N105" s="134"/>
      <c r="O105" s="128"/>
      <c r="P105" s="134"/>
      <c r="Q105" s="128"/>
    </row>
    <row r="106" spans="2:17">
      <c r="B106" s="134"/>
      <c r="C106" s="128"/>
      <c r="D106" s="128"/>
      <c r="E106" s="128"/>
      <c r="F106" s="128"/>
      <c r="G106" s="128"/>
      <c r="H106" s="134"/>
      <c r="I106" s="130"/>
      <c r="J106" s="134"/>
      <c r="K106" s="128"/>
      <c r="L106" s="134"/>
      <c r="M106" s="128"/>
      <c r="N106" s="134"/>
      <c r="O106" s="128"/>
      <c r="P106" s="134"/>
      <c r="Q106" s="128"/>
    </row>
    <row r="107" spans="2:17">
      <c r="B107" s="134"/>
      <c r="C107" s="128"/>
      <c r="D107" s="128"/>
      <c r="E107" s="128"/>
      <c r="F107" s="128"/>
      <c r="G107" s="128"/>
      <c r="H107" s="134"/>
      <c r="I107" s="130"/>
      <c r="J107" s="134"/>
      <c r="K107" s="128"/>
      <c r="L107" s="134"/>
      <c r="M107" s="128"/>
      <c r="N107" s="134"/>
      <c r="O107" s="128"/>
      <c r="P107" s="134"/>
      <c r="Q107" s="128"/>
    </row>
    <row r="108" spans="2:17">
      <c r="B108" s="134"/>
      <c r="C108" s="128"/>
      <c r="D108" s="128"/>
      <c r="E108" s="128"/>
      <c r="F108" s="128"/>
      <c r="G108" s="128"/>
      <c r="H108" s="134"/>
      <c r="I108" s="130"/>
      <c r="J108" s="134"/>
      <c r="K108" s="128"/>
      <c r="L108" s="134"/>
      <c r="M108" s="128"/>
      <c r="N108" s="134"/>
      <c r="O108" s="128"/>
      <c r="P108" s="134"/>
      <c r="Q108" s="128"/>
    </row>
    <row r="109" spans="2:17">
      <c r="B109" s="134"/>
      <c r="C109" s="128"/>
      <c r="D109" s="128"/>
      <c r="E109" s="128"/>
      <c r="F109" s="128"/>
      <c r="G109" s="128"/>
      <c r="H109" s="134"/>
      <c r="I109" s="130"/>
      <c r="J109" s="134"/>
      <c r="K109" s="128"/>
      <c r="L109" s="134"/>
      <c r="M109" s="128"/>
      <c r="N109" s="134"/>
      <c r="O109" s="128"/>
      <c r="P109" s="134"/>
      <c r="Q109" s="128"/>
    </row>
    <row r="110" spans="2:17">
      <c r="B110" s="134"/>
      <c r="C110" s="128"/>
      <c r="D110" s="128"/>
      <c r="E110" s="128"/>
      <c r="F110" s="128"/>
      <c r="G110" s="128"/>
      <c r="H110" s="134"/>
      <c r="I110" s="130"/>
      <c r="J110" s="134"/>
      <c r="K110" s="128"/>
      <c r="L110" s="134"/>
      <c r="M110" s="128"/>
      <c r="N110" s="134"/>
      <c r="O110" s="128"/>
      <c r="P110" s="134"/>
      <c r="Q110" s="128"/>
    </row>
    <row r="111" spans="2:17">
      <c r="B111" s="134"/>
      <c r="C111" s="128"/>
      <c r="D111" s="128"/>
      <c r="E111" s="128"/>
      <c r="F111" s="128"/>
      <c r="G111" s="128"/>
      <c r="H111" s="134"/>
      <c r="I111" s="130"/>
      <c r="J111" s="134"/>
      <c r="K111" s="128"/>
      <c r="L111" s="134"/>
      <c r="M111" s="128"/>
      <c r="N111" s="134"/>
      <c r="O111" s="128"/>
      <c r="P111" s="134"/>
      <c r="Q111" s="128"/>
    </row>
    <row r="112" spans="2:17">
      <c r="B112" s="134"/>
      <c r="C112" s="128"/>
      <c r="D112" s="128"/>
      <c r="E112" s="128"/>
      <c r="F112" s="128"/>
      <c r="G112" s="128"/>
      <c r="H112" s="134"/>
      <c r="I112" s="130"/>
      <c r="J112" s="134"/>
      <c r="K112" s="128"/>
      <c r="L112" s="134"/>
      <c r="M112" s="128"/>
      <c r="N112" s="134"/>
      <c r="O112" s="128"/>
      <c r="P112" s="134"/>
      <c r="Q112" s="128"/>
    </row>
    <row r="113" spans="2:17">
      <c r="B113" s="134"/>
      <c r="C113" s="128"/>
      <c r="D113" s="128"/>
      <c r="E113" s="128"/>
      <c r="F113" s="128"/>
      <c r="G113" s="128"/>
      <c r="H113" s="134"/>
      <c r="I113" s="130"/>
      <c r="J113" s="134"/>
      <c r="K113" s="128"/>
      <c r="L113" s="134"/>
      <c r="M113" s="128"/>
      <c r="N113" s="134"/>
      <c r="O113" s="128"/>
      <c r="P113" s="134"/>
      <c r="Q113" s="128"/>
    </row>
    <row r="114" spans="2:17">
      <c r="B114" s="134"/>
      <c r="C114" s="1795"/>
      <c r="D114" s="1796"/>
      <c r="E114" s="1796"/>
      <c r="F114" s="1796"/>
      <c r="G114" s="1796"/>
      <c r="H114" s="1790"/>
      <c r="I114" s="1790"/>
      <c r="J114" s="1790"/>
      <c r="K114" s="1790"/>
      <c r="L114" s="1790"/>
      <c r="M114" s="1790"/>
      <c r="N114" s="132"/>
      <c r="O114" s="132"/>
      <c r="P114" s="132"/>
      <c r="Q114" s="132"/>
    </row>
    <row r="115" spans="2:17">
      <c r="B115" s="134"/>
      <c r="C115" s="1796"/>
      <c r="D115" s="1796"/>
      <c r="E115" s="1796"/>
      <c r="F115" s="1796"/>
      <c r="G115" s="1796"/>
      <c r="H115" s="1791"/>
      <c r="I115" s="1791"/>
      <c r="J115" s="1791"/>
      <c r="K115" s="1791"/>
      <c r="L115" s="1791"/>
      <c r="M115" s="1791"/>
      <c r="N115" s="144"/>
      <c r="O115" s="144"/>
      <c r="P115" s="144"/>
      <c r="Q115" s="144"/>
    </row>
    <row r="116" spans="2:17">
      <c r="B116" s="134"/>
      <c r="C116" s="145"/>
      <c r="D116" s="1793"/>
      <c r="E116" s="1793"/>
      <c r="F116" s="1793"/>
      <c r="G116" s="1793"/>
      <c r="H116" s="1792"/>
      <c r="I116" s="1792"/>
      <c r="J116" s="1792"/>
      <c r="K116" s="1792"/>
      <c r="L116" s="1792"/>
      <c r="M116" s="1792"/>
      <c r="N116" s="146"/>
      <c r="O116" s="146"/>
      <c r="P116" s="146"/>
      <c r="Q116" s="146"/>
    </row>
    <row r="117" spans="2:17">
      <c r="B117" s="134"/>
      <c r="C117" s="145"/>
      <c r="D117" s="133"/>
      <c r="E117" s="133"/>
      <c r="F117" s="133"/>
      <c r="G117" s="147"/>
      <c r="H117" s="1792"/>
      <c r="I117" s="1792"/>
      <c r="J117" s="1792"/>
      <c r="K117" s="1798"/>
      <c r="L117" s="1792"/>
      <c r="M117" s="1798"/>
      <c r="N117" s="146"/>
      <c r="O117" s="146"/>
      <c r="P117" s="146"/>
      <c r="Q117" s="148"/>
    </row>
    <row r="118" spans="2:17">
      <c r="B118" s="134"/>
      <c r="C118" s="145"/>
      <c r="D118" s="133"/>
      <c r="E118" s="133"/>
      <c r="F118" s="133"/>
      <c r="G118" s="147"/>
      <c r="H118" s="1792"/>
      <c r="I118" s="1792"/>
      <c r="J118" s="1792"/>
      <c r="K118" s="1798"/>
      <c r="L118" s="1792"/>
      <c r="M118" s="1798"/>
      <c r="N118" s="146"/>
      <c r="O118" s="146"/>
      <c r="P118" s="146"/>
      <c r="Q118" s="148"/>
    </row>
    <row r="119" spans="2:17">
      <c r="B119" s="134"/>
      <c r="C119" s="145"/>
      <c r="D119" s="133"/>
      <c r="E119" s="133"/>
      <c r="F119" s="133"/>
      <c r="G119" s="147"/>
      <c r="H119" s="1792"/>
      <c r="I119" s="1792"/>
      <c r="J119" s="1792"/>
      <c r="K119" s="1798"/>
      <c r="L119" s="1792"/>
      <c r="M119" s="1798"/>
      <c r="N119" s="146"/>
      <c r="O119" s="146"/>
      <c r="P119" s="146"/>
      <c r="Q119" s="148"/>
    </row>
    <row r="120" spans="2:17">
      <c r="B120" s="134"/>
      <c r="C120" s="145"/>
      <c r="D120" s="133"/>
      <c r="E120" s="133"/>
      <c r="F120" s="133"/>
      <c r="G120" s="147"/>
      <c r="H120" s="1792"/>
      <c r="I120" s="1792"/>
      <c r="J120" s="1794"/>
      <c r="K120" s="1794"/>
      <c r="L120" s="1794"/>
      <c r="M120" s="1794"/>
      <c r="N120" s="149"/>
      <c r="O120" s="149"/>
      <c r="P120" s="149"/>
      <c r="Q120" s="149"/>
    </row>
    <row r="121" spans="2:17">
      <c r="B121" s="134"/>
      <c r="C121" s="145"/>
      <c r="D121" s="1793"/>
      <c r="E121" s="1793"/>
      <c r="F121" s="1793"/>
      <c r="G121" s="1793"/>
      <c r="H121" s="1792"/>
      <c r="I121" s="1792"/>
      <c r="J121" s="1797"/>
      <c r="K121" s="1797"/>
      <c r="L121" s="1797"/>
      <c r="M121" s="1797"/>
      <c r="N121" s="150"/>
      <c r="O121" s="150"/>
      <c r="P121" s="150"/>
      <c r="Q121" s="150"/>
    </row>
    <row r="122" spans="2:17">
      <c r="B122" s="134"/>
      <c r="C122" s="145"/>
      <c r="D122" s="1812"/>
      <c r="E122" s="1812"/>
      <c r="F122" s="1812"/>
      <c r="G122" s="1812"/>
      <c r="H122" s="1792"/>
      <c r="I122" s="1798"/>
      <c r="J122" s="1792"/>
      <c r="K122" s="1798"/>
      <c r="L122" s="1792"/>
      <c r="M122" s="1798"/>
      <c r="N122" s="146"/>
      <c r="O122" s="146"/>
      <c r="P122" s="146"/>
      <c r="Q122" s="148"/>
    </row>
    <row r="123" spans="2:17">
      <c r="B123" s="134"/>
      <c r="C123" s="1795"/>
      <c r="D123" s="1796"/>
      <c r="E123" s="1796"/>
      <c r="F123" s="1796"/>
      <c r="G123" s="1796"/>
      <c r="H123" s="1790"/>
      <c r="I123" s="1790"/>
      <c r="J123" s="1790"/>
      <c r="K123" s="1790"/>
      <c r="L123" s="1790"/>
      <c r="M123" s="1790"/>
      <c r="N123" s="132"/>
      <c r="O123" s="132"/>
      <c r="P123" s="132"/>
      <c r="Q123" s="132"/>
    </row>
    <row r="124" spans="2:17">
      <c r="B124" s="134"/>
      <c r="C124" s="1796"/>
      <c r="D124" s="1796"/>
      <c r="E124" s="1796"/>
      <c r="F124" s="1796"/>
      <c r="G124" s="1796"/>
      <c r="H124" s="1791"/>
      <c r="I124" s="1791"/>
      <c r="J124" s="1791"/>
      <c r="K124" s="1791"/>
      <c r="L124" s="1791"/>
      <c r="M124" s="1791"/>
      <c r="N124" s="144"/>
      <c r="O124" s="144"/>
      <c r="P124" s="144"/>
      <c r="Q124" s="144"/>
    </row>
    <row r="125" spans="2:17">
      <c r="B125" s="134"/>
      <c r="C125" s="145"/>
      <c r="D125" s="130"/>
      <c r="E125" s="130"/>
      <c r="F125" s="130"/>
      <c r="G125" s="151"/>
      <c r="H125" s="1792"/>
      <c r="I125" s="1798"/>
      <c r="J125" s="1792"/>
      <c r="K125" s="1798"/>
      <c r="L125" s="1792"/>
      <c r="M125" s="1798"/>
      <c r="N125" s="146"/>
      <c r="O125" s="146"/>
      <c r="P125" s="146"/>
      <c r="Q125" s="148"/>
    </row>
    <row r="126" spans="2:17">
      <c r="B126" s="134"/>
      <c r="C126" s="145"/>
      <c r="D126" s="130"/>
      <c r="E126" s="130"/>
      <c r="F126" s="130"/>
      <c r="G126" s="151"/>
      <c r="H126" s="1792"/>
      <c r="I126" s="1798"/>
      <c r="J126" s="1792"/>
      <c r="K126" s="1798"/>
      <c r="L126" s="1792"/>
      <c r="M126" s="1798"/>
      <c r="N126" s="146"/>
      <c r="O126" s="146"/>
      <c r="P126" s="146"/>
      <c r="Q126" s="148"/>
    </row>
    <row r="127" spans="2:17">
      <c r="B127" s="134"/>
      <c r="C127" s="145"/>
      <c r="D127" s="130"/>
      <c r="E127" s="130"/>
      <c r="F127" s="130"/>
      <c r="G127" s="151"/>
      <c r="H127" s="1797"/>
      <c r="I127" s="1797"/>
      <c r="J127" s="1792"/>
      <c r="K127" s="1798"/>
      <c r="L127" s="1792"/>
      <c r="M127" s="1798"/>
      <c r="N127" s="146"/>
      <c r="O127" s="146"/>
      <c r="P127" s="146"/>
      <c r="Q127" s="148"/>
    </row>
    <row r="128" spans="2:17">
      <c r="B128" s="134"/>
      <c r="C128" s="145"/>
      <c r="D128" s="130"/>
      <c r="E128" s="130"/>
      <c r="F128" s="130"/>
      <c r="G128" s="151"/>
      <c r="H128" s="1792"/>
      <c r="I128" s="1798"/>
      <c r="J128" s="1792"/>
      <c r="K128" s="1798"/>
      <c r="L128" s="1792"/>
      <c r="M128" s="1798"/>
      <c r="N128" s="146"/>
      <c r="O128" s="146"/>
      <c r="P128" s="146"/>
      <c r="Q128" s="148"/>
    </row>
    <row r="129" spans="2:17">
      <c r="B129" s="134"/>
      <c r="C129" s="145"/>
      <c r="D129" s="130"/>
      <c r="E129" s="130"/>
      <c r="F129" s="130"/>
      <c r="G129" s="151"/>
      <c r="H129" s="1792"/>
      <c r="I129" s="1798"/>
      <c r="J129" s="1792"/>
      <c r="K129" s="1798"/>
      <c r="L129" s="1792"/>
      <c r="M129" s="1798"/>
      <c r="N129" s="146"/>
      <c r="O129" s="146"/>
      <c r="P129" s="146"/>
      <c r="Q129" s="148"/>
    </row>
  </sheetData>
  <sheetProtection algorithmName="SHA-512" hashValue="1oPmGYbYxwPQ0X8Qlrf3chXSWpeO0R8n6tQn7k8su13n0qmM2DJgW/sgsRVSMbXAAjALQVkzEmhG6f4qU7WAeA==" saltValue="Rj2YlT8AwpsvlFlnCMMByg==" spinCount="100000" sheet="1" objects="1" scenarios="1"/>
  <mergeCells count="218"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C52" sqref="C52:H54"/>
    </sheetView>
  </sheetViews>
  <sheetFormatPr defaultRowHeight="12.45"/>
  <cols>
    <col min="2" max="2" width="26.69140625" customWidth="1"/>
  </cols>
  <sheetData>
    <row r="1" spans="2:8">
      <c r="B1" s="277" t="s">
        <v>290</v>
      </c>
    </row>
    <row r="2" spans="2:8" ht="12.9" thickBot="1">
      <c r="C2" s="276">
        <f>'8. T4 RAHOITUSSUUN. '!P11</f>
        <v>2023</v>
      </c>
      <c r="D2" s="276">
        <f>'8. T4 RAHOITUSSUUN. '!Q11</f>
        <v>2024</v>
      </c>
      <c r="E2" s="276">
        <f>'8. T4 RAHOITUSSUUN. '!R11</f>
        <v>2025</v>
      </c>
      <c r="F2" s="276">
        <f>'8. T4 RAHOITUSSUUN. '!S11</f>
        <v>2026</v>
      </c>
      <c r="G2" s="276">
        <f>'8. T4 RAHOITUSSUUN. '!T11</f>
        <v>2027</v>
      </c>
      <c r="H2" s="276">
        <f>'8. T4 RAHOITUSSUUN. '!U11</f>
        <v>2028</v>
      </c>
    </row>
    <row r="3" spans="2:8">
      <c r="B3" s="501" t="s">
        <v>564</v>
      </c>
      <c r="C3" s="1518">
        <f>'8. T4 RAHOITUSSUUN. '!P13/1000</f>
        <v>0</v>
      </c>
      <c r="D3" s="1518">
        <f>'8. T4 RAHOITUSSUUN. '!Q13/1000</f>
        <v>0</v>
      </c>
      <c r="E3" s="1518">
        <f>'8. T4 RAHOITUSSUUN. '!R13/1000</f>
        <v>0</v>
      </c>
      <c r="F3" s="1518">
        <f>'8. T4 RAHOITUSSUUN. '!S13/1000</f>
        <v>0</v>
      </c>
      <c r="G3" s="1518">
        <f>'8. T4 RAHOITUSSUUN. '!T13/1000</f>
        <v>0</v>
      </c>
      <c r="H3" s="1518">
        <f>'8. T4 RAHOITUSSUUN. '!U13/1000</f>
        <v>0</v>
      </c>
    </row>
    <row r="4" spans="2:8">
      <c r="B4" s="503" t="s">
        <v>565</v>
      </c>
      <c r="C4" s="1518">
        <f>'3. T3 TASE '!F98/1000</f>
        <v>0</v>
      </c>
      <c r="D4" s="1518">
        <f>'3. T3 TASE '!G98/1000</f>
        <v>0</v>
      </c>
      <c r="E4" s="1518">
        <f>'3. T3 TASE '!H98/1000</f>
        <v>0</v>
      </c>
      <c r="F4" s="1518">
        <f>'3. T3 TASE '!I98/1000</f>
        <v>0</v>
      </c>
      <c r="G4" s="1518">
        <f>'3. T3 TASE '!J98/1000</f>
        <v>0</v>
      </c>
      <c r="H4" s="1518">
        <f>'3. T3 TASE '!K98/1000</f>
        <v>0</v>
      </c>
    </row>
    <row r="5" spans="2:8">
      <c r="B5" s="505" t="s">
        <v>566</v>
      </c>
      <c r="C5" s="1518">
        <f>'8. T4 RAHOITUSSUUN. '!P16/1000</f>
        <v>0</v>
      </c>
      <c r="D5" s="1518">
        <f>'8. T4 RAHOITUSSUUN. '!Q16/1000</f>
        <v>0</v>
      </c>
      <c r="E5" s="1518">
        <f>'8. T4 RAHOITUSSUUN. '!R16/1000</f>
        <v>0</v>
      </c>
      <c r="F5" s="1518">
        <f>'8. T4 RAHOITUSSUUN. '!S16/1000</f>
        <v>0</v>
      </c>
      <c r="G5" s="1518">
        <f>'8. T4 RAHOITUSSUUN. '!T16/1000</f>
        <v>0</v>
      </c>
      <c r="H5" s="1518">
        <f>'8. T4 RAHOITUSSUUN. '!U16/1000</f>
        <v>0</v>
      </c>
    </row>
    <row r="25" spans="2:8">
      <c r="B25" s="166" t="s">
        <v>291</v>
      </c>
    </row>
    <row r="26" spans="2:8">
      <c r="C26" s="18">
        <f t="shared" ref="C26:H26" si="0">C2</f>
        <v>2023</v>
      </c>
      <c r="D26" s="18">
        <f t="shared" si="0"/>
        <v>2024</v>
      </c>
      <c r="E26" s="18">
        <f t="shared" si="0"/>
        <v>2025</v>
      </c>
      <c r="F26" s="18">
        <f t="shared" si="0"/>
        <v>2026</v>
      </c>
      <c r="G26" s="18">
        <f t="shared" si="0"/>
        <v>2027</v>
      </c>
      <c r="H26" s="18">
        <f t="shared" si="0"/>
        <v>2028</v>
      </c>
    </row>
    <row r="27" spans="2:8">
      <c r="B27" s="503" t="s">
        <v>620</v>
      </c>
      <c r="C27" s="1519">
        <f>'8. T4 RAHOITUSSUUN. '!P19*100</f>
        <v>0</v>
      </c>
      <c r="D27" s="1519">
        <f>'8. T4 RAHOITUSSUUN. '!Q19*100</f>
        <v>0</v>
      </c>
      <c r="E27" s="1519">
        <f>'8. T4 RAHOITUSSUUN. '!R19*100</f>
        <v>0</v>
      </c>
      <c r="F27" s="1519">
        <f>'8. T4 RAHOITUSSUUN. '!S19*100</f>
        <v>0</v>
      </c>
      <c r="G27" s="1519">
        <f>'8. T4 RAHOITUSSUUN. '!T19*100</f>
        <v>0</v>
      </c>
      <c r="H27" s="1519">
        <f>'8. T4 RAHOITUSSUUN. '!U19*100</f>
        <v>0</v>
      </c>
    </row>
    <row r="28" spans="2:8">
      <c r="B28" s="503" t="s">
        <v>626</v>
      </c>
      <c r="C28" s="1519">
        <f>'8. T4 RAHOITUSSUUN. '!P21*100</f>
        <v>0</v>
      </c>
      <c r="D28" s="1519">
        <f>'8. T4 RAHOITUSSUUN. '!Q21*100</f>
        <v>0</v>
      </c>
      <c r="E28" s="1519">
        <f>'8. T4 RAHOITUSSUUN. '!R21*100</f>
        <v>0</v>
      </c>
      <c r="F28" s="1519">
        <f>'8. T4 RAHOITUSSUUN. '!S21*100</f>
        <v>0</v>
      </c>
      <c r="G28" s="1519">
        <f>'8. T4 RAHOITUSSUUN. '!T21*100</f>
        <v>0</v>
      </c>
      <c r="H28" s="1519">
        <f>'8. T4 RAHOITUSSUUN. '!U21*100</f>
        <v>0</v>
      </c>
    </row>
    <row r="29" spans="2:8">
      <c r="B29" s="503" t="s">
        <v>622</v>
      </c>
      <c r="C29" s="1520">
        <f>'8. T4 RAHOITUSSUUN. '!P24*100</f>
        <v>0</v>
      </c>
      <c r="D29" s="1520">
        <f>'8. T4 RAHOITUSSUUN. '!Q24*100</f>
        <v>0</v>
      </c>
      <c r="E29" s="1520">
        <f>'8. T4 RAHOITUSSUUN. '!R24*100</f>
        <v>0</v>
      </c>
      <c r="F29" s="1520">
        <f>'8. T4 RAHOITUSSUUN. '!S24*100</f>
        <v>0</v>
      </c>
      <c r="G29" s="1520">
        <f>'8. T4 RAHOITUSSUUN. '!T24*100</f>
        <v>0</v>
      </c>
      <c r="H29" s="1520">
        <f>'8. T4 RAHOITUSSUUN. '!U24*100</f>
        <v>0</v>
      </c>
    </row>
    <row r="30" spans="2:8">
      <c r="B30" s="505" t="s">
        <v>621</v>
      </c>
      <c r="C30" s="1520">
        <f>'8. T4 RAHOITUSSUUN. '!P25*100</f>
        <v>0</v>
      </c>
      <c r="D30" s="1520">
        <f>'8. T4 RAHOITUSSUUN. '!Q25*100</f>
        <v>0</v>
      </c>
      <c r="E30" s="1520">
        <f>'8. T4 RAHOITUSSUUN. '!R25*100</f>
        <v>0</v>
      </c>
      <c r="F30" s="1520">
        <f>'8. T4 RAHOITUSSUUN. '!S25*100</f>
        <v>0</v>
      </c>
      <c r="G30" s="1520">
        <f>'8. T4 RAHOITUSSUUN. '!T25*100</f>
        <v>0</v>
      </c>
      <c r="H30" s="1520">
        <f>'8. T4 RAHOITUSSUUN. '!U25*100</f>
        <v>0</v>
      </c>
    </row>
    <row r="31" spans="2:8">
      <c r="B31" s="151"/>
      <c r="C31" s="761"/>
      <c r="D31" s="761"/>
      <c r="E31" s="761"/>
      <c r="F31" s="761"/>
      <c r="G31" s="761"/>
      <c r="H31" s="761"/>
    </row>
    <row r="50" spans="2:8">
      <c r="B50" s="358" t="s">
        <v>317</v>
      </c>
    </row>
    <row r="51" spans="2:8">
      <c r="C51" s="513">
        <f>'8. T4 RAHOITUSSUUN. '!P44</f>
        <v>2023</v>
      </c>
      <c r="D51" s="513">
        <f>'8. T4 RAHOITUSSUUN. '!Q44</f>
        <v>2024</v>
      </c>
      <c r="E51" s="513">
        <f>'8. T4 RAHOITUSSUUN. '!R44</f>
        <v>2025</v>
      </c>
      <c r="F51" s="513">
        <f>'8. T4 RAHOITUSSUUN. '!S44</f>
        <v>2026</v>
      </c>
      <c r="G51" s="513">
        <f>'8. T4 RAHOITUSSUUN. '!T44</f>
        <v>2027</v>
      </c>
      <c r="H51" s="513">
        <f>'8. T4 RAHOITUSSUUN. '!U44</f>
        <v>2028</v>
      </c>
    </row>
    <row r="52" spans="2:8">
      <c r="B52" s="501" t="s">
        <v>567</v>
      </c>
      <c r="C52" s="1518">
        <f>'8. T4 RAHOITUSSUUN. '!P45/1000</f>
        <v>0</v>
      </c>
      <c r="D52" s="1518">
        <f>'8. T4 RAHOITUSSUUN. '!Q45/1000</f>
        <v>0</v>
      </c>
      <c r="E52" s="1518">
        <f>'8. T4 RAHOITUSSUUN. '!R45/1000</f>
        <v>0</v>
      </c>
      <c r="F52" s="1518">
        <f>'8. T4 RAHOITUSSUUN. '!S45/1000</f>
        <v>0</v>
      </c>
      <c r="G52" s="1518">
        <f>'8. T4 RAHOITUSSUUN. '!T45/1000</f>
        <v>0</v>
      </c>
      <c r="H52" s="1518">
        <f>'8. T4 RAHOITUSSUUN. '!U45/1000</f>
        <v>0</v>
      </c>
    </row>
    <row r="53" spans="2:8">
      <c r="B53" s="503" t="s">
        <v>568</v>
      </c>
      <c r="C53" s="1518">
        <f>'8. T4 RAHOITUSSUUN. '!P46/1000</f>
        <v>0</v>
      </c>
      <c r="D53" s="1518">
        <f>'8. T4 RAHOITUSSUUN. '!Q46/1000</f>
        <v>0</v>
      </c>
      <c r="E53" s="1518">
        <f>'8. T4 RAHOITUSSUUN. '!R46/1000</f>
        <v>0</v>
      </c>
      <c r="F53" s="1518">
        <f>'8. T4 RAHOITUSSUUN. '!S46/1000</f>
        <v>0</v>
      </c>
      <c r="G53" s="1518">
        <f>'8. T4 RAHOITUSSUUN. '!T46/1000</f>
        <v>0</v>
      </c>
      <c r="H53" s="1518">
        <f>'8. T4 RAHOITUSSUUN. '!U46/1000</f>
        <v>0</v>
      </c>
    </row>
    <row r="54" spans="2:8">
      <c r="B54" s="503" t="s">
        <v>569</v>
      </c>
      <c r="C54" s="1521">
        <f>'8. T4 RAHOITUSSUUN. '!P49/1000</f>
        <v>0</v>
      </c>
      <c r="D54" s="1521">
        <f>'8. T4 RAHOITUSSUUN. '!Q49/1000</f>
        <v>0</v>
      </c>
      <c r="E54" s="1521">
        <f>'8. T4 RAHOITUSSUUN. '!R49/1000</f>
        <v>0</v>
      </c>
      <c r="F54" s="1521">
        <f>'8. T4 RAHOITUSSUUN. '!S49/1000</f>
        <v>0</v>
      </c>
      <c r="G54" s="1521">
        <f>'8. T4 RAHOITUSSUUN. '!T49/1000</f>
        <v>0</v>
      </c>
      <c r="H54" s="1521">
        <f>'8. T4 RAHOITUSSUUN. '!U49/1000</f>
        <v>0</v>
      </c>
    </row>
  </sheetData>
  <sheetProtection algorithmName="SHA-512" hashValue="fOPVZC6Smw41Dw5XR5w6nKcVXk/4grx6TT309Fp1oz+eqmPTwtXRh5eZkcIip56oa596gJqarMx5UsAyi2zXDw==" saltValue="wYxbHlQB5D7S66nP2qWgP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F14" sqref="F14"/>
    </sheetView>
  </sheetViews>
  <sheetFormatPr defaultRowHeight="12.45"/>
  <cols>
    <col min="1" max="1" width="11.4609375" style="38" customWidth="1"/>
    <col min="2" max="2" width="3.3046875" customWidth="1"/>
    <col min="3" max="3" width="18.3046875" customWidth="1"/>
    <col min="4" max="4" width="10" customWidth="1"/>
    <col min="5" max="5" width="7.07421875" customWidth="1"/>
    <col min="6" max="11" width="11.3046875" customWidth="1"/>
    <col min="12" max="12" width="5" customWidth="1"/>
    <col min="13" max="21" width="11.3046875" customWidth="1"/>
  </cols>
  <sheetData>
    <row r="1" spans="1:21">
      <c r="A1" s="38" t="s">
        <v>0</v>
      </c>
    </row>
    <row r="2" spans="1:21" ht="15.45">
      <c r="A2" s="1525" t="s">
        <v>740</v>
      </c>
      <c r="C2" s="89" t="s">
        <v>431</v>
      </c>
      <c r="D2" s="22"/>
      <c r="G2" s="46"/>
      <c r="J2" s="58"/>
      <c r="K2" s="58"/>
      <c r="M2" s="89" t="s">
        <v>248</v>
      </c>
      <c r="N2" s="22"/>
    </row>
    <row r="3" spans="1:21">
      <c r="B3" s="50"/>
      <c r="G3" s="548"/>
      <c r="M3" s="1767"/>
      <c r="N3" s="1767"/>
    </row>
    <row r="4" spans="1:21">
      <c r="B4" s="46" t="s">
        <v>685</v>
      </c>
      <c r="H4" s="83">
        <v>0</v>
      </c>
    </row>
    <row r="5" spans="1:21">
      <c r="B5" s="1859">
        <f>'1. T1 INVESTOINTISUUN.'!B7:D7</f>
        <v>0</v>
      </c>
      <c r="C5" s="1859"/>
      <c r="D5" s="1859"/>
      <c r="E5" s="1859"/>
      <c r="F5" s="1859"/>
      <c r="G5" s="494"/>
      <c r="H5" s="494"/>
      <c r="I5" s="51"/>
      <c r="J5" s="494"/>
      <c r="K5" s="494"/>
      <c r="L5" s="43"/>
      <c r="M5" s="1340"/>
      <c r="N5" s="1341"/>
      <c r="O5" s="1335"/>
      <c r="P5" s="1341"/>
      <c r="Q5" s="1341"/>
      <c r="R5" s="1341"/>
      <c r="S5" s="1341"/>
      <c r="T5" s="1341"/>
      <c r="U5" s="1342"/>
    </row>
    <row r="6" spans="1:21">
      <c r="B6" s="550"/>
      <c r="C6" s="552"/>
      <c r="D6" s="552"/>
      <c r="E6" s="506"/>
      <c r="F6" s="506"/>
      <c r="G6" s="51"/>
      <c r="H6" s="1820"/>
      <c r="I6" s="1820"/>
      <c r="J6" s="1820"/>
      <c r="K6" s="1820"/>
      <c r="M6" s="1343" t="s">
        <v>88</v>
      </c>
      <c r="N6" s="140"/>
      <c r="U6" s="1344"/>
    </row>
    <row r="7" spans="1:21">
      <c r="B7" s="161" t="s">
        <v>520</v>
      </c>
      <c r="C7" s="494"/>
      <c r="D7" s="494"/>
      <c r="E7" s="494"/>
      <c r="F7" s="494"/>
      <c r="G7" s="494"/>
      <c r="H7" s="494" t="s">
        <v>93</v>
      </c>
      <c r="J7" s="494"/>
      <c r="K7" s="494"/>
      <c r="L7" s="43"/>
      <c r="M7" s="1345"/>
      <c r="N7" s="140"/>
      <c r="U7" s="1344"/>
    </row>
    <row r="8" spans="1:21">
      <c r="B8" s="1851">
        <f>'1. T1 INVESTOINTISUUN.'!B9:D9</f>
        <v>0</v>
      </c>
      <c r="C8" s="1851"/>
      <c r="D8" s="1851"/>
      <c r="E8" s="1851"/>
      <c r="F8" s="1851"/>
      <c r="G8" s="495"/>
      <c r="H8" s="551">
        <f>'1. T1 INVESTOINTISUUN.'!E4</f>
        <v>0</v>
      </c>
      <c r="I8" s="51"/>
      <c r="J8" s="51"/>
      <c r="K8" s="51"/>
      <c r="M8" s="1345"/>
      <c r="N8" s="140"/>
      <c r="O8" s="387"/>
      <c r="P8" s="140"/>
      <c r="Q8" s="140"/>
      <c r="R8" s="140"/>
      <c r="S8" s="140"/>
      <c r="T8" s="140"/>
      <c r="U8" s="1344"/>
    </row>
    <row r="9" spans="1:21" ht="12.9" thickBot="1">
      <c r="B9" s="38"/>
      <c r="M9" s="1345"/>
      <c r="N9" s="140"/>
      <c r="O9" s="140"/>
      <c r="P9" s="140"/>
      <c r="Q9" s="140"/>
      <c r="R9" s="140"/>
      <c r="S9" s="140"/>
      <c r="T9" s="140"/>
      <c r="U9" s="1344"/>
    </row>
    <row r="10" spans="1:21" ht="12.75" customHeight="1">
      <c r="B10" s="1827" t="s">
        <v>213</v>
      </c>
      <c r="C10" s="1828"/>
      <c r="D10" s="1186"/>
      <c r="E10" s="1187"/>
      <c r="F10" s="1188" t="str">
        <f>'3. T3 TASE '!G10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9" t="str">
        <f>'6. E2 LIIKEVAIHTO '!G7</f>
        <v>Ennuste 3</v>
      </c>
      <c r="K10" s="1190" t="s">
        <v>257</v>
      </c>
      <c r="M10" s="1860" t="s">
        <v>213</v>
      </c>
      <c r="N10" s="1861"/>
      <c r="O10" s="1861"/>
      <c r="P10" s="1861"/>
      <c r="Q10" s="1861"/>
      <c r="R10" s="1861"/>
      <c r="S10" s="1861"/>
      <c r="T10" s="1861"/>
      <c r="U10" s="1862"/>
    </row>
    <row r="11" spans="1:21" ht="12.75" customHeight="1">
      <c r="A11"/>
      <c r="B11" s="1829"/>
      <c r="C11" s="1830"/>
      <c r="D11" s="1191"/>
      <c r="E11" s="1191"/>
      <c r="F11" s="1192">
        <f>'2. &amp; 7. T2 TULOSSUUN. '!E8</f>
        <v>2023</v>
      </c>
      <c r="G11" s="1192">
        <f>'2. &amp; 7. T2 TULOSSUUN. '!G8</f>
        <v>2024</v>
      </c>
      <c r="H11" s="1192">
        <f>'2. &amp; 7. T2 TULOSSUUN. '!I8</f>
        <v>2025</v>
      </c>
      <c r="I11" s="1192">
        <f>'2. &amp; 7. T2 TULOSSUUN. '!K8</f>
        <v>2026</v>
      </c>
      <c r="J11" s="1192">
        <f>'2. &amp; 7. T2 TULOSSUUN. '!M8</f>
        <v>2027</v>
      </c>
      <c r="K11" s="1193">
        <f>'2. &amp; 7. T2 TULOSSUUN. '!O8</f>
        <v>2028</v>
      </c>
      <c r="M11" s="1860"/>
      <c r="N11" s="1861"/>
      <c r="O11" s="1861"/>
      <c r="P11" s="1861"/>
      <c r="Q11" s="1861"/>
      <c r="R11" s="1861"/>
      <c r="S11" s="1861"/>
      <c r="T11" s="1861"/>
      <c r="U11" s="1862"/>
    </row>
    <row r="12" spans="1:21" ht="12.75" customHeight="1" thickBot="1">
      <c r="A12" s="51"/>
      <c r="B12" s="1831"/>
      <c r="C12" s="1832"/>
      <c r="D12" s="1822"/>
      <c r="E12" s="1822"/>
      <c r="F12" s="1208" t="s">
        <v>17</v>
      </c>
      <c r="G12" s="1208" t="s">
        <v>17</v>
      </c>
      <c r="H12" s="1208" t="s">
        <v>17</v>
      </c>
      <c r="I12" s="1208" t="s">
        <v>17</v>
      </c>
      <c r="J12" s="1209" t="s">
        <v>17</v>
      </c>
      <c r="K12" s="1210" t="s">
        <v>17</v>
      </c>
      <c r="M12" s="378"/>
      <c r="N12" s="320"/>
      <c r="O12" s="320"/>
      <c r="P12" s="320"/>
      <c r="Q12" s="320"/>
      <c r="R12" s="320"/>
      <c r="S12" s="320"/>
      <c r="T12" s="320"/>
      <c r="U12" s="464"/>
    </row>
    <row r="13" spans="1:21">
      <c r="A13"/>
      <c r="B13" s="993" t="s">
        <v>218</v>
      </c>
      <c r="C13" s="264" t="s">
        <v>219</v>
      </c>
      <c r="D13" s="264"/>
      <c r="E13" s="994"/>
      <c r="F13" s="995">
        <f t="shared" ref="F13:K13" si="0">F14+F18+F34</f>
        <v>0</v>
      </c>
      <c r="G13" s="995">
        <f>G14+G18+G34</f>
        <v>0</v>
      </c>
      <c r="H13" s="995">
        <f t="shared" si="0"/>
        <v>0</v>
      </c>
      <c r="I13" s="995">
        <f t="shared" si="0"/>
        <v>0</v>
      </c>
      <c r="J13" s="996">
        <f t="shared" si="0"/>
        <v>0</v>
      </c>
      <c r="K13" s="1007">
        <f t="shared" si="0"/>
        <v>0</v>
      </c>
      <c r="M13" s="378"/>
      <c r="N13" s="320"/>
      <c r="O13" s="320"/>
      <c r="P13" s="320"/>
      <c r="Q13" s="320"/>
      <c r="R13" s="320"/>
      <c r="S13" s="320"/>
      <c r="T13" s="320"/>
      <c r="U13" s="464"/>
    </row>
    <row r="14" spans="1:21">
      <c r="A14" s="51"/>
      <c r="B14" s="193" t="s">
        <v>412</v>
      </c>
      <c r="C14" s="194" t="s">
        <v>251</v>
      </c>
      <c r="D14" s="194"/>
      <c r="E14" s="195"/>
      <c r="F14" s="918">
        <v>0</v>
      </c>
      <c r="G14" s="918">
        <v>0</v>
      </c>
      <c r="H14" s="755">
        <f>G14+H15-H16-H17</f>
        <v>0</v>
      </c>
      <c r="I14" s="755">
        <f>H14+I15-I16-I17</f>
        <v>0</v>
      </c>
      <c r="J14" s="919">
        <f>I14+J15-J16-J17</f>
        <v>0</v>
      </c>
      <c r="K14" s="327">
        <f>J14+K15-K16-K17</f>
        <v>0</v>
      </c>
      <c r="M14" s="378"/>
      <c r="N14" s="320"/>
      <c r="O14" s="320"/>
      <c r="P14" s="320"/>
      <c r="Q14" s="320"/>
      <c r="R14" s="320"/>
      <c r="S14" s="320"/>
      <c r="T14" s="320"/>
      <c r="U14" s="464"/>
    </row>
    <row r="15" spans="1:21">
      <c r="A15" s="2"/>
      <c r="B15" s="196" t="s">
        <v>0</v>
      </c>
      <c r="C15" s="225" t="s">
        <v>503</v>
      </c>
      <c r="D15" s="225"/>
      <c r="E15" s="226" t="s">
        <v>89</v>
      </c>
      <c r="F15" s="988"/>
      <c r="G15" s="988"/>
      <c r="H15" s="643">
        <f>'AT1 Avustus, alv-laskenta '!C47</f>
        <v>0</v>
      </c>
      <c r="I15" s="643">
        <f>'AT1 Avustus, alv-laskenta '!D47</f>
        <v>0</v>
      </c>
      <c r="J15" s="920">
        <f>'AT1 Avustus, alv-laskenta '!E47</f>
        <v>0</v>
      </c>
      <c r="K15" s="644">
        <f>'AT1 Avustus, alv-laskenta '!F47</f>
        <v>0</v>
      </c>
      <c r="M15" s="1855" t="s">
        <v>407</v>
      </c>
      <c r="N15" s="1856"/>
      <c r="O15" s="1856"/>
      <c r="P15" s="1856"/>
      <c r="Q15" s="320"/>
      <c r="R15" s="320"/>
      <c r="S15" s="320"/>
      <c r="T15" s="320"/>
      <c r="U15" s="464"/>
    </row>
    <row r="16" spans="1:21">
      <c r="A16" s="51"/>
      <c r="B16" s="196" t="s">
        <v>0</v>
      </c>
      <c r="C16" s="1821" t="s">
        <v>266</v>
      </c>
      <c r="D16" s="1821"/>
      <c r="E16" s="227" t="s">
        <v>90</v>
      </c>
      <c r="F16" s="988"/>
      <c r="G16" s="988"/>
      <c r="H16" s="663">
        <v>0</v>
      </c>
      <c r="I16" s="663">
        <v>0</v>
      </c>
      <c r="J16" s="921"/>
      <c r="K16" s="664"/>
      <c r="M16" s="411">
        <f>H$11</f>
        <v>2025</v>
      </c>
      <c r="N16" s="411">
        <f>I$11</f>
        <v>2026</v>
      </c>
      <c r="O16" s="411">
        <f>J$11</f>
        <v>2027</v>
      </c>
      <c r="P16" s="411">
        <f>K$11</f>
        <v>2028</v>
      </c>
      <c r="Q16" s="320"/>
      <c r="R16" s="320"/>
      <c r="S16" s="320"/>
      <c r="T16" s="320"/>
      <c r="U16" s="464"/>
    </row>
    <row r="17" spans="1:21">
      <c r="A17"/>
      <c r="B17" s="181"/>
      <c r="C17" s="182" t="s">
        <v>267</v>
      </c>
      <c r="D17" s="197" t="s">
        <v>222</v>
      </c>
      <c r="E17" s="1510">
        <v>0.2</v>
      </c>
      <c r="F17" s="988"/>
      <c r="G17" s="988"/>
      <c r="H17" s="663">
        <f>(G14+H15*M17/12-H16)*$E$17</f>
        <v>0</v>
      </c>
      <c r="I17" s="663">
        <f>(H14+I15*N17/12-I16)*$E$17</f>
        <v>0</v>
      </c>
      <c r="J17" s="663">
        <f>(I14+J15*O17/12-J16)*$E$17</f>
        <v>0</v>
      </c>
      <c r="K17" s="664">
        <f>(J14+K15*P17/12-K16)*$E$17</f>
        <v>0</v>
      </c>
      <c r="M17" s="412">
        <v>12</v>
      </c>
      <c r="N17" s="412">
        <v>12</v>
      </c>
      <c r="O17" s="412">
        <v>12</v>
      </c>
      <c r="P17" s="412">
        <v>12</v>
      </c>
      <c r="Q17" s="320"/>
      <c r="R17" s="320"/>
      <c r="S17" s="320"/>
      <c r="T17" s="320"/>
      <c r="U17" s="464"/>
    </row>
    <row r="18" spans="1:21">
      <c r="A18" s="51"/>
      <c r="B18" s="193" t="s">
        <v>413</v>
      </c>
      <c r="C18" s="447" t="s">
        <v>252</v>
      </c>
      <c r="D18" s="447"/>
      <c r="E18" s="448"/>
      <c r="F18" s="922">
        <f t="shared" ref="F18:K18" si="1">F19+F22+F26+F30</f>
        <v>0</v>
      </c>
      <c r="G18" s="922">
        <f t="shared" si="1"/>
        <v>0</v>
      </c>
      <c r="H18" s="922">
        <f t="shared" si="1"/>
        <v>0</v>
      </c>
      <c r="I18" s="922">
        <f t="shared" si="1"/>
        <v>0</v>
      </c>
      <c r="J18" s="923">
        <f t="shared" si="1"/>
        <v>0</v>
      </c>
      <c r="K18" s="924">
        <f t="shared" si="1"/>
        <v>0</v>
      </c>
      <c r="M18" s="378"/>
      <c r="N18" s="320"/>
      <c r="O18" s="320"/>
      <c r="P18" s="320"/>
      <c r="Q18" s="320"/>
      <c r="R18" s="320"/>
      <c r="S18" s="320"/>
      <c r="T18" s="320"/>
      <c r="U18" s="464"/>
    </row>
    <row r="19" spans="1:21">
      <c r="A19"/>
      <c r="B19" s="196" t="s">
        <v>0</v>
      </c>
      <c r="C19" s="445" t="s">
        <v>277</v>
      </c>
      <c r="D19" s="445"/>
      <c r="E19" s="446"/>
      <c r="F19" s="918">
        <v>0</v>
      </c>
      <c r="G19" s="918">
        <v>0</v>
      </c>
      <c r="H19" s="755">
        <f>G19+H20-H21</f>
        <v>0</v>
      </c>
      <c r="I19" s="755">
        <f>H19+I20-I21</f>
        <v>0</v>
      </c>
      <c r="J19" s="919">
        <f>I19+J20-J21</f>
        <v>0</v>
      </c>
      <c r="K19" s="327">
        <f>J19+K20-K21</f>
        <v>0</v>
      </c>
      <c r="M19" s="378"/>
      <c r="N19" s="320"/>
      <c r="O19" s="320"/>
      <c r="P19" s="320"/>
      <c r="Q19" s="320"/>
      <c r="R19" s="320"/>
      <c r="S19" s="320"/>
      <c r="T19" s="320"/>
      <c r="U19" s="464"/>
    </row>
    <row r="20" spans="1:21">
      <c r="A20" s="51"/>
      <c r="B20" s="196" t="s">
        <v>0</v>
      </c>
      <c r="C20" s="225" t="s">
        <v>722</v>
      </c>
      <c r="D20" s="225"/>
      <c r="E20" s="228" t="s">
        <v>89</v>
      </c>
      <c r="F20" s="988"/>
      <c r="G20" s="988"/>
      <c r="H20" s="643">
        <f>'AT1 Avustus, alv-laskenta '!C7</f>
        <v>0</v>
      </c>
      <c r="I20" s="643">
        <f>'AT1 Avustus, alv-laskenta '!D7</f>
        <v>0</v>
      </c>
      <c r="J20" s="920">
        <f>'AT1 Avustus, alv-laskenta '!E7</f>
        <v>0</v>
      </c>
      <c r="K20" s="644">
        <f>'AT1 Avustus, alv-laskenta '!F7</f>
        <v>0</v>
      </c>
      <c r="M20" s="1346"/>
      <c r="N20" s="320"/>
      <c r="O20" s="320"/>
      <c r="P20" s="320"/>
      <c r="Q20" s="320"/>
      <c r="R20" s="320"/>
      <c r="S20" s="320"/>
      <c r="T20" s="320"/>
      <c r="U20" s="464"/>
    </row>
    <row r="21" spans="1:21">
      <c r="A21" s="2"/>
      <c r="B21" s="196" t="s">
        <v>0</v>
      </c>
      <c r="C21" s="1821" t="s">
        <v>730</v>
      </c>
      <c r="D21" s="1821"/>
      <c r="E21" s="227" t="s">
        <v>90</v>
      </c>
      <c r="F21" s="988"/>
      <c r="G21" s="988"/>
      <c r="H21" s="663">
        <v>0</v>
      </c>
      <c r="I21" s="663">
        <v>0</v>
      </c>
      <c r="J21" s="921"/>
      <c r="K21" s="664"/>
      <c r="M21" s="378"/>
      <c r="N21" s="320"/>
      <c r="O21" s="320"/>
      <c r="P21" s="320"/>
      <c r="Q21" s="320"/>
      <c r="R21" s="320"/>
      <c r="S21" s="320"/>
      <c r="T21" s="320"/>
      <c r="U21" s="464"/>
    </row>
    <row r="22" spans="1:21">
      <c r="A22" s="51"/>
      <c r="B22" s="196"/>
      <c r="C22" s="985" t="s">
        <v>253</v>
      </c>
      <c r="D22" s="985"/>
      <c r="E22" s="229"/>
      <c r="F22" s="918">
        <v>0</v>
      </c>
      <c r="G22" s="918">
        <v>0</v>
      </c>
      <c r="H22" s="755">
        <f>G22+H23-H24-H25</f>
        <v>0</v>
      </c>
      <c r="I22" s="755">
        <f>H22+I23-I24-I25</f>
        <v>0</v>
      </c>
      <c r="J22" s="919">
        <f>I22+J23-J24-J25</f>
        <v>0</v>
      </c>
      <c r="K22" s="327">
        <f>J22+K23-K24-K25</f>
        <v>0</v>
      </c>
      <c r="M22" s="378"/>
      <c r="N22" s="320"/>
      <c r="O22" s="320"/>
      <c r="P22" s="320"/>
      <c r="Q22" s="320"/>
      <c r="R22" s="320"/>
      <c r="S22" s="320"/>
      <c r="T22" s="320"/>
      <c r="U22" s="464"/>
    </row>
    <row r="23" spans="1:21">
      <c r="A23"/>
      <c r="B23" s="196" t="s">
        <v>0</v>
      </c>
      <c r="C23" s="225" t="s">
        <v>722</v>
      </c>
      <c r="D23" s="225"/>
      <c r="E23" s="228" t="s">
        <v>89</v>
      </c>
      <c r="F23" s="988"/>
      <c r="G23" s="988"/>
      <c r="H23" s="643">
        <f>'AT1 Avustus, alv-laskenta '!C14+'AT1 Avustus, alv-laskenta '!C18</f>
        <v>0</v>
      </c>
      <c r="I23" s="643">
        <f>'AT1 Avustus, alv-laskenta '!D14+'AT1 Avustus, alv-laskenta '!D18</f>
        <v>0</v>
      </c>
      <c r="J23" s="920">
        <f>'AT1 Avustus, alv-laskenta '!E14+'AT1 Avustus, alv-laskenta '!E18</f>
        <v>0</v>
      </c>
      <c r="K23" s="644">
        <f>'AT1 Avustus, alv-laskenta '!F14+'AT1 Avustus, alv-laskenta '!F18</f>
        <v>0</v>
      </c>
      <c r="M23" s="1855" t="s">
        <v>407</v>
      </c>
      <c r="N23" s="1856"/>
      <c r="O23" s="1856"/>
      <c r="P23" s="1856"/>
      <c r="Q23" s="320"/>
      <c r="R23" s="320"/>
      <c r="S23" s="320"/>
      <c r="T23" s="320"/>
      <c r="U23" s="464"/>
    </row>
    <row r="24" spans="1:21">
      <c r="A24" s="51"/>
      <c r="B24" s="196" t="s">
        <v>0</v>
      </c>
      <c r="C24" s="1821" t="s">
        <v>730</v>
      </c>
      <c r="D24" s="1821"/>
      <c r="E24" s="227" t="s">
        <v>90</v>
      </c>
      <c r="F24" s="988"/>
      <c r="G24" s="988"/>
      <c r="H24" s="663">
        <v>0</v>
      </c>
      <c r="I24" s="663"/>
      <c r="J24" s="921"/>
      <c r="K24" s="664"/>
      <c r="M24" s="411">
        <f>H$11</f>
        <v>2025</v>
      </c>
      <c r="N24" s="411">
        <f>I$11</f>
        <v>2026</v>
      </c>
      <c r="O24" s="411">
        <f>J$11</f>
        <v>2027</v>
      </c>
      <c r="P24" s="411">
        <f>K$11</f>
        <v>2028</v>
      </c>
      <c r="Q24" s="320"/>
      <c r="R24" s="320"/>
      <c r="S24" s="320"/>
      <c r="T24" s="320"/>
      <c r="U24" s="464"/>
    </row>
    <row r="25" spans="1:21">
      <c r="A25"/>
      <c r="B25" s="196"/>
      <c r="C25" s="225" t="s">
        <v>723</v>
      </c>
      <c r="D25" s="230" t="s">
        <v>222</v>
      </c>
      <c r="E25" s="1511">
        <v>7.0000000000000007E-2</v>
      </c>
      <c r="F25" s="988"/>
      <c r="G25" s="988"/>
      <c r="H25" s="663">
        <f>(G22+H23*M25/12-H24)*$E$25</f>
        <v>0</v>
      </c>
      <c r="I25" s="663">
        <f>(H22+I23*N25/12-I24)*$E$25</f>
        <v>0</v>
      </c>
      <c r="J25" s="663">
        <f>(I22+J23*O25/12-J24)*$E$25</f>
        <v>0</v>
      </c>
      <c r="K25" s="664">
        <f>(J22+K23*P25/12-K24)*$E$25</f>
        <v>0</v>
      </c>
      <c r="M25" s="412">
        <v>12</v>
      </c>
      <c r="N25" s="412">
        <v>12</v>
      </c>
      <c r="O25" s="412">
        <v>12</v>
      </c>
      <c r="P25" s="412">
        <v>12</v>
      </c>
      <c r="Q25" s="320"/>
      <c r="R25" s="320"/>
      <c r="S25" s="320"/>
      <c r="T25" s="320"/>
      <c r="U25" s="464"/>
    </row>
    <row r="26" spans="1:21">
      <c r="A26" s="51"/>
      <c r="B26" s="196"/>
      <c r="C26" s="985" t="s">
        <v>254</v>
      </c>
      <c r="D26" s="985"/>
      <c r="E26" s="229"/>
      <c r="F26" s="925">
        <v>0</v>
      </c>
      <c r="G26" s="925">
        <v>0</v>
      </c>
      <c r="H26" s="755">
        <f>G26+H27-H28-H29</f>
        <v>0</v>
      </c>
      <c r="I26" s="755">
        <f>H26+I27-I28-I29</f>
        <v>0</v>
      </c>
      <c r="J26" s="919">
        <f>I26+J27-J28-J29</f>
        <v>0</v>
      </c>
      <c r="K26" s="327">
        <f>J26+K27-K28-K29</f>
        <v>0</v>
      </c>
      <c r="M26" s="1347"/>
      <c r="N26" s="316"/>
      <c r="O26" s="316"/>
      <c r="P26" s="316"/>
      <c r="Q26" s="320"/>
      <c r="R26" s="320"/>
      <c r="S26" s="320"/>
      <c r="T26" s="320"/>
      <c r="U26" s="464"/>
    </row>
    <row r="27" spans="1:21">
      <c r="A27" s="2"/>
      <c r="B27" s="196" t="s">
        <v>0</v>
      </c>
      <c r="C27" s="225" t="s">
        <v>722</v>
      </c>
      <c r="D27" s="225"/>
      <c r="E27" s="228" t="s">
        <v>89</v>
      </c>
      <c r="F27" s="988"/>
      <c r="G27" s="988"/>
      <c r="H27" s="643">
        <f>'AT1 Avustus, alv-laskenta '!C27+'AT1 Avustus, alv-laskenta '!C33</f>
        <v>0</v>
      </c>
      <c r="I27" s="643">
        <f>'AT1 Avustus, alv-laskenta '!D27+'AT1 Avustus, alv-laskenta '!D33</f>
        <v>0</v>
      </c>
      <c r="J27" s="643">
        <f>'AT1 Avustus, alv-laskenta '!E27+'AT1 Avustus, alv-laskenta '!E33</f>
        <v>0</v>
      </c>
      <c r="K27" s="644">
        <f>'AT1 Avustus, alv-laskenta '!F27+'AT1 Avustus, alv-laskenta '!F33</f>
        <v>0</v>
      </c>
      <c r="M27" s="1855" t="s">
        <v>407</v>
      </c>
      <c r="N27" s="1856"/>
      <c r="O27" s="1856"/>
      <c r="P27" s="1856"/>
      <c r="Q27" s="320"/>
      <c r="R27" s="320"/>
      <c r="S27" s="320"/>
      <c r="T27" s="320"/>
      <c r="U27" s="464"/>
    </row>
    <row r="28" spans="1:21">
      <c r="A28" s="51"/>
      <c r="B28" s="196" t="s">
        <v>0</v>
      </c>
      <c r="C28" s="1821" t="s">
        <v>730</v>
      </c>
      <c r="D28" s="1821"/>
      <c r="E28" s="227" t="s">
        <v>90</v>
      </c>
      <c r="F28" s="988"/>
      <c r="G28" s="988"/>
      <c r="H28" s="663">
        <v>0</v>
      </c>
      <c r="I28" s="663"/>
      <c r="J28" s="921">
        <v>0</v>
      </c>
      <c r="K28" s="664"/>
      <c r="M28" s="411">
        <f>H$11</f>
        <v>2025</v>
      </c>
      <c r="N28" s="411">
        <f>I$11</f>
        <v>2026</v>
      </c>
      <c r="O28" s="411">
        <f>J$11</f>
        <v>2027</v>
      </c>
      <c r="P28" s="411">
        <f>K$11</f>
        <v>2028</v>
      </c>
      <c r="Q28" s="320"/>
      <c r="R28" s="320"/>
      <c r="S28" s="320"/>
      <c r="T28" s="320"/>
      <c r="U28" s="464"/>
    </row>
    <row r="29" spans="1:21">
      <c r="A29"/>
      <c r="B29" s="196"/>
      <c r="C29" s="225" t="s">
        <v>723</v>
      </c>
      <c r="D29" s="230" t="s">
        <v>222</v>
      </c>
      <c r="E29" s="1511">
        <v>0.2</v>
      </c>
      <c r="F29" s="926"/>
      <c r="G29" s="926"/>
      <c r="H29" s="663">
        <f>(G26+H27*M29/12-H28)*$E$29</f>
        <v>0</v>
      </c>
      <c r="I29" s="663">
        <f>(H26+I27*N29/12-I28)*$E$29</f>
        <v>0</v>
      </c>
      <c r="J29" s="663">
        <f>(I26+J27*O29/12-J28)*$E$29</f>
        <v>0</v>
      </c>
      <c r="K29" s="664">
        <f>(J26+K27*P29/12-K28)*$E$29</f>
        <v>0</v>
      </c>
      <c r="M29" s="412">
        <v>12</v>
      </c>
      <c r="N29" s="412">
        <v>12</v>
      </c>
      <c r="O29" s="412">
        <v>12</v>
      </c>
      <c r="P29" s="412">
        <v>12</v>
      </c>
      <c r="Q29" s="320"/>
      <c r="R29" s="320"/>
      <c r="S29" s="320"/>
      <c r="T29" s="320"/>
      <c r="U29" s="464"/>
    </row>
    <row r="30" spans="1:21">
      <c r="A30" s="51"/>
      <c r="B30" s="196"/>
      <c r="C30" s="1857" t="s">
        <v>255</v>
      </c>
      <c r="D30" s="1857"/>
      <c r="E30" s="1858"/>
      <c r="F30" s="918">
        <v>0</v>
      </c>
      <c r="G30" s="918">
        <v>0</v>
      </c>
      <c r="H30" s="755">
        <f>G30+H31-H32-H33</f>
        <v>0</v>
      </c>
      <c r="I30" s="755">
        <f>H30+I31-I32-I33</f>
        <v>0</v>
      </c>
      <c r="J30" s="919">
        <f>I30+J31-J32-J33</f>
        <v>0</v>
      </c>
      <c r="K30" s="327">
        <f>J30+K31-K32-K33</f>
        <v>0</v>
      </c>
      <c r="M30" s="1347"/>
      <c r="N30" s="316"/>
      <c r="O30" s="316"/>
      <c r="P30" s="316"/>
      <c r="Q30" s="320"/>
      <c r="R30" s="320"/>
      <c r="S30" s="320"/>
      <c r="T30" s="320"/>
      <c r="U30" s="464"/>
    </row>
    <row r="31" spans="1:21">
      <c r="A31" s="2"/>
      <c r="B31" s="196" t="s">
        <v>0</v>
      </c>
      <c r="C31" s="225" t="s">
        <v>722</v>
      </c>
      <c r="D31" s="225"/>
      <c r="E31" s="228" t="s">
        <v>89</v>
      </c>
      <c r="F31" s="988"/>
      <c r="G31" s="988"/>
      <c r="H31" s="643">
        <f>'AT1 Avustus, alv-laskenta '!C40</f>
        <v>0</v>
      </c>
      <c r="I31" s="643">
        <f>'AT1 Avustus, alv-laskenta '!D40</f>
        <v>0</v>
      </c>
      <c r="J31" s="920">
        <f>'AT1 Avustus, alv-laskenta '!E40</f>
        <v>0</v>
      </c>
      <c r="K31" s="644">
        <f>'AT1 Avustus, alv-laskenta '!F40</f>
        <v>0</v>
      </c>
      <c r="M31" s="1855" t="s">
        <v>407</v>
      </c>
      <c r="N31" s="1856"/>
      <c r="O31" s="1856"/>
      <c r="P31" s="1856"/>
      <c r="Q31" s="320"/>
      <c r="R31" s="320"/>
      <c r="S31" s="320"/>
      <c r="T31" s="320"/>
      <c r="U31" s="464"/>
    </row>
    <row r="32" spans="1:21">
      <c r="A32" s="51"/>
      <c r="B32" s="196" t="s">
        <v>0</v>
      </c>
      <c r="C32" s="1821" t="s">
        <v>730</v>
      </c>
      <c r="D32" s="1821"/>
      <c r="E32" s="227" t="s">
        <v>90</v>
      </c>
      <c r="F32" s="988"/>
      <c r="G32" s="988"/>
      <c r="H32" s="663">
        <v>0</v>
      </c>
      <c r="I32" s="663">
        <v>0</v>
      </c>
      <c r="J32" s="921"/>
      <c r="K32" s="664"/>
      <c r="M32" s="411">
        <f>H$11</f>
        <v>2025</v>
      </c>
      <c r="N32" s="411">
        <f>I$11</f>
        <v>2026</v>
      </c>
      <c r="O32" s="411">
        <f>J$11</f>
        <v>2027</v>
      </c>
      <c r="P32" s="411">
        <f>K$11</f>
        <v>2028</v>
      </c>
      <c r="Q32" s="320"/>
      <c r="R32" s="320"/>
      <c r="S32" s="320"/>
      <c r="T32" s="320"/>
      <c r="U32" s="464"/>
    </row>
    <row r="33" spans="1:21">
      <c r="B33" s="181"/>
      <c r="C33" s="182" t="s">
        <v>723</v>
      </c>
      <c r="D33" s="197" t="s">
        <v>222</v>
      </c>
      <c r="E33" s="1510">
        <v>0.2</v>
      </c>
      <c r="F33" s="988"/>
      <c r="G33" s="988"/>
      <c r="H33" s="663">
        <f>(G30+H31*M33/12-H32)*$E$33</f>
        <v>0</v>
      </c>
      <c r="I33" s="663">
        <f>(H30+I31*N33/12-I32)*$E$33</f>
        <v>0</v>
      </c>
      <c r="J33" s="663">
        <f>(I30+J31*O33/12-J32)*$E$33</f>
        <v>0</v>
      </c>
      <c r="K33" s="664">
        <f>(J30+K31*P33/12-K32)*$E$33</f>
        <v>0</v>
      </c>
      <c r="M33" s="412">
        <v>12</v>
      </c>
      <c r="N33" s="412">
        <v>12</v>
      </c>
      <c r="O33" s="412">
        <v>12</v>
      </c>
      <c r="P33" s="412">
        <v>12</v>
      </c>
      <c r="Q33" s="320"/>
      <c r="R33" s="320"/>
      <c r="S33" s="320"/>
      <c r="T33" s="320"/>
      <c r="U33" s="464"/>
    </row>
    <row r="34" spans="1:21">
      <c r="B34" s="193" t="s">
        <v>414</v>
      </c>
      <c r="C34" s="447" t="s">
        <v>208</v>
      </c>
      <c r="D34" s="449"/>
      <c r="E34" s="1645"/>
      <c r="F34" s="927">
        <v>0</v>
      </c>
      <c r="G34" s="927">
        <v>0</v>
      </c>
      <c r="H34" s="755">
        <f>G34+H35-H36</f>
        <v>0</v>
      </c>
      <c r="I34" s="755">
        <f>H34+I35-I36</f>
        <v>0</v>
      </c>
      <c r="J34" s="755">
        <f>I34+J35-J36</f>
        <v>0</v>
      </c>
      <c r="K34" s="327">
        <f>J34+K35-K36</f>
        <v>0</v>
      </c>
      <c r="M34" s="378"/>
      <c r="N34" s="320"/>
      <c r="O34" s="320"/>
      <c r="P34" s="320"/>
      <c r="Q34" s="320"/>
      <c r="R34" s="320"/>
      <c r="S34" s="320"/>
      <c r="T34" s="320"/>
      <c r="U34" s="464"/>
    </row>
    <row r="35" spans="1:21">
      <c r="B35" s="198"/>
      <c r="C35" s="443" t="s">
        <v>503</v>
      </c>
      <c r="D35" s="443"/>
      <c r="E35" s="444" t="s">
        <v>89</v>
      </c>
      <c r="F35" s="928"/>
      <c r="G35" s="928"/>
      <c r="H35" s="663">
        <f>'1. T1 INVESTOINTISUUN.'!D38</f>
        <v>0</v>
      </c>
      <c r="I35" s="663">
        <f>'1. T1 INVESTOINTISUUN.'!E38</f>
        <v>0</v>
      </c>
      <c r="J35" s="663">
        <f>'1. T1 INVESTOINTISUUN.'!F38</f>
        <v>0</v>
      </c>
      <c r="K35" s="664">
        <f>'1. T1 INVESTOINTISUUN.'!G38</f>
        <v>0</v>
      </c>
      <c r="M35" s="378"/>
      <c r="N35" s="320"/>
      <c r="O35" s="320"/>
      <c r="P35" s="320"/>
      <c r="Q35" s="320"/>
      <c r="R35" s="320"/>
      <c r="S35" s="320"/>
      <c r="T35" s="320"/>
      <c r="U35" s="464"/>
    </row>
    <row r="36" spans="1:21" ht="12.9" thickBot="1">
      <c r="B36" s="222"/>
      <c r="C36" s="454" t="s">
        <v>266</v>
      </c>
      <c r="D36" s="454"/>
      <c r="E36" s="455" t="s">
        <v>90</v>
      </c>
      <c r="F36" s="929"/>
      <c r="G36" s="929"/>
      <c r="H36" s="930">
        <v>0</v>
      </c>
      <c r="I36" s="930">
        <v>0</v>
      </c>
      <c r="J36" s="930">
        <v>0</v>
      </c>
      <c r="K36" s="931">
        <v>0</v>
      </c>
      <c r="M36" s="378"/>
      <c r="N36" s="320"/>
      <c r="O36" s="320"/>
      <c r="P36" s="320"/>
      <c r="Q36" s="320"/>
      <c r="R36" s="320"/>
      <c r="S36" s="320"/>
      <c r="T36" s="320"/>
      <c r="U36" s="464"/>
    </row>
    <row r="37" spans="1:21" ht="6" customHeight="1" thickBot="1">
      <c r="B37" s="214"/>
      <c r="C37" s="215"/>
      <c r="D37" s="216"/>
      <c r="E37" s="217"/>
      <c r="F37" s="217"/>
      <c r="G37" s="218"/>
      <c r="H37" s="218" t="s">
        <v>342</v>
      </c>
      <c r="I37" s="218"/>
      <c r="J37" s="218"/>
      <c r="K37" s="218"/>
      <c r="L37" s="128"/>
      <c r="M37" s="417"/>
      <c r="N37" s="167"/>
      <c r="O37" s="167"/>
      <c r="P37" s="167"/>
      <c r="Q37" s="167"/>
      <c r="R37" s="167"/>
      <c r="S37" s="167"/>
      <c r="T37" s="167"/>
      <c r="U37" s="341"/>
    </row>
    <row r="38" spans="1:21">
      <c r="B38" s="686" t="s">
        <v>216</v>
      </c>
      <c r="C38" s="108" t="s">
        <v>217</v>
      </c>
      <c r="D38" s="108"/>
      <c r="E38" s="158"/>
      <c r="F38" s="917">
        <f t="shared" ref="F38:K38" si="2">F39+F41+F48+F49</f>
        <v>0</v>
      </c>
      <c r="G38" s="917">
        <f t="shared" si="2"/>
        <v>0</v>
      </c>
      <c r="H38" s="917">
        <f>H39+H41+H48+H49</f>
        <v>0</v>
      </c>
      <c r="I38" s="917">
        <f t="shared" si="2"/>
        <v>0</v>
      </c>
      <c r="J38" s="932">
        <f t="shared" si="2"/>
        <v>0</v>
      </c>
      <c r="K38" s="933">
        <f t="shared" si="2"/>
        <v>0</v>
      </c>
      <c r="M38" s="378"/>
      <c r="N38" s="320"/>
      <c r="O38" s="320"/>
      <c r="P38" s="320"/>
      <c r="Q38" s="320"/>
      <c r="R38" s="320"/>
      <c r="S38" s="320"/>
      <c r="T38" s="320"/>
      <c r="U38" s="464"/>
    </row>
    <row r="39" spans="1:21">
      <c r="A39"/>
      <c r="B39" s="198" t="s">
        <v>415</v>
      </c>
      <c r="C39" s="231" t="s">
        <v>117</v>
      </c>
      <c r="D39" s="231"/>
      <c r="E39" s="226" t="s">
        <v>89</v>
      </c>
      <c r="F39" s="918">
        <v>0</v>
      </c>
      <c r="G39" s="918">
        <v>0</v>
      </c>
      <c r="H39" s="755">
        <f>'8. T4 RAHOITUSSUUN. '!H49</f>
        <v>0</v>
      </c>
      <c r="I39" s="755">
        <f>'8. T4 RAHOITUSSUUN. '!I49</f>
        <v>0</v>
      </c>
      <c r="J39" s="919">
        <f>'8. T4 RAHOITUSSUUN. '!J49</f>
        <v>0</v>
      </c>
      <c r="K39" s="327">
        <f>'8. T4 RAHOITUSSUUN. '!K49</f>
        <v>0</v>
      </c>
      <c r="M39" s="378"/>
      <c r="N39" s="320"/>
      <c r="O39" s="320"/>
      <c r="P39" s="320"/>
      <c r="Q39" s="320"/>
      <c r="R39" s="320"/>
      <c r="S39" s="320"/>
      <c r="T39" s="320"/>
      <c r="U39" s="464"/>
    </row>
    <row r="40" spans="1:21">
      <c r="A40" s="6"/>
      <c r="B40" s="198"/>
      <c r="C40" s="1825" t="str">
        <f>'8. T4 RAHOITUSSUUN. '!C50</f>
        <v>Vaihto-omaisuus/liikevaihto (%)</v>
      </c>
      <c r="D40" s="1825"/>
      <c r="E40" s="1826"/>
      <c r="F40" s="936">
        <f>'8. T4 RAHOITUSSUUN. '!F50</f>
        <v>0</v>
      </c>
      <c r="G40" s="936">
        <f>'8. T4 RAHOITUSSUUN. '!G50</f>
        <v>0</v>
      </c>
      <c r="H40" s="936">
        <f>'8. T4 RAHOITUSSUUN. '!H50</f>
        <v>0</v>
      </c>
      <c r="I40" s="936">
        <f>'8. T4 RAHOITUSSUUN. '!I50</f>
        <v>0</v>
      </c>
      <c r="J40" s="936">
        <f>'8. T4 RAHOITUSSUUN. '!J50</f>
        <v>0</v>
      </c>
      <c r="K40" s="937">
        <f>'8. T4 RAHOITUSSUUN. '!K50</f>
        <v>0</v>
      </c>
      <c r="M40" s="378"/>
      <c r="N40" s="320"/>
      <c r="O40" s="320"/>
      <c r="P40" s="320"/>
      <c r="Q40" s="320"/>
      <c r="R40" s="320"/>
      <c r="S40" s="320"/>
      <c r="T40" s="320"/>
      <c r="U40" s="464"/>
    </row>
    <row r="41" spans="1:21">
      <c r="B41" s="198" t="s">
        <v>413</v>
      </c>
      <c r="C41" s="1699" t="s">
        <v>209</v>
      </c>
      <c r="D41" s="1699"/>
      <c r="E41" s="1700" t="s">
        <v>89</v>
      </c>
      <c r="F41" s="755">
        <f t="shared" ref="F41:K41" si="3">F42+F46+F47+F44</f>
        <v>0</v>
      </c>
      <c r="G41" s="755">
        <f t="shared" si="3"/>
        <v>0</v>
      </c>
      <c r="H41" s="755">
        <f t="shared" si="3"/>
        <v>0</v>
      </c>
      <c r="I41" s="755">
        <f t="shared" si="3"/>
        <v>0</v>
      </c>
      <c r="J41" s="755">
        <f t="shared" si="3"/>
        <v>0</v>
      </c>
      <c r="K41" s="327">
        <f t="shared" si="3"/>
        <v>0</v>
      </c>
      <c r="M41" s="378"/>
      <c r="N41" s="320"/>
      <c r="O41" s="320"/>
      <c r="P41" s="320"/>
      <c r="Q41" s="320"/>
      <c r="R41" s="320"/>
      <c r="S41" s="320"/>
      <c r="T41" s="320"/>
      <c r="U41" s="464"/>
    </row>
    <row r="42" spans="1:21">
      <c r="B42" s="196" t="s">
        <v>0</v>
      </c>
      <c r="C42" s="1701" t="s">
        <v>210</v>
      </c>
      <c r="D42" s="1701"/>
      <c r="E42" s="1702" t="s">
        <v>89</v>
      </c>
      <c r="F42" s="663">
        <v>0</v>
      </c>
      <c r="G42" s="663">
        <v>0</v>
      </c>
      <c r="H42" s="643">
        <f>'8. T4 RAHOITUSSUUN. '!H51</f>
        <v>0</v>
      </c>
      <c r="I42" s="643">
        <f>'8. T4 RAHOITUSSUUN. '!I51</f>
        <v>0</v>
      </c>
      <c r="J42" s="920">
        <f>'8. T4 RAHOITUSSUUN. '!J51</f>
        <v>0</v>
      </c>
      <c r="K42" s="644">
        <f>'8. T4 RAHOITUSSUUN. '!K51</f>
        <v>0</v>
      </c>
      <c r="M42" s="378"/>
      <c r="N42" s="320"/>
      <c r="O42" s="320"/>
      <c r="P42" s="320"/>
      <c r="Q42" s="320"/>
      <c r="R42" s="320"/>
      <c r="S42" s="320"/>
      <c r="T42" s="320"/>
      <c r="U42" s="464"/>
    </row>
    <row r="43" spans="1:21">
      <c r="B43" s="196"/>
      <c r="C43" s="1823" t="s">
        <v>281</v>
      </c>
      <c r="D43" s="1823"/>
      <c r="E43" s="1824"/>
      <c r="F43" s="934">
        <f>'8. T4 RAHOITUSSUUN. '!F52</f>
        <v>0</v>
      </c>
      <c r="G43" s="934">
        <f>'8. T4 RAHOITUSSUUN. '!G52</f>
        <v>0</v>
      </c>
      <c r="H43" s="934">
        <f>'8. T4 RAHOITUSSUUN. '!H52</f>
        <v>0</v>
      </c>
      <c r="I43" s="934">
        <f>'8. T4 RAHOITUSSUUN. '!I52</f>
        <v>0</v>
      </c>
      <c r="J43" s="934">
        <f>'8. T4 RAHOITUSSUUN. '!J52</f>
        <v>0</v>
      </c>
      <c r="K43" s="935">
        <f>'8. T4 RAHOITUSSUUN. '!K52</f>
        <v>0</v>
      </c>
      <c r="M43" s="378"/>
      <c r="N43" s="320"/>
      <c r="O43" s="320"/>
      <c r="P43" s="320"/>
      <c r="Q43" s="320"/>
      <c r="R43" s="320"/>
      <c r="S43" s="320"/>
      <c r="T43" s="320"/>
      <c r="U43" s="464"/>
    </row>
    <row r="44" spans="1:21">
      <c r="B44" s="196"/>
      <c r="C44" s="1701" t="s">
        <v>249</v>
      </c>
      <c r="D44" s="1701"/>
      <c r="E44" s="1702" t="s">
        <v>89</v>
      </c>
      <c r="F44" s="663">
        <v>0</v>
      </c>
      <c r="G44" s="663">
        <v>0</v>
      </c>
      <c r="H44" s="643">
        <f>'8. T4 RAHOITUSSUUN. '!H54</f>
        <v>0</v>
      </c>
      <c r="I44" s="643">
        <f>'8. T4 RAHOITUSSUUN. '!I54</f>
        <v>0</v>
      </c>
      <c r="J44" s="643">
        <f>'8. T4 RAHOITUSSUUN. '!J54</f>
        <v>0</v>
      </c>
      <c r="K44" s="644">
        <f>'8. T4 RAHOITUSSUUN. '!K54</f>
        <v>0</v>
      </c>
      <c r="M44" s="378"/>
      <c r="N44" s="320"/>
      <c r="O44" s="320"/>
      <c r="P44" s="320"/>
      <c r="Q44" s="320"/>
      <c r="R44" s="320"/>
      <c r="S44" s="320"/>
      <c r="T44" s="320"/>
      <c r="U44" s="464"/>
    </row>
    <row r="45" spans="1:21">
      <c r="A45" s="245"/>
      <c r="B45" s="196"/>
      <c r="C45" s="1865" t="s">
        <v>441</v>
      </c>
      <c r="D45" s="1865"/>
      <c r="E45" s="1866"/>
      <c r="F45" s="936">
        <f>'8. T4 RAHOITUSSUUN. '!F55</f>
        <v>0</v>
      </c>
      <c r="G45" s="936">
        <f>'8. T4 RAHOITUSSUUN. '!G55</f>
        <v>0</v>
      </c>
      <c r="H45" s="936">
        <f>'8. T4 RAHOITUSSUUN. '!H55</f>
        <v>0</v>
      </c>
      <c r="I45" s="936">
        <f>'8. T4 RAHOITUSSUUN. '!I55</f>
        <v>0</v>
      </c>
      <c r="J45" s="936">
        <f>'8. T4 RAHOITUSSUUN. '!J55</f>
        <v>0</v>
      </c>
      <c r="K45" s="937">
        <f>'8. T4 RAHOITUSSUUN. '!K55</f>
        <v>0</v>
      </c>
      <c r="M45" s="378"/>
      <c r="N45" s="320"/>
      <c r="O45" s="320"/>
      <c r="P45" s="320"/>
      <c r="Q45" s="320"/>
      <c r="R45" s="320"/>
      <c r="S45" s="320"/>
      <c r="T45" s="320"/>
      <c r="U45" s="464"/>
    </row>
    <row r="46" spans="1:21">
      <c r="A46" s="245"/>
      <c r="B46" s="196"/>
      <c r="C46" s="1821" t="s">
        <v>306</v>
      </c>
      <c r="D46" s="1821"/>
      <c r="E46" s="228" t="s">
        <v>89</v>
      </c>
      <c r="F46" s="663">
        <v>0</v>
      </c>
      <c r="G46" s="663">
        <v>0</v>
      </c>
      <c r="H46" s="663">
        <v>0</v>
      </c>
      <c r="I46" s="663">
        <v>0</v>
      </c>
      <c r="J46" s="921">
        <v>0</v>
      </c>
      <c r="K46" s="664">
        <v>0</v>
      </c>
      <c r="M46" s="378"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1:21">
      <c r="B47" s="196"/>
      <c r="C47" s="1821" t="s">
        <v>307</v>
      </c>
      <c r="D47" s="1821"/>
      <c r="E47" s="228" t="s">
        <v>89</v>
      </c>
      <c r="F47" s="663">
        <v>0</v>
      </c>
      <c r="G47" s="663">
        <v>0</v>
      </c>
      <c r="H47" s="663">
        <f>$R47*'2. &amp; 7. T2 TULOSSUUN. '!I11</f>
        <v>0</v>
      </c>
      <c r="I47" s="663">
        <f>$R47*'2. &amp; 7. T2 TULOSSUUN. '!K11</f>
        <v>0</v>
      </c>
      <c r="J47" s="663">
        <f>$R47*'2. &amp; 7. T2 TULOSSUUN. '!M11</f>
        <v>0</v>
      </c>
      <c r="K47" s="664">
        <f>$R47*'2. &amp; 7. T2 TULOSSUUN. '!O11</f>
        <v>0</v>
      </c>
      <c r="M47" s="1679" t="s">
        <v>302</v>
      </c>
      <c r="N47" s="1348"/>
      <c r="O47" s="1348"/>
      <c r="P47" s="1348"/>
      <c r="Q47" s="1348"/>
      <c r="R47" s="1349">
        <f>IF(G47=0,0,G47/'2. &amp; 7. T2 TULOSSUUN. '!G11)</f>
        <v>0</v>
      </c>
      <c r="S47" s="1349"/>
      <c r="T47" s="315"/>
      <c r="U47" s="1350"/>
    </row>
    <row r="48" spans="1:21">
      <c r="A48" s="245"/>
      <c r="B48" s="198" t="s">
        <v>414</v>
      </c>
      <c r="C48" s="1857" t="s">
        <v>211</v>
      </c>
      <c r="D48" s="1857"/>
      <c r="E48" s="226" t="s">
        <v>89</v>
      </c>
      <c r="F48" s="918">
        <v>0</v>
      </c>
      <c r="G48" s="918">
        <v>0</v>
      </c>
      <c r="H48" s="918">
        <f>G48</f>
        <v>0</v>
      </c>
      <c r="I48" s="918">
        <f>H48</f>
        <v>0</v>
      </c>
      <c r="J48" s="918">
        <f>I48</f>
        <v>0</v>
      </c>
      <c r="K48" s="938">
        <f>J48</f>
        <v>0</v>
      </c>
      <c r="M48" s="378"/>
      <c r="N48" s="320"/>
      <c r="O48" s="320"/>
      <c r="P48" s="320"/>
      <c r="Q48" s="320"/>
      <c r="R48" s="320"/>
      <c r="S48" s="320"/>
      <c r="T48" s="320"/>
      <c r="U48" s="464"/>
    </row>
    <row r="49" spans="1:21" ht="12.9" thickBot="1">
      <c r="A49" s="6"/>
      <c r="B49" s="222" t="s">
        <v>416</v>
      </c>
      <c r="C49" s="223" t="s">
        <v>212</v>
      </c>
      <c r="D49" s="223"/>
      <c r="E49" s="224" t="s">
        <v>89</v>
      </c>
      <c r="F49" s="939">
        <v>0</v>
      </c>
      <c r="G49" s="939">
        <v>0</v>
      </c>
      <c r="H49" s="730">
        <f>H98-H13-H39-H41-H48</f>
        <v>0</v>
      </c>
      <c r="I49" s="730">
        <f>I98-I13-I39-I41-I48</f>
        <v>0</v>
      </c>
      <c r="J49" s="940">
        <f>J98-J13-J39-J41-J48</f>
        <v>0</v>
      </c>
      <c r="K49" s="731">
        <f>K98-K13-K39-K41-K48</f>
        <v>0</v>
      </c>
      <c r="M49" s="378"/>
      <c r="N49" s="320"/>
      <c r="O49" s="320"/>
      <c r="P49" s="320"/>
      <c r="Q49" s="320"/>
      <c r="R49" s="320"/>
      <c r="S49" s="320"/>
      <c r="T49" s="320"/>
      <c r="U49" s="464"/>
    </row>
    <row r="50" spans="1:21" ht="6" customHeight="1" thickBot="1">
      <c r="B50" s="997"/>
      <c r="C50" s="998"/>
      <c r="D50" s="998"/>
      <c r="E50" s="999"/>
      <c r="F50" s="997"/>
      <c r="G50" s="1000"/>
      <c r="H50" s="1001"/>
      <c r="I50" s="1001"/>
      <c r="J50" s="1001"/>
      <c r="K50" s="1001"/>
      <c r="M50" s="417"/>
      <c r="N50" s="167"/>
      <c r="O50" s="167"/>
      <c r="P50" s="167"/>
      <c r="Q50" s="167"/>
      <c r="R50" s="167"/>
      <c r="S50" s="167"/>
      <c r="T50" s="167"/>
      <c r="U50" s="341"/>
    </row>
    <row r="51" spans="1:21" ht="12.9" thickBot="1">
      <c r="B51" s="1841" t="s">
        <v>448</v>
      </c>
      <c r="C51" s="1842"/>
      <c r="D51" s="1842"/>
      <c r="E51" s="1843"/>
      <c r="F51" s="1002">
        <f t="shared" ref="F51:K51" si="4">F38+F13</f>
        <v>0</v>
      </c>
      <c r="G51" s="1002">
        <f t="shared" si="4"/>
        <v>0</v>
      </c>
      <c r="H51" s="1002">
        <f t="shared" si="4"/>
        <v>0</v>
      </c>
      <c r="I51" s="1002">
        <f t="shared" si="4"/>
        <v>0</v>
      </c>
      <c r="J51" s="1003">
        <f t="shared" si="4"/>
        <v>0</v>
      </c>
      <c r="K51" s="1008">
        <f t="shared" si="4"/>
        <v>0</v>
      </c>
      <c r="M51" s="1351" t="str">
        <f>M98</f>
        <v xml:space="preserve"> </v>
      </c>
      <c r="N51" s="182"/>
      <c r="O51" s="182"/>
      <c r="P51" s="182"/>
      <c r="Q51" s="182"/>
      <c r="R51" s="182"/>
      <c r="S51" s="182"/>
      <c r="T51" s="182"/>
      <c r="U51" s="1352"/>
    </row>
    <row r="52" spans="1:21" ht="12.9" thickBot="1">
      <c r="B52" s="38"/>
      <c r="C52" s="1" t="s">
        <v>0</v>
      </c>
      <c r="D52" s="1"/>
      <c r="M52" s="317"/>
      <c r="N52" s="317"/>
      <c r="O52" s="317"/>
      <c r="P52" s="317"/>
      <c r="Q52" s="317"/>
      <c r="R52" s="317"/>
      <c r="S52" s="317"/>
      <c r="T52" s="317"/>
      <c r="U52" s="317"/>
    </row>
    <row r="53" spans="1:21" ht="12.75" customHeight="1" thickBot="1">
      <c r="A53" s="245"/>
      <c r="B53" s="1194"/>
      <c r="C53" s="1195"/>
      <c r="D53" s="1195"/>
      <c r="E53" s="1196"/>
      <c r="F53" s="1197" t="str">
        <f t="shared" ref="F53:K54" si="5">F10</f>
        <v>Tot. tilikausi</v>
      </c>
      <c r="G53" s="1197" t="str">
        <f t="shared" si="5"/>
        <v>Tot. tilikausi</v>
      </c>
      <c r="H53" s="1197" t="str">
        <f t="shared" si="5"/>
        <v>Ennuste 1</v>
      </c>
      <c r="I53" s="1197" t="str">
        <f t="shared" si="5"/>
        <v>Ennuste 2</v>
      </c>
      <c r="J53" s="1198" t="str">
        <f t="shared" si="5"/>
        <v>Ennuste 3</v>
      </c>
      <c r="K53" s="1199" t="str">
        <f t="shared" si="5"/>
        <v>Ennuste 4</v>
      </c>
      <c r="M53" s="1852" t="str">
        <f>B54</f>
        <v>VASTATTAVAA</v>
      </c>
      <c r="N53" s="1853"/>
      <c r="O53" s="1853"/>
      <c r="P53" s="1853"/>
      <c r="Q53" s="1853"/>
      <c r="R53" s="1853"/>
      <c r="S53" s="1853"/>
      <c r="T53" s="1853"/>
      <c r="U53" s="1854"/>
    </row>
    <row r="54" spans="1:21" ht="12.75" customHeight="1">
      <c r="A54" s="245"/>
      <c r="B54" s="1844" t="s">
        <v>214</v>
      </c>
      <c r="C54" s="1845"/>
      <c r="D54" s="1200">
        <f>D12</f>
        <v>0</v>
      </c>
      <c r="E54" s="1201"/>
      <c r="F54" s="1202">
        <f t="shared" si="5"/>
        <v>2023</v>
      </c>
      <c r="G54" s="1202">
        <f t="shared" si="5"/>
        <v>2024</v>
      </c>
      <c r="H54" s="1202">
        <f t="shared" si="5"/>
        <v>2025</v>
      </c>
      <c r="I54" s="1202">
        <f t="shared" si="5"/>
        <v>2026</v>
      </c>
      <c r="J54" s="1203">
        <f t="shared" si="5"/>
        <v>2027</v>
      </c>
      <c r="K54" s="1204">
        <f t="shared" si="5"/>
        <v>2028</v>
      </c>
      <c r="M54" s="1353"/>
      <c r="N54" s="428"/>
      <c r="O54" s="428"/>
      <c r="P54" s="428"/>
      <c r="Q54" s="428"/>
      <c r="R54" s="428"/>
      <c r="S54" s="428"/>
      <c r="T54" s="428"/>
      <c r="U54" s="1354"/>
    </row>
    <row r="55" spans="1:21" ht="12.75" customHeight="1" thickBot="1">
      <c r="A55" s="6"/>
      <c r="B55" s="1205"/>
      <c r="C55" s="1206"/>
      <c r="D55" s="1206"/>
      <c r="E55" s="1207"/>
      <c r="F55" s="1211" t="s">
        <v>17</v>
      </c>
      <c r="G55" s="1211" t="s">
        <v>17</v>
      </c>
      <c r="H55" s="1211" t="s">
        <v>17</v>
      </c>
      <c r="I55" s="1211" t="s">
        <v>17</v>
      </c>
      <c r="J55" s="1212" t="s">
        <v>17</v>
      </c>
      <c r="K55" s="1213" t="s">
        <v>17</v>
      </c>
      <c r="M55" s="378"/>
      <c r="N55" s="320"/>
      <c r="O55" s="320"/>
      <c r="P55" s="320"/>
      <c r="Q55" s="320"/>
      <c r="R55" s="320"/>
      <c r="S55" s="320"/>
      <c r="T55" s="320"/>
      <c r="U55" s="464"/>
    </row>
    <row r="56" spans="1:21">
      <c r="A56" s="245"/>
      <c r="B56" s="491" t="s">
        <v>223</v>
      </c>
      <c r="C56" s="185" t="s">
        <v>215</v>
      </c>
      <c r="D56" s="185"/>
      <c r="E56" s="516"/>
      <c r="F56" s="941">
        <f t="shared" ref="F56:K56" si="6">F57+F58-F59+F60+F61</f>
        <v>0</v>
      </c>
      <c r="G56" s="941">
        <f t="shared" si="6"/>
        <v>0</v>
      </c>
      <c r="H56" s="941">
        <f t="shared" si="6"/>
        <v>0</v>
      </c>
      <c r="I56" s="941">
        <f t="shared" si="6"/>
        <v>0</v>
      </c>
      <c r="J56" s="941">
        <f t="shared" si="6"/>
        <v>0</v>
      </c>
      <c r="K56" s="942">
        <f t="shared" si="6"/>
        <v>0</v>
      </c>
      <c r="M56" s="378"/>
      <c r="N56" s="320"/>
      <c r="O56" s="320"/>
      <c r="P56" s="320"/>
      <c r="Q56" s="320"/>
      <c r="R56" s="320"/>
      <c r="S56" s="320"/>
      <c r="T56" s="320"/>
      <c r="U56" s="464"/>
    </row>
    <row r="57" spans="1:21" s="1" customFormat="1">
      <c r="A57" s="38"/>
      <c r="B57" s="1004"/>
      <c r="C57" s="167" t="s">
        <v>275</v>
      </c>
      <c r="D57" s="167"/>
      <c r="E57" s="341"/>
      <c r="F57" s="697">
        <v>0</v>
      </c>
      <c r="G57" s="697">
        <v>0</v>
      </c>
      <c r="H57" s="643">
        <f>'1. T1 INVESTOINTISUUN.'!D48+G57+H70</f>
        <v>0</v>
      </c>
      <c r="I57" s="943">
        <f>'1. T1 INVESTOINTISUUN.'!E48+H57+I70</f>
        <v>0</v>
      </c>
      <c r="J57" s="643">
        <f>'1. T1 INVESTOINTISUUN.'!F48+I57+J70</f>
        <v>0</v>
      </c>
      <c r="K57" s="944">
        <f>'1. T1 INVESTOINTISUUN.'!G48+J57+K70</f>
        <v>0</v>
      </c>
      <c r="L57" s="4"/>
      <c r="M57" s="378"/>
      <c r="N57" s="320"/>
      <c r="O57" s="320"/>
      <c r="P57" s="320"/>
      <c r="Q57" s="320"/>
      <c r="R57" s="320"/>
      <c r="S57" s="320"/>
      <c r="T57" s="320"/>
      <c r="U57" s="464"/>
    </row>
    <row r="58" spans="1:21" s="1" customFormat="1">
      <c r="A58" s="245"/>
      <c r="B58" s="1004"/>
      <c r="C58" s="167" t="s">
        <v>276</v>
      </c>
      <c r="D58" s="167"/>
      <c r="E58" s="341"/>
      <c r="F58" s="697">
        <v>0</v>
      </c>
      <c r="G58" s="697">
        <v>0</v>
      </c>
      <c r="H58" s="728">
        <f>G58-G59+G60</f>
        <v>0</v>
      </c>
      <c r="I58" s="728">
        <f>H58-H59+H60</f>
        <v>0</v>
      </c>
      <c r="J58" s="945">
        <f>I58-I59+I60</f>
        <v>0</v>
      </c>
      <c r="K58" s="644">
        <f>J58-J59+J60</f>
        <v>0</v>
      </c>
      <c r="L58" s="4"/>
      <c r="M58" s="378"/>
      <c r="N58" s="320"/>
      <c r="O58" s="320"/>
      <c r="P58" s="320"/>
      <c r="Q58" s="320"/>
      <c r="R58" s="320"/>
      <c r="S58" s="320"/>
      <c r="T58" s="320"/>
      <c r="U58" s="464"/>
    </row>
    <row r="59" spans="1:21" s="1" customFormat="1">
      <c r="A59"/>
      <c r="B59" s="1004"/>
      <c r="C59" s="1847" t="s">
        <v>305</v>
      </c>
      <c r="D59" s="1847"/>
      <c r="E59" s="1848"/>
      <c r="F59" s="988"/>
      <c r="G59" s="988"/>
      <c r="H59" s="946">
        <f>'8. T4 RAHOITUSSUUN. '!H39</f>
        <v>0</v>
      </c>
      <c r="I59" s="946">
        <f>'8. T4 RAHOITUSSUUN. '!I39</f>
        <v>0</v>
      </c>
      <c r="J59" s="946">
        <f>'8. T4 RAHOITUSSUUN. '!J39</f>
        <v>0</v>
      </c>
      <c r="K59" s="947">
        <f>'8. T4 RAHOITUSSUUN. '!K39</f>
        <v>0</v>
      </c>
      <c r="L59" s="4"/>
      <c r="M59" s="1680" t="s">
        <v>409</v>
      </c>
      <c r="N59" s="167"/>
      <c r="O59" s="167"/>
      <c r="P59" s="167"/>
      <c r="Q59" s="167"/>
      <c r="R59" s="167"/>
      <c r="S59" s="167"/>
      <c r="T59" s="167"/>
      <c r="U59" s="341"/>
    </row>
    <row r="60" spans="1:21" s="1" customFormat="1">
      <c r="A60" s="51"/>
      <c r="B60" s="1004"/>
      <c r="C60" s="167" t="s">
        <v>340</v>
      </c>
      <c r="D60" s="167"/>
      <c r="E60" s="341"/>
      <c r="F60" s="728">
        <f>'2. &amp; 7. T2 TULOSSUUN. '!E31</f>
        <v>0</v>
      </c>
      <c r="G60" s="728">
        <f>'2. &amp; 7. T2 TULOSSUUN. '!G31</f>
        <v>0</v>
      </c>
      <c r="H60" s="728">
        <f>'2. &amp; 7. T2 TULOSSUUN. '!I31</f>
        <v>0</v>
      </c>
      <c r="I60" s="728">
        <f>'2. &amp; 7. T2 TULOSSUUN. '!K31</f>
        <v>0</v>
      </c>
      <c r="J60" s="945">
        <f>'2. &amp; 7. T2 TULOSSUUN. '!M31</f>
        <v>0</v>
      </c>
      <c r="K60" s="644">
        <f>'2. &amp; 7. T2 TULOSSUUN. '!O31</f>
        <v>0</v>
      </c>
      <c r="L60" s="4"/>
      <c r="M60" s="378"/>
      <c r="N60" s="320"/>
      <c r="O60" s="320"/>
      <c r="P60" s="320"/>
      <c r="Q60" s="320"/>
      <c r="R60" s="320"/>
      <c r="S60" s="320"/>
      <c r="T60" s="320"/>
      <c r="U60" s="464"/>
    </row>
    <row r="61" spans="1:21" s="1" customFormat="1">
      <c r="A61"/>
      <c r="B61" s="1004"/>
      <c r="C61" s="1847" t="s">
        <v>353</v>
      </c>
      <c r="D61" s="1847"/>
      <c r="E61" s="1848"/>
      <c r="F61" s="697">
        <v>0</v>
      </c>
      <c r="G61" s="697">
        <v>0</v>
      </c>
      <c r="H61" s="663">
        <f>G61+'1. T1 INVESTOINTISUUN.'!D49</f>
        <v>0</v>
      </c>
      <c r="I61" s="663">
        <f>H61+'1. T1 INVESTOINTISUUN.'!E49</f>
        <v>0</v>
      </c>
      <c r="J61" s="663">
        <f>I61+'1. T1 INVESTOINTISUUN.'!F49</f>
        <v>0</v>
      </c>
      <c r="K61" s="664">
        <f>J61+'1. T1 INVESTOINTISUUN.'!G49</f>
        <v>0</v>
      </c>
      <c r="L61" s="4"/>
      <c r="M61" s="378"/>
      <c r="N61" s="320"/>
      <c r="O61" s="320"/>
      <c r="P61" s="320"/>
      <c r="Q61" s="320"/>
      <c r="R61" s="320"/>
      <c r="S61" s="320"/>
      <c r="T61" s="320"/>
      <c r="U61" s="464"/>
    </row>
    <row r="62" spans="1:21">
      <c r="A62" s="51"/>
      <c r="B62" s="491" t="s">
        <v>225</v>
      </c>
      <c r="C62" s="185" t="s">
        <v>220</v>
      </c>
      <c r="D62" s="185"/>
      <c r="E62" s="187"/>
      <c r="F62" s="537">
        <f t="shared" ref="F62:K62" si="7">F63+F64</f>
        <v>0</v>
      </c>
      <c r="G62" s="537">
        <f>G63+G64</f>
        <v>0</v>
      </c>
      <c r="H62" s="537">
        <f t="shared" si="7"/>
        <v>0</v>
      </c>
      <c r="I62" s="537">
        <f t="shared" si="7"/>
        <v>0</v>
      </c>
      <c r="J62" s="948">
        <f t="shared" si="7"/>
        <v>0</v>
      </c>
      <c r="K62" s="696">
        <f t="shared" si="7"/>
        <v>0</v>
      </c>
      <c r="M62" s="378"/>
      <c r="N62" s="320"/>
      <c r="O62" s="320"/>
      <c r="P62" s="320"/>
      <c r="Q62" s="320"/>
      <c r="R62" s="320"/>
      <c r="S62" s="320"/>
      <c r="T62" s="320"/>
      <c r="U62" s="464"/>
    </row>
    <row r="63" spans="1:21">
      <c r="A63"/>
      <c r="B63" s="1005" t="s">
        <v>0</v>
      </c>
      <c r="C63" s="986" t="s">
        <v>221</v>
      </c>
      <c r="D63" s="986"/>
      <c r="E63" s="342"/>
      <c r="F63" s="663">
        <v>0</v>
      </c>
      <c r="G63" s="663">
        <v>0</v>
      </c>
      <c r="H63" s="643">
        <f>G63-'2. &amp; 7. T2 TULOSSUUN. '!I29</f>
        <v>0</v>
      </c>
      <c r="I63" s="643">
        <f>H63-'2. &amp; 7. T2 TULOSSUUN. '!K29</f>
        <v>0</v>
      </c>
      <c r="J63" s="643">
        <f>I63-'2. &amp; 7. T2 TULOSSUUN. '!M29</f>
        <v>0</v>
      </c>
      <c r="K63" s="644">
        <f>J63-'2. &amp; 7. T2 TULOSSUUN. '!O29</f>
        <v>0</v>
      </c>
      <c r="M63" s="378"/>
      <c r="N63" s="320"/>
      <c r="O63" s="320"/>
      <c r="P63" s="320"/>
      <c r="Q63" s="320"/>
      <c r="R63" s="320"/>
      <c r="S63" s="320"/>
      <c r="T63" s="320"/>
      <c r="U63" s="464"/>
    </row>
    <row r="64" spans="1:21">
      <c r="A64" s="51"/>
      <c r="B64" s="1005" t="s">
        <v>0</v>
      </c>
      <c r="C64" s="1821" t="s">
        <v>432</v>
      </c>
      <c r="D64" s="1821"/>
      <c r="E64" s="1835"/>
      <c r="F64" s="663">
        <v>0</v>
      </c>
      <c r="G64" s="663">
        <v>0</v>
      </c>
      <c r="H64" s="643">
        <f>H65*('5. E1 KUSTANNUKSET '!F13*'5. E1 KUSTANNUKSET '!F15+'5. E1 KUSTANNUKSET '!F17+'5. E1 KUSTANNUKSET '!F24)</f>
        <v>0</v>
      </c>
      <c r="I64" s="643">
        <f>I65*('5. E1 KUSTANNUKSET '!H13*'5. E1 KUSTANNUKSET '!H15+'5. E1 KUSTANNUKSET '!H17+'5. E1 KUSTANNUKSET '!H24)</f>
        <v>0</v>
      </c>
      <c r="J64" s="643">
        <f>J65*('5. E1 KUSTANNUKSET '!J13*'5. E1 KUSTANNUKSET '!J15+'5. E1 KUSTANNUKSET '!J17+'5. E1 KUSTANNUKSET '!J24)</f>
        <v>0</v>
      </c>
      <c r="K64" s="644">
        <f>K65*('5. E1 KUSTANNUKSET '!L13*'5. E1 KUSTANNUKSET '!L15+'5. E1 KUSTANNUKSET '!L17+'5. E1 KUSTANNUKSET '!L24)</f>
        <v>0</v>
      </c>
      <c r="M64" s="378"/>
      <c r="N64" s="320"/>
      <c r="O64" s="320"/>
      <c r="P64" s="320"/>
      <c r="Q64" s="320"/>
      <c r="R64" s="320"/>
      <c r="S64" s="320"/>
      <c r="T64" s="320"/>
      <c r="U64" s="464"/>
    </row>
    <row r="65" spans="1:21">
      <c r="A65" s="2"/>
      <c r="B65" s="1005"/>
      <c r="C65" s="1833" t="s">
        <v>610</v>
      </c>
      <c r="D65" s="1833"/>
      <c r="E65" s="1834"/>
      <c r="F65" s="949"/>
      <c r="G65" s="949"/>
      <c r="H65" s="1018">
        <f>G65</f>
        <v>0</v>
      </c>
      <c r="I65" s="1018">
        <f>H65</f>
        <v>0</v>
      </c>
      <c r="J65" s="1019">
        <f>I65</f>
        <v>0</v>
      </c>
      <c r="K65" s="1020">
        <f>J65</f>
        <v>0</v>
      </c>
      <c r="M65" s="378"/>
      <c r="N65" s="320"/>
      <c r="O65" s="320"/>
      <c r="P65" s="320"/>
      <c r="Q65" s="320"/>
      <c r="R65" s="320"/>
      <c r="S65" s="320"/>
      <c r="T65" s="320"/>
      <c r="U65" s="464"/>
    </row>
    <row r="66" spans="1:21">
      <c r="A66" s="51"/>
      <c r="B66" s="491" t="s">
        <v>237</v>
      </c>
      <c r="C66" s="1745" t="s">
        <v>224</v>
      </c>
      <c r="D66" s="1745"/>
      <c r="E66" s="1840"/>
      <c r="F66" s="950">
        <v>0</v>
      </c>
      <c r="G66" s="950">
        <v>0</v>
      </c>
      <c r="H66" s="950"/>
      <c r="I66" s="950"/>
      <c r="J66" s="951"/>
      <c r="K66" s="952"/>
      <c r="M66" s="378"/>
      <c r="N66" s="320"/>
      <c r="O66" s="320"/>
      <c r="P66" s="320"/>
      <c r="Q66" s="320"/>
      <c r="R66" s="320"/>
      <c r="S66" s="320"/>
      <c r="T66" s="320"/>
      <c r="U66" s="464"/>
    </row>
    <row r="67" spans="1:21">
      <c r="A67"/>
      <c r="B67" s="491" t="s">
        <v>335</v>
      </c>
      <c r="C67" s="1745" t="s">
        <v>236</v>
      </c>
      <c r="D67" s="1745"/>
      <c r="E67" s="1840"/>
      <c r="F67" s="537">
        <f t="shared" ref="F67:K67" si="8">F68+F69+F71+F74</f>
        <v>0</v>
      </c>
      <c r="G67" s="537">
        <f>G68+G69+G71+G74</f>
        <v>0</v>
      </c>
      <c r="H67" s="537">
        <f>H68+H69+H71+H74</f>
        <v>0</v>
      </c>
      <c r="I67" s="537">
        <f t="shared" si="8"/>
        <v>0</v>
      </c>
      <c r="J67" s="948">
        <f t="shared" si="8"/>
        <v>0</v>
      </c>
      <c r="K67" s="696">
        <f t="shared" si="8"/>
        <v>0</v>
      </c>
      <c r="M67" s="378"/>
      <c r="N67" s="320"/>
      <c r="O67" s="320"/>
      <c r="P67" s="320"/>
      <c r="Q67" s="320"/>
      <c r="R67" s="320"/>
      <c r="S67" s="320"/>
      <c r="T67" s="320"/>
      <c r="U67" s="464"/>
    </row>
    <row r="68" spans="1:21">
      <c r="A68" s="51"/>
      <c r="B68" s="365" t="s">
        <v>0</v>
      </c>
      <c r="C68" s="1836" t="s">
        <v>226</v>
      </c>
      <c r="D68" s="1836"/>
      <c r="E68" s="1846"/>
      <c r="F68" s="663">
        <v>0</v>
      </c>
      <c r="G68" s="663">
        <v>0</v>
      </c>
      <c r="H68" s="643">
        <f>'AT2 Lainat,sotum., alv-osto'!T14+'AT2 Lainat,sotum., alv-osto'!T16+'AT2 Lainat,sotum., alv-osto'!T17+'AT2 Lainat,sotum., alv-osto'!T18-'8. T4 RAHOITUSSUUN. '!H35</f>
        <v>0</v>
      </c>
      <c r="I68" s="643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43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44">
        <f>'AT2 Lainat,sotum., alv-osto'!AL14+'AT2 Lainat,sotum., alv-osto'!AL28-'8. T4 RAHOITUSSUUN. '!H35-'8. T4 RAHOITUSSUUN. '!I35-'8. T4 RAHOITUSSUUN. '!J35-'8. T4 RAHOITUSSUUN. '!K35</f>
        <v>0</v>
      </c>
      <c r="M68" s="378"/>
      <c r="N68" s="320"/>
      <c r="O68" s="320"/>
      <c r="P68" s="320"/>
      <c r="Q68" s="320"/>
      <c r="R68" s="320"/>
      <c r="S68" s="320"/>
      <c r="T68" s="320"/>
      <c r="U68" s="464"/>
    </row>
    <row r="69" spans="1:21">
      <c r="A69"/>
      <c r="B69" s="365" t="s">
        <v>0</v>
      </c>
      <c r="C69" s="1821" t="s">
        <v>241</v>
      </c>
      <c r="D69" s="1821"/>
      <c r="E69" s="1835"/>
      <c r="F69" s="663">
        <v>0</v>
      </c>
      <c r="G69" s="663">
        <v>0</v>
      </c>
      <c r="H69" s="767">
        <f>G69+'1. T1 INVESTOINTISUUN.'!D51</f>
        <v>0</v>
      </c>
      <c r="I69" s="767">
        <f>H69+'1. T1 INVESTOINTISUUN.'!E51</f>
        <v>0</v>
      </c>
      <c r="J69" s="767">
        <f>I69+'1. T1 INVESTOINTISUUN.'!F51</f>
        <v>0</v>
      </c>
      <c r="K69" s="768">
        <f>J69+'1. T1 INVESTOINTISUUN.'!G51</f>
        <v>0</v>
      </c>
      <c r="M69" s="378"/>
      <c r="N69" s="320"/>
      <c r="O69" s="320"/>
      <c r="P69" s="320"/>
      <c r="Q69" s="320"/>
      <c r="R69" s="320"/>
      <c r="S69" s="320"/>
      <c r="T69" s="320"/>
      <c r="U69" s="464"/>
    </row>
    <row r="70" spans="1:21">
      <c r="A70" s="51"/>
      <c r="B70" s="365"/>
      <c r="C70" s="983" t="s">
        <v>710</v>
      </c>
      <c r="D70" s="983"/>
      <c r="E70" s="984"/>
      <c r="F70" s="953"/>
      <c r="G70" s="953"/>
      <c r="H70" s="767">
        <v>0</v>
      </c>
      <c r="I70" s="767">
        <v>0</v>
      </c>
      <c r="J70" s="1070">
        <v>0</v>
      </c>
      <c r="K70" s="768"/>
      <c r="M70" s="1327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1"/>
      <c r="O70" s="151"/>
      <c r="P70" s="151"/>
      <c r="Q70" s="151"/>
      <c r="R70" s="151"/>
      <c r="S70" s="151"/>
      <c r="T70" s="151"/>
      <c r="U70" s="511"/>
    </row>
    <row r="71" spans="1:21">
      <c r="A71" s="2"/>
      <c r="B71" s="365" t="s">
        <v>0</v>
      </c>
      <c r="C71" s="225" t="s">
        <v>239</v>
      </c>
      <c r="D71" s="225"/>
      <c r="E71" s="228"/>
      <c r="F71" s="643">
        <f t="shared" ref="F71:K71" si="9">F72+F73</f>
        <v>0</v>
      </c>
      <c r="G71" s="643">
        <f t="shared" si="9"/>
        <v>0</v>
      </c>
      <c r="H71" s="643">
        <f t="shared" si="9"/>
        <v>0</v>
      </c>
      <c r="I71" s="643">
        <f t="shared" si="9"/>
        <v>0</v>
      </c>
      <c r="J71" s="920">
        <f t="shared" si="9"/>
        <v>0</v>
      </c>
      <c r="K71" s="644">
        <f t="shared" si="9"/>
        <v>0</v>
      </c>
      <c r="M71" s="378"/>
      <c r="N71" s="320"/>
      <c r="O71" s="320"/>
      <c r="P71" s="320"/>
      <c r="Q71" s="320"/>
      <c r="R71" s="320"/>
      <c r="S71" s="320"/>
      <c r="T71" s="320"/>
      <c r="U71" s="464"/>
    </row>
    <row r="72" spans="1:21">
      <c r="A72" s="51"/>
      <c r="B72" s="365"/>
      <c r="C72" s="225" t="s">
        <v>713</v>
      </c>
      <c r="D72" s="225"/>
      <c r="E72" s="228"/>
      <c r="F72" s="663">
        <v>0</v>
      </c>
      <c r="G72" s="663">
        <v>0</v>
      </c>
      <c r="H72" s="663">
        <f>G72</f>
        <v>0</v>
      </c>
      <c r="I72" s="663">
        <f>H72</f>
        <v>0</v>
      </c>
      <c r="J72" s="663">
        <f>I72</f>
        <v>0</v>
      </c>
      <c r="K72" s="664">
        <f>J72</f>
        <v>0</v>
      </c>
      <c r="M72" s="1327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20"/>
      <c r="O72" s="320"/>
      <c r="P72" s="320"/>
      <c r="Q72" s="320"/>
      <c r="R72" s="320"/>
      <c r="S72" s="320"/>
      <c r="T72" s="320"/>
      <c r="U72" s="464"/>
    </row>
    <row r="73" spans="1:21">
      <c r="A73"/>
      <c r="B73" s="365"/>
      <c r="C73" s="225" t="s">
        <v>721</v>
      </c>
      <c r="D73" s="225"/>
      <c r="E73" s="228"/>
      <c r="F73" s="1009">
        <v>0</v>
      </c>
      <c r="G73" s="663">
        <v>0</v>
      </c>
      <c r="H73" s="643">
        <f>'AT2 Lainat,sotum., alv-osto'!T40+'AT2 Lainat,sotum., alv-osto'!T44</f>
        <v>0</v>
      </c>
      <c r="I73" s="643">
        <f>'AT2 Lainat,sotum., alv-osto'!Z40+'AT2 Lainat,sotum., alv-osto'!Z44+'AT2 Lainat,sotum., alv-osto'!Z47</f>
        <v>0</v>
      </c>
      <c r="J73" s="643">
        <f>'AT2 Lainat,sotum., alv-osto'!AF40+'AT2 Lainat,sotum., alv-osto'!AF44+'AT2 Lainat,sotum., alv-osto'!AF47+'AT2 Lainat,sotum., alv-osto'!AF50</f>
        <v>0</v>
      </c>
      <c r="K73" s="644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378"/>
      <c r="N73" s="320"/>
      <c r="O73" s="320"/>
      <c r="P73" s="320"/>
      <c r="Q73" s="320"/>
      <c r="R73" s="320"/>
      <c r="S73" s="320"/>
      <c r="T73" s="320"/>
      <c r="U73" s="464"/>
    </row>
    <row r="74" spans="1:21">
      <c r="A74" s="51"/>
      <c r="B74" s="365"/>
      <c r="C74" s="1821" t="s">
        <v>240</v>
      </c>
      <c r="D74" s="1821"/>
      <c r="E74" s="1835"/>
      <c r="F74" s="663">
        <v>0</v>
      </c>
      <c r="G74" s="663">
        <v>0</v>
      </c>
      <c r="H74" s="663">
        <f>G74</f>
        <v>0</v>
      </c>
      <c r="I74" s="663">
        <f>H74</f>
        <v>0</v>
      </c>
      <c r="J74" s="663">
        <f>I74</f>
        <v>0</v>
      </c>
      <c r="K74" s="664">
        <f>J74</f>
        <v>0</v>
      </c>
      <c r="M74" s="1327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50"/>
      <c r="O74" s="450"/>
      <c r="P74" s="450"/>
      <c r="Q74" s="450"/>
      <c r="R74" s="450"/>
      <c r="S74" s="450"/>
      <c r="T74" s="450"/>
      <c r="U74" s="1355"/>
    </row>
    <row r="75" spans="1:21">
      <c r="A75"/>
      <c r="B75" s="491" t="s">
        <v>336</v>
      </c>
      <c r="C75" s="1745" t="s">
        <v>238</v>
      </c>
      <c r="D75" s="1745"/>
      <c r="E75" s="1840"/>
      <c r="F75" s="537">
        <f t="shared" ref="F75:K75" si="10">F76+F79+F80+F84+F91+F96</f>
        <v>0</v>
      </c>
      <c r="G75" s="537">
        <f>G76+G79+G80+G84+G91+G96</f>
        <v>0</v>
      </c>
      <c r="H75" s="537">
        <f t="shared" si="10"/>
        <v>0</v>
      </c>
      <c r="I75" s="537">
        <f t="shared" si="10"/>
        <v>0</v>
      </c>
      <c r="J75" s="537">
        <f t="shared" si="10"/>
        <v>0</v>
      </c>
      <c r="K75" s="696">
        <f t="shared" si="10"/>
        <v>0</v>
      </c>
      <c r="M75" s="378"/>
      <c r="N75" s="320"/>
      <c r="O75" s="320"/>
      <c r="P75" s="320"/>
      <c r="Q75" s="320"/>
      <c r="R75" s="320"/>
      <c r="S75" s="320"/>
      <c r="T75" s="320"/>
      <c r="U75" s="511"/>
    </row>
    <row r="76" spans="1:21">
      <c r="A76" s="51"/>
      <c r="B76" s="365" t="s">
        <v>0</v>
      </c>
      <c r="C76" s="1836" t="s">
        <v>226</v>
      </c>
      <c r="D76" s="1836"/>
      <c r="E76" s="1846"/>
      <c r="F76" s="953">
        <f t="shared" ref="F76:K76" si="11">F77+F78</f>
        <v>0</v>
      </c>
      <c r="G76" s="953">
        <f t="shared" si="11"/>
        <v>0</v>
      </c>
      <c r="H76" s="953">
        <f t="shared" si="11"/>
        <v>0</v>
      </c>
      <c r="I76" s="953">
        <f t="shared" si="11"/>
        <v>0</v>
      </c>
      <c r="J76" s="953">
        <f t="shared" si="11"/>
        <v>0</v>
      </c>
      <c r="K76" s="1010">
        <f t="shared" si="11"/>
        <v>0</v>
      </c>
      <c r="M76" s="378"/>
      <c r="N76" s="320"/>
      <c r="O76" s="320"/>
      <c r="P76" s="320"/>
      <c r="Q76" s="320"/>
      <c r="R76" s="320"/>
      <c r="S76" s="320"/>
      <c r="T76" s="320"/>
      <c r="U76" s="464"/>
    </row>
    <row r="77" spans="1:21">
      <c r="A77" s="2"/>
      <c r="B77" s="365"/>
      <c r="C77" s="986" t="s">
        <v>711</v>
      </c>
      <c r="D77" s="986"/>
      <c r="E77" s="987"/>
      <c r="F77" s="663">
        <v>0</v>
      </c>
      <c r="G77" s="663">
        <v>0</v>
      </c>
      <c r="H77" s="643">
        <f>'4. T7 LAINAT '!I18+'4. T7 LAINAT '!J24+'4. T7 LAINAT '!J25+'4. T7 LAINAT '!J26</f>
        <v>0</v>
      </c>
      <c r="I77" s="643">
        <f>'4. T7 LAINAT '!L18+'4. T7 LAINAT '!M24+'4. T7 LAINAT '!M25+'4. T7 LAINAT '!M26+'4. T7 LAINAT '!M28+'4. T7 LAINAT '!M29+'4. T7 LAINAT '!M30</f>
        <v>0</v>
      </c>
      <c r="J77" s="643">
        <f>'4. T7 LAINAT '!O18+'4. T7 LAINAT '!P24+'4. T7 LAINAT '!P25+'4. T7 LAINAT '!P26+'4. T7 LAINAT '!P28+'4. T7 LAINAT '!P29+'4. T7 LAINAT '!P30+'4. T7 LAINAT '!P32+'4. T7 LAINAT '!P33+'4. T7 LAINAT '!P34</f>
        <v>0</v>
      </c>
      <c r="K77" s="644">
        <f>'AT2 Lainat,sotum., alv-osto'!AJ14+'AT2 Lainat,sotum., alv-osto'!AJ28</f>
        <v>0</v>
      </c>
      <c r="M77" s="378"/>
      <c r="N77" s="320"/>
      <c r="O77" s="320"/>
      <c r="P77" s="320"/>
      <c r="Q77" s="320"/>
      <c r="R77" s="320"/>
      <c r="S77" s="320"/>
      <c r="T77" s="320"/>
      <c r="U77" s="464"/>
    </row>
    <row r="78" spans="1:21">
      <c r="A78" s="51"/>
      <c r="B78" s="365"/>
      <c r="C78" s="1821" t="s">
        <v>712</v>
      </c>
      <c r="D78" s="1821"/>
      <c r="E78" s="1835"/>
      <c r="F78" s="663">
        <v>0</v>
      </c>
      <c r="G78" s="663">
        <v>0</v>
      </c>
      <c r="H78" s="663">
        <f t="shared" ref="H78:K79" si="12">G78</f>
        <v>0</v>
      </c>
      <c r="I78" s="663">
        <f t="shared" si="12"/>
        <v>0</v>
      </c>
      <c r="J78" s="663">
        <f t="shared" si="12"/>
        <v>0</v>
      </c>
      <c r="K78" s="664">
        <f t="shared" si="12"/>
        <v>0</v>
      </c>
      <c r="M78" s="1327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50"/>
      <c r="O78" s="450"/>
      <c r="P78" s="450"/>
      <c r="Q78" s="450"/>
      <c r="R78" s="450"/>
      <c r="S78" s="450"/>
      <c r="T78" s="450"/>
      <c r="U78" s="1355"/>
    </row>
    <row r="79" spans="1:21">
      <c r="A79"/>
      <c r="B79" s="365" t="s">
        <v>0</v>
      </c>
      <c r="C79" s="1821" t="s">
        <v>241</v>
      </c>
      <c r="D79" s="1821"/>
      <c r="E79" s="1835"/>
      <c r="F79" s="663">
        <v>0</v>
      </c>
      <c r="G79" s="663">
        <v>0</v>
      </c>
      <c r="H79" s="663">
        <f>G79</f>
        <v>0</v>
      </c>
      <c r="I79" s="663">
        <f t="shared" si="12"/>
        <v>0</v>
      </c>
      <c r="J79" s="663">
        <f t="shared" si="12"/>
        <v>0</v>
      </c>
      <c r="K79" s="664">
        <f t="shared" si="12"/>
        <v>0</v>
      </c>
      <c r="M79" s="378"/>
      <c r="N79" s="320"/>
      <c r="O79" s="320"/>
      <c r="P79" s="320"/>
      <c r="Q79" s="320"/>
      <c r="R79" s="320"/>
      <c r="S79" s="320"/>
      <c r="T79" s="320"/>
      <c r="U79" s="464"/>
    </row>
    <row r="80" spans="1:21">
      <c r="A80" s="51"/>
      <c r="B80" s="365" t="s">
        <v>0</v>
      </c>
      <c r="C80" s="225" t="s">
        <v>239</v>
      </c>
      <c r="D80" s="225"/>
      <c r="E80" s="228"/>
      <c r="F80" s="643">
        <f t="shared" ref="F80:K80" si="13">F81+F83</f>
        <v>0</v>
      </c>
      <c r="G80" s="643">
        <f t="shared" si="13"/>
        <v>0</v>
      </c>
      <c r="H80" s="643">
        <f t="shared" si="13"/>
        <v>0</v>
      </c>
      <c r="I80" s="643">
        <f t="shared" si="13"/>
        <v>0</v>
      </c>
      <c r="J80" s="920">
        <f t="shared" si="13"/>
        <v>0</v>
      </c>
      <c r="K80" s="644">
        <f t="shared" si="13"/>
        <v>0</v>
      </c>
      <c r="M80" s="378"/>
      <c r="N80" s="320"/>
      <c r="O80" s="320"/>
      <c r="P80" s="320"/>
      <c r="Q80" s="320"/>
      <c r="R80" s="320"/>
      <c r="S80" s="320"/>
      <c r="T80" s="320"/>
      <c r="U80" s="464"/>
    </row>
    <row r="81" spans="1:21">
      <c r="A81" s="2"/>
      <c r="B81" s="365"/>
      <c r="C81" s="225" t="s">
        <v>713</v>
      </c>
      <c r="D81" s="225"/>
      <c r="E81" s="228"/>
      <c r="F81" s="663">
        <v>0</v>
      </c>
      <c r="G81" s="663">
        <v>0</v>
      </c>
      <c r="H81" s="643">
        <f>'8. T4 RAHOITUSSUUN. '!H56</f>
        <v>0</v>
      </c>
      <c r="I81" s="643">
        <f>'8. T4 RAHOITUSSUUN. '!I56</f>
        <v>0</v>
      </c>
      <c r="J81" s="643">
        <f>'8. T4 RAHOITUSSUUN. '!J56</f>
        <v>0</v>
      </c>
      <c r="K81" s="644">
        <f>'8. T4 RAHOITUSSUUN. '!K56</f>
        <v>0</v>
      </c>
      <c r="M81" s="378"/>
      <c r="N81" s="320"/>
      <c r="O81" s="320"/>
      <c r="P81" s="320"/>
      <c r="Q81" s="320"/>
      <c r="R81" s="320"/>
      <c r="S81" s="320"/>
      <c r="T81" s="320"/>
      <c r="U81" s="464"/>
    </row>
    <row r="82" spans="1:21">
      <c r="A82" s="51"/>
      <c r="B82" s="365"/>
      <c r="C82" s="1863" t="s">
        <v>614</v>
      </c>
      <c r="D82" s="1863"/>
      <c r="E82" s="1864"/>
      <c r="F82" s="934">
        <f>'8. T4 RAHOITUSSUUN. '!F57</f>
        <v>0</v>
      </c>
      <c r="G82" s="934">
        <f>'8. T4 RAHOITUSSUUN. '!G57</f>
        <v>0</v>
      </c>
      <c r="H82" s="934">
        <f>'8. T4 RAHOITUSSUUN. '!H57</f>
        <v>0</v>
      </c>
      <c r="I82" s="934">
        <f>'8. T4 RAHOITUSSUUN. '!I57</f>
        <v>0</v>
      </c>
      <c r="J82" s="934">
        <f>'8. T4 RAHOITUSSUUN. '!J57</f>
        <v>0</v>
      </c>
      <c r="K82" s="935">
        <f>'8. T4 RAHOITUSSUUN. '!K57</f>
        <v>0</v>
      </c>
      <c r="M82" s="378"/>
      <c r="N82" s="320"/>
      <c r="O82" s="320"/>
      <c r="P82" s="320"/>
      <c r="Q82" s="320"/>
      <c r="R82" s="320"/>
      <c r="S82" s="320"/>
      <c r="T82" s="320"/>
      <c r="U82" s="464"/>
    </row>
    <row r="83" spans="1:21">
      <c r="B83" s="365"/>
      <c r="C83" s="225" t="s">
        <v>714</v>
      </c>
      <c r="D83" s="225"/>
      <c r="E83" s="228"/>
      <c r="F83" s="663">
        <v>0</v>
      </c>
      <c r="G83" s="663">
        <v>0</v>
      </c>
      <c r="H83" s="643">
        <f>'AT2 Lainat,sotum., alv-osto'!R43+'AT2 Lainat,sotum., alv-osto'!R44</f>
        <v>0</v>
      </c>
      <c r="I83" s="643">
        <f>'AT2 Lainat,sotum., alv-osto'!X40+'AT2 Lainat,sotum., alv-osto'!X44+'AT2 Lainat,sotum., alv-osto'!X47</f>
        <v>0</v>
      </c>
      <c r="J83" s="643">
        <f>'AT2 Lainat,sotum., alv-osto'!AD40+'AT2 Lainat,sotum., alv-osto'!AD44+'AT2 Lainat,sotum., alv-osto'!AD47+'AT2 Lainat,sotum., alv-osto'!AD50</f>
        <v>0</v>
      </c>
      <c r="K83" s="644">
        <f>'AT2 Lainat,sotum., alv-osto'!AJ40+'AT2 Lainat,sotum., alv-osto'!AJ44+'AT2 Lainat,sotum., alv-osto'!AJ47+'AT2 Lainat,sotum., alv-osto'!AJ50+'AT2 Lainat,sotum., alv-osto'!AJ53</f>
        <v>0</v>
      </c>
      <c r="M83" s="378"/>
      <c r="N83" s="320"/>
      <c r="O83" s="320"/>
      <c r="P83" s="320"/>
      <c r="Q83" s="320"/>
      <c r="R83" s="320"/>
      <c r="S83" s="320"/>
      <c r="T83" s="320"/>
      <c r="U83" s="464"/>
    </row>
    <row r="84" spans="1:21">
      <c r="B84" s="365"/>
      <c r="C84" s="1821" t="s">
        <v>242</v>
      </c>
      <c r="D84" s="1821"/>
      <c r="E84" s="1835"/>
      <c r="F84" s="643">
        <f t="shared" ref="F84:K84" si="14">F85+F87+F88+F90</f>
        <v>0</v>
      </c>
      <c r="G84" s="643">
        <f t="shared" si="14"/>
        <v>0</v>
      </c>
      <c r="H84" s="643">
        <f t="shared" si="14"/>
        <v>0</v>
      </c>
      <c r="I84" s="643">
        <f t="shared" si="14"/>
        <v>0</v>
      </c>
      <c r="J84" s="920">
        <f t="shared" si="14"/>
        <v>0</v>
      </c>
      <c r="K84" s="644">
        <f t="shared" si="14"/>
        <v>0</v>
      </c>
      <c r="M84" s="378"/>
      <c r="N84" s="320"/>
      <c r="O84" s="320"/>
      <c r="P84" s="320"/>
      <c r="Q84" s="320"/>
      <c r="R84" s="320"/>
      <c r="S84" s="320"/>
      <c r="T84" s="320"/>
      <c r="U84" s="464"/>
    </row>
    <row r="85" spans="1:21" ht="36" customHeight="1">
      <c r="B85" s="365"/>
      <c r="C85" s="1867" t="s">
        <v>563</v>
      </c>
      <c r="D85" s="1867"/>
      <c r="E85" s="1868"/>
      <c r="F85" s="697">
        <v>0</v>
      </c>
      <c r="G85" s="697">
        <v>0</v>
      </c>
      <c r="H85" s="728">
        <f>H86*('5. E1 KUSTANNUKSET '!F13+'5. E1 KUSTANNUKSET '!F14+'5. E1 KUSTANNUKSET '!F22/12+'5. E1 KUSTANNUKSET '!F17/12+'5. E1 KUSTANNUKSET '!F24/12+'5. E1 KUSTANNUKSET '!F28/12)</f>
        <v>0</v>
      </c>
      <c r="I85" s="728">
        <f>I86*('5. E1 KUSTANNUKSET '!H13+'5. E1 KUSTANNUKSET '!H14+'5. E1 KUSTANNUKSET '!H22/12+'5. E1 KUSTANNUKSET '!H17/12+'5. E1 KUSTANNUKSET '!H24/12+'5. E1 KUSTANNUKSET '!H28/12)</f>
        <v>0</v>
      </c>
      <c r="J85" s="728">
        <f>J86*('5. E1 KUSTANNUKSET '!J13+'5. E1 KUSTANNUKSET '!J14+'5. E1 KUSTANNUKSET '!J22/12+'5. E1 KUSTANNUKSET '!J17/12+'5. E1 KUSTANNUKSET '!J24/12+'5. E1 KUSTANNUKSET '!J28/12)</f>
        <v>0</v>
      </c>
      <c r="K85" s="644">
        <f>K86*('5. E1 KUSTANNUKSET '!L13+'5. E1 KUSTANNUKSET '!L14+'5. E1 KUSTANNUKSET '!L22/12+'5. E1 KUSTANNUKSET '!L17/12+'5. E1 KUSTANNUKSET '!L24/12+'5. E1 KUSTANNUKSET '!L28/12)</f>
        <v>0</v>
      </c>
      <c r="M85" s="378"/>
      <c r="N85" s="320"/>
      <c r="O85" s="320"/>
      <c r="P85" s="320"/>
      <c r="Q85" s="320"/>
      <c r="R85" s="320"/>
      <c r="S85" s="320"/>
      <c r="T85" s="320"/>
      <c r="U85" s="464"/>
    </row>
    <row r="86" spans="1:21">
      <c r="B86" s="365"/>
      <c r="C86" s="1833" t="s">
        <v>611</v>
      </c>
      <c r="D86" s="1833"/>
      <c r="E86" s="1834"/>
      <c r="F86" s="936"/>
      <c r="G86" s="936"/>
      <c r="H86" s="1021">
        <v>0.25</v>
      </c>
      <c r="I86" s="1021">
        <f>H86</f>
        <v>0.25</v>
      </c>
      <c r="J86" s="1021">
        <f>I86</f>
        <v>0.25</v>
      </c>
      <c r="K86" s="1022">
        <f>J86</f>
        <v>0.25</v>
      </c>
      <c r="M86" s="378"/>
      <c r="N86" s="320"/>
      <c r="O86" s="320"/>
      <c r="P86" s="320"/>
      <c r="Q86" s="320" t="s">
        <v>0</v>
      </c>
      <c r="R86" s="320"/>
      <c r="S86" s="320"/>
      <c r="T86" s="320"/>
      <c r="U86" s="464"/>
    </row>
    <row r="87" spans="1:21">
      <c r="B87" s="365"/>
      <c r="C87" s="983" t="s">
        <v>715</v>
      </c>
      <c r="D87" s="983"/>
      <c r="E87" s="983"/>
      <c r="F87" s="697">
        <v>0</v>
      </c>
      <c r="G87" s="697">
        <v>0</v>
      </c>
      <c r="H87" s="728">
        <f>'9. T5 KASSABUDJETTI  '!AD24*('5. E1 KUSTANNUKSET '!F13+'5. E1 KUSTANNUKSET '!F14+'5. E1 KUSTANNUKSET '!F17/12+'5. E1 KUSTANNUKSET '!F22/12+'5. E1 KUSTANNUKSET '!F24/12+'5. E1 KUSTANNUKSET '!F28/12)</f>
        <v>0</v>
      </c>
      <c r="I87" s="728">
        <f>'9. T5 KASSABUDJETTI  '!AD24*('5. E1 KUSTANNUKSET '!H13+'5. E1 KUSTANNUKSET '!H14+'5. E1 KUSTANNUKSET '!H17/12+'5. E1 KUSTANNUKSET '!H22/12+'5. E1 KUSTANNUKSET '!H24/12+'5. E1 KUSTANNUKSET '!H28/12)</f>
        <v>0</v>
      </c>
      <c r="J87" s="728">
        <f>'9. T5 KASSABUDJETTI  '!AD24*('5. E1 KUSTANNUKSET '!J13+'5. E1 KUSTANNUKSET '!J14+'5. E1 KUSTANNUKSET '!J17/12+'5. E1 KUSTANNUKSET '!J22/12+'5. E1 KUSTANNUKSET '!J24/12+'5. E1 KUSTANNUKSET '!J28/12)</f>
        <v>0</v>
      </c>
      <c r="K87" s="644">
        <f>'9. T5 KASSABUDJETTI  '!AD24*('5. E1 KUSTANNUKSET '!L13+'5. E1 KUSTANNUKSET '!L14+'5. E1 KUSTANNUKSET '!L17/12+'5. E1 KUSTANNUKSET '!L22/12+'5. E1 KUSTANNUKSET '!L24/12+'5. E1 KUSTANNUKSET '!L28/12)</f>
        <v>0</v>
      </c>
      <c r="M87" s="378"/>
      <c r="N87" s="320"/>
      <c r="O87" s="320"/>
      <c r="P87" s="320"/>
      <c r="Q87" s="320"/>
      <c r="R87" s="320"/>
      <c r="S87" s="320"/>
      <c r="T87" s="320"/>
      <c r="U87" s="464"/>
    </row>
    <row r="88" spans="1:21">
      <c r="B88" s="365"/>
      <c r="C88" s="1821" t="s">
        <v>716</v>
      </c>
      <c r="D88" s="1821"/>
      <c r="E88" s="1821"/>
      <c r="F88" s="697">
        <v>0</v>
      </c>
      <c r="G88" s="697">
        <v>0</v>
      </c>
      <c r="H88" s="728">
        <f>IF('2. &amp; 7. T2 TULOSSUUN. '!I11=0,0,'2. &amp; 7. T2 TULOSSUUN. '!I11*'3. T3 TASE '!H89)</f>
        <v>0</v>
      </c>
      <c r="I88" s="728">
        <f>IF('2. &amp; 7. T2 TULOSSUUN. '!K11=0,0,'2. &amp; 7. T2 TULOSSUUN. '!K11*'3. T3 TASE '!I89)</f>
        <v>0</v>
      </c>
      <c r="J88" s="728">
        <f>IF('2. &amp; 7. T2 TULOSSUUN. '!M11=0,0,'2. &amp; 7. T2 TULOSSUUN. '!M11*'3. T3 TASE '!J89)</f>
        <v>0</v>
      </c>
      <c r="K88" s="644">
        <f>IF('2. &amp; 7. T2 TULOSSUUN. '!O11=0,0,'2. &amp; 7. T2 TULOSSUUN. '!O11*'3. T3 TASE '!K89)</f>
        <v>0</v>
      </c>
      <c r="M88" s="378"/>
      <c r="N88" s="320"/>
      <c r="O88" s="320"/>
      <c r="P88" s="320"/>
      <c r="Q88" s="320"/>
      <c r="R88" s="320"/>
      <c r="S88" s="320"/>
      <c r="T88" s="320"/>
      <c r="U88" s="464"/>
    </row>
    <row r="89" spans="1:21">
      <c r="A89"/>
      <c r="B89" s="365"/>
      <c r="C89" s="1833" t="s">
        <v>613</v>
      </c>
      <c r="D89" s="1833"/>
      <c r="E89" s="1834"/>
      <c r="F89" s="954">
        <f>IF('2. &amp; 7. T2 TULOSSUUN. '!E11=0,0,F88/'2. &amp; 7. T2 TULOSSUUN. '!E11)</f>
        <v>0</v>
      </c>
      <c r="G89" s="954">
        <f>IF('2. &amp; 7. T2 TULOSSUUN. '!G11=0,0,G88/'2. &amp; 7. T2 TULOSSUUN. '!G11)</f>
        <v>0</v>
      </c>
      <c r="H89" s="1018">
        <f>G89</f>
        <v>0</v>
      </c>
      <c r="I89" s="1018">
        <f t="shared" ref="H89:K90" si="15">H89</f>
        <v>0</v>
      </c>
      <c r="J89" s="1018">
        <f t="shared" si="15"/>
        <v>0</v>
      </c>
      <c r="K89" s="1020">
        <f t="shared" si="15"/>
        <v>0</v>
      </c>
      <c r="M89" s="378"/>
      <c r="N89" s="320"/>
      <c r="O89" s="320"/>
      <c r="P89" s="320"/>
      <c r="Q89" s="320"/>
      <c r="R89" s="320"/>
      <c r="S89" s="320"/>
      <c r="T89" s="320"/>
      <c r="U89" s="464"/>
    </row>
    <row r="90" spans="1:21">
      <c r="A90" s="6"/>
      <c r="B90" s="365"/>
      <c r="C90" s="1821" t="s">
        <v>717</v>
      </c>
      <c r="D90" s="1821"/>
      <c r="E90" s="1821"/>
      <c r="F90" s="697">
        <v>0</v>
      </c>
      <c r="G90" s="697">
        <v>0</v>
      </c>
      <c r="H90" s="697">
        <f t="shared" si="15"/>
        <v>0</v>
      </c>
      <c r="I90" s="697">
        <f t="shared" si="15"/>
        <v>0</v>
      </c>
      <c r="J90" s="697">
        <f t="shared" si="15"/>
        <v>0</v>
      </c>
      <c r="K90" s="664">
        <f t="shared" si="15"/>
        <v>0</v>
      </c>
      <c r="M90" s="378"/>
      <c r="N90" s="320"/>
      <c r="O90" s="320"/>
      <c r="P90" s="320"/>
      <c r="Q90" s="320"/>
      <c r="R90" s="320"/>
      <c r="S90" s="320"/>
      <c r="T90" s="320"/>
      <c r="U90" s="464"/>
    </row>
    <row r="91" spans="1:21" s="1" customFormat="1">
      <c r="B91" s="365" t="s">
        <v>0</v>
      </c>
      <c r="C91" s="225" t="s">
        <v>243</v>
      </c>
      <c r="D91" s="230"/>
      <c r="E91" s="1643"/>
      <c r="F91" s="955">
        <f t="shared" ref="F91:K91" si="16">F93+F92+F94</f>
        <v>0</v>
      </c>
      <c r="G91" s="955">
        <f t="shared" si="16"/>
        <v>0</v>
      </c>
      <c r="H91" s="955">
        <f t="shared" si="16"/>
        <v>0</v>
      </c>
      <c r="I91" s="955">
        <f t="shared" si="16"/>
        <v>0</v>
      </c>
      <c r="J91" s="955">
        <f t="shared" si="16"/>
        <v>0</v>
      </c>
      <c r="K91" s="956">
        <f t="shared" si="16"/>
        <v>0</v>
      </c>
      <c r="M91" s="378"/>
      <c r="N91" s="320"/>
      <c r="O91" s="320"/>
      <c r="P91" s="320"/>
      <c r="Q91" s="320"/>
      <c r="R91" s="320"/>
      <c r="S91" s="320"/>
      <c r="T91" s="320"/>
      <c r="U91" s="464"/>
    </row>
    <row r="92" spans="1:21" s="1" customFormat="1">
      <c r="B92" s="365"/>
      <c r="C92" s="1821" t="s">
        <v>718</v>
      </c>
      <c r="D92" s="1821"/>
      <c r="E92" s="1821"/>
      <c r="F92" s="663">
        <v>0</v>
      </c>
      <c r="G92" s="663">
        <v>0</v>
      </c>
      <c r="H92" s="697">
        <v>0</v>
      </c>
      <c r="I92" s="697">
        <v>0</v>
      </c>
      <c r="J92" s="697">
        <v>0</v>
      </c>
      <c r="K92" s="664">
        <v>0</v>
      </c>
      <c r="M92" s="1356" t="s">
        <v>0</v>
      </c>
      <c r="N92" s="1357"/>
      <c r="O92" s="1357"/>
      <c r="P92" s="1357"/>
      <c r="Q92" s="1357"/>
      <c r="R92" s="1358"/>
      <c r="S92" s="1357"/>
      <c r="T92" s="1357"/>
      <c r="U92" s="1359"/>
    </row>
    <row r="93" spans="1:21" s="1" customFormat="1">
      <c r="B93" s="365"/>
      <c r="C93" s="1836" t="s">
        <v>719</v>
      </c>
      <c r="D93" s="1836"/>
      <c r="E93" s="1836"/>
      <c r="F93" s="663">
        <v>0</v>
      </c>
      <c r="G93" s="663">
        <v>0</v>
      </c>
      <c r="H93" s="663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663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663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664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378"/>
      <c r="N93" s="320"/>
      <c r="O93" s="320"/>
      <c r="P93" s="320"/>
      <c r="Q93" s="320"/>
      <c r="R93" s="320"/>
      <c r="S93" s="320"/>
      <c r="T93" s="320"/>
      <c r="U93" s="464"/>
    </row>
    <row r="94" spans="1:21" s="1" customFormat="1">
      <c r="B94" s="365"/>
      <c r="C94" s="225" t="s">
        <v>720</v>
      </c>
      <c r="D94" s="230"/>
      <c r="E94" s="1644"/>
      <c r="F94" s="663">
        <v>0</v>
      </c>
      <c r="G94" s="663">
        <v>0</v>
      </c>
      <c r="H94" s="728">
        <f>H93*H95</f>
        <v>0</v>
      </c>
      <c r="I94" s="728">
        <f>I93*I95</f>
        <v>0</v>
      </c>
      <c r="J94" s="728">
        <f>J93*J95</f>
        <v>0</v>
      </c>
      <c r="K94" s="644">
        <f>K93*K95</f>
        <v>0</v>
      </c>
      <c r="M94" s="378"/>
      <c r="N94" s="320"/>
      <c r="O94" s="320"/>
      <c r="P94" s="320"/>
      <c r="Q94" s="320"/>
      <c r="R94" s="320"/>
      <c r="S94" s="320"/>
      <c r="T94" s="320"/>
      <c r="U94" s="464"/>
    </row>
    <row r="95" spans="1:21" s="1" customFormat="1">
      <c r="B95" s="365"/>
      <c r="C95" s="1837" t="s">
        <v>612</v>
      </c>
      <c r="D95" s="1837"/>
      <c r="E95" s="1838"/>
      <c r="F95" s="936">
        <f>IF(F93=0,0,F94/F93)</f>
        <v>0</v>
      </c>
      <c r="G95" s="936">
        <f>IF(G93=0,0,G94/G93)</f>
        <v>0</v>
      </c>
      <c r="H95" s="1703">
        <v>0.19339999999999999</v>
      </c>
      <c r="I95" s="1703">
        <f>H95</f>
        <v>0.19339999999999999</v>
      </c>
      <c r="J95" s="1703">
        <f>I95</f>
        <v>0.19339999999999999</v>
      </c>
      <c r="K95" s="1704">
        <f>J95</f>
        <v>0.19339999999999999</v>
      </c>
      <c r="M95" s="378"/>
      <c r="N95" s="320"/>
      <c r="O95" s="320"/>
      <c r="P95" s="320"/>
      <c r="Q95" s="320"/>
      <c r="R95" s="320"/>
      <c r="S95" s="320"/>
      <c r="T95" s="320"/>
      <c r="U95" s="464"/>
    </row>
    <row r="96" spans="1:21" ht="12.9" thickBot="1">
      <c r="B96" s="1006"/>
      <c r="C96" s="1849" t="s">
        <v>250</v>
      </c>
      <c r="D96" s="1849"/>
      <c r="E96" s="1850"/>
      <c r="F96" s="930">
        <v>0</v>
      </c>
      <c r="G96" s="930">
        <v>0</v>
      </c>
      <c r="H96" s="930">
        <f>'8. T4 RAHOITUSSUUN. '!H58</f>
        <v>0</v>
      </c>
      <c r="I96" s="930">
        <f>'8. T4 RAHOITUSSUUN. '!I58</f>
        <v>0</v>
      </c>
      <c r="J96" s="1071">
        <f>'8. T4 RAHOITUSSUUN. '!J58</f>
        <v>0</v>
      </c>
      <c r="K96" s="931">
        <f>'8. T4 RAHOITUSSUUN. '!K58</f>
        <v>0</v>
      </c>
      <c r="M96" s="541"/>
      <c r="N96" s="465"/>
      <c r="O96" s="465"/>
      <c r="P96" s="465"/>
      <c r="Q96" s="465"/>
      <c r="R96" s="465"/>
      <c r="S96" s="465"/>
      <c r="T96" s="465"/>
      <c r="U96" s="467"/>
    </row>
    <row r="97" spans="1:21" ht="6" customHeight="1" thickBot="1">
      <c r="A97" s="6"/>
      <c r="B97" s="251"/>
      <c r="C97" s="252"/>
      <c r="D97" s="253"/>
      <c r="E97" s="254"/>
      <c r="F97" s="957"/>
      <c r="G97" s="957"/>
      <c r="H97" s="957"/>
      <c r="I97" s="957"/>
      <c r="J97" s="957"/>
      <c r="K97" s="957"/>
      <c r="L97" s="128"/>
      <c r="M97" s="128"/>
      <c r="N97" s="128"/>
      <c r="O97" s="128"/>
      <c r="P97" s="128"/>
      <c r="Q97" s="128"/>
      <c r="R97" s="128"/>
      <c r="S97" s="128"/>
      <c r="T97" s="128"/>
      <c r="U97" s="128"/>
    </row>
    <row r="98" spans="1:21" ht="12.9" thickBot="1">
      <c r="B98" s="255"/>
      <c r="C98" s="1839" t="s">
        <v>449</v>
      </c>
      <c r="D98" s="1839"/>
      <c r="E98" s="1839"/>
      <c r="F98" s="958">
        <f t="shared" ref="F98:K98" si="17">F56+F62+F66+F67+F75</f>
        <v>0</v>
      </c>
      <c r="G98" s="958">
        <f t="shared" si="17"/>
        <v>0</v>
      </c>
      <c r="H98" s="958">
        <f t="shared" si="17"/>
        <v>0</v>
      </c>
      <c r="I98" s="958">
        <f t="shared" si="17"/>
        <v>0</v>
      </c>
      <c r="J98" s="958">
        <f t="shared" si="17"/>
        <v>0</v>
      </c>
      <c r="K98" s="959">
        <f t="shared" si="17"/>
        <v>0</v>
      </c>
      <c r="L98" s="128"/>
      <c r="M98" s="221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28"/>
      <c r="O98" s="128"/>
      <c r="P98" s="128"/>
      <c r="Q98" s="128"/>
      <c r="R98" s="128"/>
      <c r="S98" s="128"/>
      <c r="T98" s="128"/>
      <c r="U98" s="128"/>
    </row>
    <row r="99" spans="1:21">
      <c r="B99" s="256"/>
      <c r="C99" s="257"/>
      <c r="D99" s="512"/>
      <c r="E99" s="258"/>
      <c r="F99" s="258"/>
      <c r="G99" s="259"/>
      <c r="H99" s="259"/>
      <c r="I99" s="259"/>
      <c r="J99" s="259"/>
      <c r="K99" s="259"/>
      <c r="L99" s="128"/>
      <c r="N99" s="128"/>
      <c r="O99" s="128"/>
      <c r="P99" s="128"/>
      <c r="Q99" s="128"/>
      <c r="R99" s="128"/>
      <c r="S99" s="128"/>
      <c r="T99" s="128"/>
      <c r="U99" s="128"/>
    </row>
    <row r="100" spans="1:21">
      <c r="B100" s="260">
        <f>'1. T1 INVESTOINTISUUN.'!B66</f>
        <v>0</v>
      </c>
      <c r="C100" s="128"/>
      <c r="D100" s="128"/>
      <c r="E100" s="128"/>
      <c r="F100" s="128"/>
      <c r="G100" s="128"/>
      <c r="H100" s="128"/>
      <c r="I100" s="1819" t="str">
        <f>OHJE!I5</f>
        <v>Yritystulkin tarjoaa</v>
      </c>
      <c r="J100" s="1819"/>
      <c r="K100" s="1819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</row>
    <row r="101" spans="1:21">
      <c r="B101" s="74" t="str">
        <f>'1. T1 INVESTOINTISUUN.'!B67</f>
        <v>YT22 Toimivan yrityksen tulossuunnitelma</v>
      </c>
      <c r="G101" s="1746" t="str">
        <f>OHJE!H7</f>
        <v>Alavuden Kehitys Oy</v>
      </c>
      <c r="H101" s="1746"/>
      <c r="I101" s="1746"/>
      <c r="J101" s="1746"/>
      <c r="K101" s="1746"/>
    </row>
    <row r="102" spans="1:21">
      <c r="B102" s="1739"/>
      <c r="C102" s="1739"/>
      <c r="D102" s="1739"/>
      <c r="E102" s="1739"/>
      <c r="G102" s="533"/>
      <c r="H102" s="533"/>
      <c r="I102" s="533"/>
      <c r="J102" s="533"/>
      <c r="K102" s="533"/>
    </row>
    <row r="104" spans="1:21">
      <c r="B104" s="396" t="s">
        <v>332</v>
      </c>
    </row>
    <row r="105" spans="1:21">
      <c r="B105" s="50" t="s">
        <v>333</v>
      </c>
    </row>
    <row r="106" spans="1:21">
      <c r="B106" s="50" t="s">
        <v>334</v>
      </c>
    </row>
  </sheetData>
  <sheetProtection algorithmName="SHA-512" hashValue="2PJaQ9noxNpVIffO8vuWpdCoUasKmM1NQ40dZIgCOkEerAwHibxJiNxVAlqdhMEHPCWtzaVm7x/CI7IVcGjBtw==" saltValue="2XRiEvR3Ukf3MhTYjdcMNA==" spinCount="100000" sheet="1" objects="1" scenarios="1"/>
  <mergeCells count="54">
    <mergeCell ref="C86:E86"/>
    <mergeCell ref="C82:E82"/>
    <mergeCell ref="C45:E45"/>
    <mergeCell ref="C78:E78"/>
    <mergeCell ref="C85:E85"/>
    <mergeCell ref="C61:E61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ignoredErrors>
    <ignoredError sqref="H17:K17 H25:I25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8"/>
  <sheetViews>
    <sheetView showGridLines="0" showZeros="0" defaultGridColor="0" colorId="55" zoomScaleNormal="100" workbookViewId="0">
      <selection activeCell="B11" sqref="B11"/>
    </sheetView>
  </sheetViews>
  <sheetFormatPr defaultRowHeight="12.45"/>
  <cols>
    <col min="1" max="1" width="8.3046875" customWidth="1"/>
    <col min="2" max="2" width="26.69140625" customWidth="1"/>
    <col min="3" max="3" width="10.53515625" customWidth="1"/>
    <col min="4" max="4" width="6.07421875" customWidth="1"/>
    <col min="5" max="5" width="7.53515625" customWidth="1"/>
    <col min="6" max="17" width="8.84375" customWidth="1"/>
    <col min="18" max="18" width="6.3046875" customWidth="1"/>
  </cols>
  <sheetData>
    <row r="1" spans="1:17" ht="13.4" customHeight="1">
      <c r="A1" s="388"/>
    </row>
    <row r="2" spans="1:17" ht="14.15">
      <c r="A2" s="389"/>
      <c r="B2" s="1047" t="s">
        <v>445</v>
      </c>
      <c r="C2" s="1"/>
      <c r="D2" s="1"/>
      <c r="E2" s="5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" customHeight="1">
      <c r="A3" s="390"/>
      <c r="B3" s="1"/>
      <c r="C3" s="1"/>
      <c r="D3" s="1"/>
      <c r="E3" s="68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0" customFormat="1" ht="16.5" customHeight="1">
      <c r="A4" s="1526" t="s">
        <v>740</v>
      </c>
      <c r="B4" s="43" t="s">
        <v>685</v>
      </c>
      <c r="C4" s="43"/>
      <c r="D4" s="43"/>
      <c r="E4" s="43"/>
      <c r="F4" s="43" t="s">
        <v>521</v>
      </c>
      <c r="G4" s="43"/>
      <c r="H4" s="43" t="s">
        <v>0</v>
      </c>
      <c r="J4" s="43" t="s">
        <v>520</v>
      </c>
      <c r="K4" s="43"/>
      <c r="L4" s="43" t="s">
        <v>0</v>
      </c>
      <c r="M4" s="43"/>
      <c r="N4" s="43"/>
      <c r="O4" s="43" t="s">
        <v>93</v>
      </c>
      <c r="P4" s="43"/>
      <c r="Q4" s="43"/>
    </row>
    <row r="5" spans="1:17">
      <c r="B5" s="1859">
        <f>'2. &amp; 7. T2 TULOSSUUN. '!B5</f>
        <v>0</v>
      </c>
      <c r="C5" s="1859"/>
      <c r="D5" s="1859"/>
      <c r="E5" s="42"/>
      <c r="F5" s="547">
        <f>'1. T1 INVESTOINTISUUN.'!E7</f>
        <v>0</v>
      </c>
      <c r="G5" s="546"/>
      <c r="H5" s="546"/>
      <c r="J5" s="547">
        <f>'1. T1 INVESTOINTISUUN.'!B9</f>
        <v>0</v>
      </c>
      <c r="K5" s="546"/>
      <c r="L5" s="546"/>
      <c r="M5" s="546"/>
      <c r="N5" s="553"/>
      <c r="O5" s="1911">
        <f>'1. T1 INVESTOINTISUUN.'!E4</f>
        <v>0</v>
      </c>
      <c r="P5" s="1911"/>
      <c r="Q5" s="687"/>
    </row>
    <row r="6" spans="1:17" ht="9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7" customHeight="1" thickBot="1">
      <c r="B7" s="1897" t="s">
        <v>390</v>
      </c>
      <c r="C7" s="1912" t="s">
        <v>197</v>
      </c>
      <c r="D7" s="1912" t="s">
        <v>706</v>
      </c>
      <c r="E7" s="1913" t="s">
        <v>123</v>
      </c>
      <c r="F7" s="78" t="s">
        <v>700</v>
      </c>
      <c r="G7" s="1423"/>
      <c r="H7" s="1423"/>
      <c r="I7" s="1423"/>
      <c r="J7" s="1423"/>
      <c r="K7" s="1423"/>
      <c r="L7" s="1423"/>
      <c r="M7" s="1423"/>
      <c r="N7" s="1424"/>
      <c r="O7" s="1423"/>
      <c r="P7" s="1423"/>
      <c r="Q7" s="1425"/>
    </row>
    <row r="8" spans="1:17" ht="10.95" customHeight="1">
      <c r="A8" s="51"/>
      <c r="B8" s="1898"/>
      <c r="C8" s="1900"/>
      <c r="D8" s="1900"/>
      <c r="E8" s="1903"/>
      <c r="F8" s="1873" t="s">
        <v>99</v>
      </c>
      <c r="G8" s="1874"/>
      <c r="H8" s="1910"/>
      <c r="I8" s="1873" t="s">
        <v>98</v>
      </c>
      <c r="J8" s="1874"/>
      <c r="K8" s="1910"/>
      <c r="L8" s="1873" t="s">
        <v>100</v>
      </c>
      <c r="M8" s="1874"/>
      <c r="N8" s="1910"/>
      <c r="O8" s="1873" t="s">
        <v>257</v>
      </c>
      <c r="P8" s="1874"/>
      <c r="Q8" s="1875"/>
    </row>
    <row r="9" spans="1:17" ht="10.95" customHeight="1">
      <c r="B9" s="1898"/>
      <c r="C9" s="1900"/>
      <c r="D9" s="1900"/>
      <c r="E9" s="1903"/>
      <c r="F9" s="1885">
        <f>'2. &amp; 7. T2 TULOSSUUN. '!I8</f>
        <v>2025</v>
      </c>
      <c r="G9" s="1877"/>
      <c r="H9" s="1886"/>
      <c r="I9" s="1885">
        <f>'2. &amp; 7. T2 TULOSSUUN. '!K8</f>
        <v>2026</v>
      </c>
      <c r="J9" s="1877"/>
      <c r="K9" s="1886"/>
      <c r="L9" s="1885">
        <f>'2. &amp; 7. T2 TULOSSUUN. '!M8</f>
        <v>2027</v>
      </c>
      <c r="M9" s="1877"/>
      <c r="N9" s="1886"/>
      <c r="O9" s="1876">
        <f>'2. &amp; 7. T2 TULOSSUUN. '!O8</f>
        <v>2028</v>
      </c>
      <c r="P9" s="1877"/>
      <c r="Q9" s="1878"/>
    </row>
    <row r="10" spans="1:17" ht="18" customHeight="1" thickBot="1">
      <c r="A10" s="51"/>
      <c r="B10" s="1426" t="s">
        <v>124</v>
      </c>
      <c r="C10" s="1901"/>
      <c r="D10" s="1901"/>
      <c r="E10" s="1904"/>
      <c r="F10" s="1879" t="s">
        <v>125</v>
      </c>
      <c r="G10" s="1880"/>
      <c r="H10" s="1041" t="s">
        <v>126</v>
      </c>
      <c r="I10" s="1879" t="s">
        <v>125</v>
      </c>
      <c r="J10" s="1880"/>
      <c r="K10" s="1041" t="s">
        <v>126</v>
      </c>
      <c r="L10" s="1879" t="s">
        <v>125</v>
      </c>
      <c r="M10" s="1880"/>
      <c r="N10" s="1041" t="s">
        <v>126</v>
      </c>
      <c r="O10" s="1879" t="s">
        <v>125</v>
      </c>
      <c r="P10" s="1880"/>
      <c r="Q10" s="1426" t="s">
        <v>126</v>
      </c>
    </row>
    <row r="11" spans="1:17" s="51" customFormat="1" ht="11.7" customHeight="1">
      <c r="A11" s="2"/>
      <c r="B11" s="1427" t="s">
        <v>608</v>
      </c>
      <c r="C11" s="567">
        <v>0</v>
      </c>
      <c r="D11" s="418">
        <v>0</v>
      </c>
      <c r="E11" s="568">
        <v>0</v>
      </c>
      <c r="F11" s="1908">
        <v>0</v>
      </c>
      <c r="G11" s="1909"/>
      <c r="H11" s="562">
        <f>IF(C11=0,0,($C11+F11-F11/4)*$E11)</f>
        <v>0</v>
      </c>
      <c r="I11" s="1881">
        <f t="shared" ref="I11:I17" si="0">IF(D11=0,0,IF(D11&lt;2,C11,(C11)/(D11-1)))</f>
        <v>0</v>
      </c>
      <c r="J11" s="1882"/>
      <c r="K11" s="563">
        <f t="shared" ref="K11:K17" si="1">IF(I11=0,0,($C11-I11/4)*$E11)</f>
        <v>0</v>
      </c>
      <c r="L11" s="1881">
        <f t="shared" ref="L11:L17" si="2">IF(D11=0,0,IF($C11-$I11&gt;I11,I11,$C11-$I11))</f>
        <v>0</v>
      </c>
      <c r="M11" s="1882"/>
      <c r="N11" s="563">
        <f t="shared" ref="N11:N17" si="3">IF(L11=0,0,($C11-I11-L11/4)*$E11)</f>
        <v>0</v>
      </c>
      <c r="O11" s="1881">
        <f t="shared" ref="O11:O17" si="4">IF(D11=0,0,IF($C11-$I11-L11&gt;L11,L11,$C11-$I11-L11))</f>
        <v>0</v>
      </c>
      <c r="P11" s="1882"/>
      <c r="Q11" s="1428">
        <f t="shared" ref="Q11:Q17" si="5">IF(O11=0,0,($C11-I11-L11-O11/4)*$E11)</f>
        <v>0</v>
      </c>
    </row>
    <row r="12" spans="1:17" s="51" customFormat="1" ht="11.7" customHeight="1">
      <c r="B12" s="1429">
        <v>0</v>
      </c>
      <c r="C12" s="569">
        <v>0</v>
      </c>
      <c r="D12" s="419">
        <v>0</v>
      </c>
      <c r="E12" s="570">
        <v>0</v>
      </c>
      <c r="F12" s="1887">
        <v>0</v>
      </c>
      <c r="G12" s="1888"/>
      <c r="H12" s="564">
        <f>IF(C12=0,0,($C12+F12-F12/4)*$E12)</f>
        <v>0</v>
      </c>
      <c r="I12" s="1883">
        <f t="shared" si="0"/>
        <v>0</v>
      </c>
      <c r="J12" s="1884"/>
      <c r="K12" s="564">
        <f t="shared" si="1"/>
        <v>0</v>
      </c>
      <c r="L12" s="1883">
        <f t="shared" si="2"/>
        <v>0</v>
      </c>
      <c r="M12" s="1884"/>
      <c r="N12" s="564">
        <f t="shared" si="3"/>
        <v>0</v>
      </c>
      <c r="O12" s="1883">
        <f t="shared" si="4"/>
        <v>0</v>
      </c>
      <c r="P12" s="1884"/>
      <c r="Q12" s="1145">
        <f t="shared" si="5"/>
        <v>0</v>
      </c>
    </row>
    <row r="13" spans="1:17" s="51" customFormat="1" ht="11.7" customHeight="1">
      <c r="A13"/>
      <c r="B13" s="1429">
        <v>0</v>
      </c>
      <c r="C13" s="569">
        <v>0</v>
      </c>
      <c r="D13" s="419">
        <v>0</v>
      </c>
      <c r="E13" s="570">
        <v>0</v>
      </c>
      <c r="F13" s="1887">
        <v>0</v>
      </c>
      <c r="G13" s="1888"/>
      <c r="H13" s="564">
        <f t="shared" ref="H13:H17" si="6">IF(C13=0,0,($C13+F13-F13/4)*$E13)</f>
        <v>0</v>
      </c>
      <c r="I13" s="1883">
        <f t="shared" si="0"/>
        <v>0</v>
      </c>
      <c r="J13" s="1884"/>
      <c r="K13" s="564">
        <f t="shared" si="1"/>
        <v>0</v>
      </c>
      <c r="L13" s="1883">
        <f t="shared" si="2"/>
        <v>0</v>
      </c>
      <c r="M13" s="1884"/>
      <c r="N13" s="564">
        <f t="shared" si="3"/>
        <v>0</v>
      </c>
      <c r="O13" s="1893">
        <f t="shared" si="4"/>
        <v>0</v>
      </c>
      <c r="P13" s="1894"/>
      <c r="Q13" s="1430">
        <f t="shared" si="5"/>
        <v>0</v>
      </c>
    </row>
    <row r="14" spans="1:17" s="51" customFormat="1" ht="11.7" customHeight="1">
      <c r="B14" s="1429">
        <v>0</v>
      </c>
      <c r="C14" s="569">
        <v>0</v>
      </c>
      <c r="D14" s="419">
        <v>0</v>
      </c>
      <c r="E14" s="570">
        <v>0</v>
      </c>
      <c r="F14" s="1887">
        <v>0</v>
      </c>
      <c r="G14" s="1888"/>
      <c r="H14" s="564">
        <f t="shared" si="6"/>
        <v>0</v>
      </c>
      <c r="I14" s="1883">
        <f t="shared" si="0"/>
        <v>0</v>
      </c>
      <c r="J14" s="1884"/>
      <c r="K14" s="564">
        <f t="shared" si="1"/>
        <v>0</v>
      </c>
      <c r="L14" s="1883">
        <f t="shared" si="2"/>
        <v>0</v>
      </c>
      <c r="M14" s="1884"/>
      <c r="N14" s="564">
        <f t="shared" si="3"/>
        <v>0</v>
      </c>
      <c r="O14" s="1893">
        <f t="shared" si="4"/>
        <v>0</v>
      </c>
      <c r="P14" s="1894"/>
      <c r="Q14" s="1430">
        <f t="shared" si="5"/>
        <v>0</v>
      </c>
    </row>
    <row r="15" spans="1:17" s="51" customFormat="1" ht="11.7" customHeight="1">
      <c r="A15"/>
      <c r="B15" s="1429">
        <v>0</v>
      </c>
      <c r="C15" s="569">
        <v>0</v>
      </c>
      <c r="D15" s="419">
        <v>0</v>
      </c>
      <c r="E15" s="570">
        <v>0</v>
      </c>
      <c r="F15" s="1887">
        <v>0</v>
      </c>
      <c r="G15" s="1888"/>
      <c r="H15" s="564">
        <f t="shared" si="6"/>
        <v>0</v>
      </c>
      <c r="I15" s="1883">
        <f t="shared" si="0"/>
        <v>0</v>
      </c>
      <c r="J15" s="1884"/>
      <c r="K15" s="564">
        <f t="shared" si="1"/>
        <v>0</v>
      </c>
      <c r="L15" s="1883">
        <f t="shared" si="2"/>
        <v>0</v>
      </c>
      <c r="M15" s="1884"/>
      <c r="N15" s="564">
        <f t="shared" si="3"/>
        <v>0</v>
      </c>
      <c r="O15" s="1883">
        <f t="shared" si="4"/>
        <v>0</v>
      </c>
      <c r="P15" s="1884"/>
      <c r="Q15" s="1145">
        <f t="shared" si="5"/>
        <v>0</v>
      </c>
    </row>
    <row r="16" spans="1:17" s="51" customFormat="1" ht="11.7" customHeight="1">
      <c r="B16" s="1429">
        <v>0</v>
      </c>
      <c r="C16" s="569">
        <v>0</v>
      </c>
      <c r="D16" s="419">
        <v>0</v>
      </c>
      <c r="E16" s="570">
        <v>0</v>
      </c>
      <c r="F16" s="1887">
        <v>0</v>
      </c>
      <c r="G16" s="1888"/>
      <c r="H16" s="564">
        <f t="shared" si="6"/>
        <v>0</v>
      </c>
      <c r="I16" s="1883">
        <f t="shared" si="0"/>
        <v>0</v>
      </c>
      <c r="J16" s="1884"/>
      <c r="K16" s="564">
        <f t="shared" si="1"/>
        <v>0</v>
      </c>
      <c r="L16" s="1883">
        <f t="shared" si="2"/>
        <v>0</v>
      </c>
      <c r="M16" s="1884"/>
      <c r="N16" s="564">
        <f t="shared" si="3"/>
        <v>0</v>
      </c>
      <c r="O16" s="1883">
        <f t="shared" si="4"/>
        <v>0</v>
      </c>
      <c r="P16" s="1884"/>
      <c r="Q16" s="1145">
        <f t="shared" si="5"/>
        <v>0</v>
      </c>
    </row>
    <row r="17" spans="1:19" s="51" customFormat="1" ht="11.7" customHeight="1" thickBot="1">
      <c r="A17" s="2"/>
      <c r="B17" s="1431" t="s">
        <v>609</v>
      </c>
      <c r="C17" s="571">
        <v>0</v>
      </c>
      <c r="D17" s="420">
        <v>0</v>
      </c>
      <c r="E17" s="572">
        <v>0</v>
      </c>
      <c r="F17" s="1906">
        <v>0</v>
      </c>
      <c r="G17" s="1907"/>
      <c r="H17" s="564">
        <f t="shared" si="6"/>
        <v>0</v>
      </c>
      <c r="I17" s="1869">
        <f t="shared" si="0"/>
        <v>0</v>
      </c>
      <c r="J17" s="1870"/>
      <c r="K17" s="565">
        <f t="shared" si="1"/>
        <v>0</v>
      </c>
      <c r="L17" s="1869">
        <f t="shared" si="2"/>
        <v>0</v>
      </c>
      <c r="M17" s="1870"/>
      <c r="N17" s="565">
        <f t="shared" si="3"/>
        <v>0</v>
      </c>
      <c r="O17" s="1869">
        <f t="shared" si="4"/>
        <v>0</v>
      </c>
      <c r="P17" s="1870"/>
      <c r="Q17" s="1432">
        <f t="shared" si="5"/>
        <v>0</v>
      </c>
      <c r="R17" s="530" t="str">
        <f>IF(C18='3. T3 TASE '!G68,"","TARKISTA, ETTÄ SOLU C18 = 'T3 TASE'!G68!")</f>
        <v/>
      </c>
    </row>
    <row r="18" spans="1:19" s="51" customFormat="1" ht="15" customHeight="1" thickTop="1" thickBot="1">
      <c r="A18"/>
      <c r="B18" s="1433" t="s">
        <v>131</v>
      </c>
      <c r="C18" s="1380">
        <f>SUM(C11:C17)</f>
        <v>0</v>
      </c>
      <c r="D18" s="573"/>
      <c r="E18" s="574"/>
      <c r="F18" s="1871">
        <f>SUM(F11:F17)</f>
        <v>0</v>
      </c>
      <c r="G18" s="1872"/>
      <c r="H18" s="566">
        <f>SUM(H11:H17)</f>
        <v>0</v>
      </c>
      <c r="I18" s="1871">
        <f>SUM(I11:I17)</f>
        <v>0</v>
      </c>
      <c r="J18" s="1872"/>
      <c r="K18" s="566">
        <f>SUM(K11:K17)</f>
        <v>0</v>
      </c>
      <c r="L18" s="1871">
        <f>SUM(L11:L17)</f>
        <v>0</v>
      </c>
      <c r="M18" s="1872"/>
      <c r="N18" s="566">
        <f>SUM(N11:N17)</f>
        <v>0</v>
      </c>
      <c r="O18" s="1871">
        <f>SUM(O11:O17)</f>
        <v>0</v>
      </c>
      <c r="P18" s="1872"/>
      <c r="Q18" s="1380">
        <f>SUM(Q11:Q17)</f>
        <v>0</v>
      </c>
      <c r="R18" s="530" t="str">
        <f>IF(F18='3. T3 TASE '!G77,"","TARKISTA, ETTÄ SOLU F18 = 'T3 TASE'!G77!")</f>
        <v/>
      </c>
    </row>
    <row r="19" spans="1:19" s="51" customFormat="1" ht="15" customHeight="1" thickBot="1">
      <c r="A19"/>
      <c r="B19" s="1434" t="s">
        <v>230</v>
      </c>
      <c r="C19" s="715">
        <f>'3. T3 TASE '!G73</f>
        <v>0</v>
      </c>
      <c r="D19" s="534">
        <v>0</v>
      </c>
      <c r="E19" s="692">
        <v>0</v>
      </c>
      <c r="F19" s="1905">
        <f>'3. T3 TASE '!G83</f>
        <v>0</v>
      </c>
      <c r="G19" s="1890"/>
      <c r="H19" s="634">
        <f>'AT2 Lainat,sotum., alv-osto'!O40</f>
        <v>0</v>
      </c>
      <c r="I19" s="1889">
        <f>'AT2 Lainat,sotum., alv-osto'!R40</f>
        <v>0</v>
      </c>
      <c r="J19" s="1890"/>
      <c r="K19" s="634">
        <f>'AT2 Lainat,sotum., alv-osto'!U40</f>
        <v>0</v>
      </c>
      <c r="L19" s="1889">
        <f>'AT2 Lainat,sotum., alv-osto'!X40</f>
        <v>0</v>
      </c>
      <c r="M19" s="1890"/>
      <c r="N19" s="634">
        <f>'AT2 Lainat,sotum., alv-osto'!AA40</f>
        <v>0</v>
      </c>
      <c r="O19" s="1889">
        <f>'AT2 Lainat,sotum., alv-osto'!AD40</f>
        <v>0</v>
      </c>
      <c r="P19" s="1890"/>
      <c r="Q19" s="715">
        <f>'AT2 Lainat,sotum., alv-osto'!AG40</f>
        <v>0</v>
      </c>
      <c r="R19" s="530" t="s">
        <v>0</v>
      </c>
    </row>
    <row r="20" spans="1:19" s="51" customFormat="1" ht="15" customHeight="1">
      <c r="A20"/>
      <c r="B20" s="1238" t="s">
        <v>523</v>
      </c>
      <c r="C20" s="1914" t="s">
        <v>196</v>
      </c>
      <c r="D20" s="1899" t="s">
        <v>707</v>
      </c>
      <c r="E20" s="1902" t="s">
        <v>123</v>
      </c>
      <c r="F20" s="1895" t="str">
        <f>'1. T1 INVESTOINTISUUN.'!D15</f>
        <v>Ennuste 1</v>
      </c>
      <c r="G20" s="1891"/>
      <c r="H20" s="1891"/>
      <c r="I20" s="1895" t="str">
        <f>I8</f>
        <v>Ennuste 2</v>
      </c>
      <c r="J20" s="1891"/>
      <c r="K20" s="1891"/>
      <c r="L20" s="1895" t="str">
        <f>L8</f>
        <v>Ennuste 3</v>
      </c>
      <c r="M20" s="1891"/>
      <c r="N20" s="1896"/>
      <c r="O20" s="1891" t="s">
        <v>257</v>
      </c>
      <c r="P20" s="1891"/>
      <c r="Q20" s="1892"/>
    </row>
    <row r="21" spans="1:19" s="51" customFormat="1" ht="11.7" customHeight="1">
      <c r="B21" s="1435" t="s">
        <v>524</v>
      </c>
      <c r="C21" s="1915"/>
      <c r="D21" s="1900"/>
      <c r="E21" s="1903"/>
      <c r="F21" s="1885">
        <f>F9</f>
        <v>2025</v>
      </c>
      <c r="G21" s="1877"/>
      <c r="H21" s="1877"/>
      <c r="I21" s="1885">
        <f>I9</f>
        <v>2026</v>
      </c>
      <c r="J21" s="1877"/>
      <c r="K21" s="1877"/>
      <c r="L21" s="1885">
        <f>L9</f>
        <v>2027</v>
      </c>
      <c r="M21" s="1877"/>
      <c r="N21" s="1886"/>
      <c r="O21" s="1877">
        <f>O9</f>
        <v>2028</v>
      </c>
      <c r="P21" s="1877"/>
      <c r="Q21" s="1878"/>
    </row>
    <row r="22" spans="1:19" s="51" customFormat="1" ht="18" customHeight="1" thickBot="1">
      <c r="A22"/>
      <c r="B22" s="1426" t="s">
        <v>124</v>
      </c>
      <c r="C22" s="1916"/>
      <c r="D22" s="1901"/>
      <c r="E22" s="1904"/>
      <c r="F22" s="522" t="s">
        <v>129</v>
      </c>
      <c r="G22" s="1042" t="s">
        <v>125</v>
      </c>
      <c r="H22" s="1041" t="s">
        <v>126</v>
      </c>
      <c r="I22" s="522" t="s">
        <v>129</v>
      </c>
      <c r="J22" s="1042" t="s">
        <v>125</v>
      </c>
      <c r="K22" s="1041" t="s">
        <v>126</v>
      </c>
      <c r="L22" s="522" t="s">
        <v>129</v>
      </c>
      <c r="M22" s="1042" t="s">
        <v>125</v>
      </c>
      <c r="N22" s="1041" t="s">
        <v>126</v>
      </c>
      <c r="O22" s="522" t="s">
        <v>129</v>
      </c>
      <c r="P22" s="1042" t="s">
        <v>125</v>
      </c>
      <c r="Q22" s="1426" t="s">
        <v>126</v>
      </c>
    </row>
    <row r="23" spans="1:19" s="51" customFormat="1" ht="12.65" customHeight="1">
      <c r="B23" s="1436" t="s">
        <v>461</v>
      </c>
      <c r="C23" s="1214"/>
      <c r="D23" s="1215"/>
      <c r="E23" s="1215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437"/>
    </row>
    <row r="24" spans="1:19" s="51" customFormat="1" ht="11.7" customHeight="1">
      <c r="B24" s="1427" t="s">
        <v>608</v>
      </c>
      <c r="C24" s="567">
        <v>0</v>
      </c>
      <c r="D24" s="421">
        <v>0</v>
      </c>
      <c r="E24" s="636">
        <v>0</v>
      </c>
      <c r="F24" s="575">
        <f>C24</f>
        <v>0</v>
      </c>
      <c r="G24" s="576">
        <v>0</v>
      </c>
      <c r="H24" s="577">
        <f>'AT2 Lainat,sotum., alv-osto'!O16</f>
        <v>0</v>
      </c>
      <c r="I24" s="578">
        <v>0</v>
      </c>
      <c r="J24" s="576">
        <f>G24</f>
        <v>0</v>
      </c>
      <c r="K24" s="577">
        <f>'AT2 Lainat,sotum., alv-osto'!U16</f>
        <v>0</v>
      </c>
      <c r="L24" s="578">
        <v>0</v>
      </c>
      <c r="M24" s="576">
        <f t="shared" ref="M24:M30" si="7">J24</f>
        <v>0</v>
      </c>
      <c r="N24" s="579">
        <f>'AT2 Lainat,sotum., alv-osto'!AA16</f>
        <v>0</v>
      </c>
      <c r="O24" s="578">
        <v>0</v>
      </c>
      <c r="P24" s="576">
        <f>M24</f>
        <v>0</v>
      </c>
      <c r="Q24" s="744">
        <f>'AT2 Lainat,sotum., alv-osto'!AG16</f>
        <v>0</v>
      </c>
      <c r="S24" s="96"/>
    </row>
    <row r="25" spans="1:19" s="51" customFormat="1" ht="11.7" customHeight="1">
      <c r="A25" s="2"/>
      <c r="B25" s="1427">
        <v>0</v>
      </c>
      <c r="C25" s="567">
        <v>0</v>
      </c>
      <c r="D25" s="421">
        <v>0</v>
      </c>
      <c r="E25" s="636">
        <v>0</v>
      </c>
      <c r="F25" s="575">
        <f>C25</f>
        <v>0</v>
      </c>
      <c r="G25" s="576">
        <v>0</v>
      </c>
      <c r="H25" s="577">
        <f>'AT2 Lainat,sotum., alv-osto'!O17</f>
        <v>0</v>
      </c>
      <c r="I25" s="578"/>
      <c r="J25" s="576">
        <f>G25</f>
        <v>0</v>
      </c>
      <c r="K25" s="577">
        <f>'AT2 Lainat,sotum., alv-osto'!U17</f>
        <v>0</v>
      </c>
      <c r="L25" s="578"/>
      <c r="M25" s="576">
        <f t="shared" si="7"/>
        <v>0</v>
      </c>
      <c r="N25" s="579">
        <f>'AT2 Lainat,sotum., alv-osto'!AA17</f>
        <v>0</v>
      </c>
      <c r="O25" s="578"/>
      <c r="P25" s="576">
        <f>M25</f>
        <v>0</v>
      </c>
      <c r="Q25" s="744">
        <f>'AT2 Lainat,sotum., alv-osto'!AG17</f>
        <v>0</v>
      </c>
      <c r="S25" s="96"/>
    </row>
    <row r="26" spans="1:19" s="51" customFormat="1" ht="11.7" customHeight="1" thickBot="1">
      <c r="B26" s="1438">
        <v>0</v>
      </c>
      <c r="C26" s="637">
        <v>0</v>
      </c>
      <c r="D26" s="532">
        <v>0</v>
      </c>
      <c r="E26" s="638">
        <v>0</v>
      </c>
      <c r="F26" s="580">
        <f>C26</f>
        <v>0</v>
      </c>
      <c r="G26" s="1439">
        <v>0</v>
      </c>
      <c r="H26" s="581">
        <f>'AT2 Lainat,sotum., alv-osto'!O18</f>
        <v>0</v>
      </c>
      <c r="I26" s="582"/>
      <c r="J26" s="1439">
        <f>G26</f>
        <v>0</v>
      </c>
      <c r="K26" s="581">
        <f>'AT2 Lainat,sotum., alv-osto'!U18</f>
        <v>0</v>
      </c>
      <c r="L26" s="582"/>
      <c r="M26" s="1439">
        <f t="shared" si="7"/>
        <v>0</v>
      </c>
      <c r="N26" s="563">
        <f>'AT2 Lainat,sotum., alv-osto'!AA18</f>
        <v>0</v>
      </c>
      <c r="O26" s="582"/>
      <c r="P26" s="1439">
        <f>M26</f>
        <v>0</v>
      </c>
      <c r="Q26" s="1440">
        <f>'AT2 Lainat,sotum., alv-osto'!AG18</f>
        <v>0</v>
      </c>
      <c r="S26" s="96"/>
    </row>
    <row r="27" spans="1:19" s="51" customFormat="1" ht="11.7" customHeight="1">
      <c r="A27"/>
      <c r="B27" s="2277" t="s">
        <v>462</v>
      </c>
      <c r="C27" s="2278"/>
      <c r="D27" s="2279"/>
      <c r="E27" s="2280"/>
      <c r="F27" s="2278"/>
      <c r="G27" s="2278"/>
      <c r="H27" s="1217"/>
      <c r="I27" s="1217"/>
      <c r="J27" s="2278"/>
      <c r="K27" s="1217"/>
      <c r="L27" s="1217"/>
      <c r="M27" s="2278"/>
      <c r="N27" s="1217"/>
      <c r="O27" s="1217"/>
      <c r="P27" s="2278"/>
      <c r="Q27" s="1441"/>
      <c r="S27" s="96"/>
    </row>
    <row r="28" spans="1:19" s="51" customFormat="1" ht="11.7" customHeight="1">
      <c r="B28" s="1442" t="s">
        <v>608</v>
      </c>
      <c r="C28" s="567">
        <v>0</v>
      </c>
      <c r="D28" s="421">
        <v>0</v>
      </c>
      <c r="E28" s="636">
        <v>0</v>
      </c>
      <c r="F28" s="578"/>
      <c r="G28" s="583"/>
      <c r="H28" s="577"/>
      <c r="I28" s="575">
        <f>C28</f>
        <v>0</v>
      </c>
      <c r="J28" s="576">
        <v>0</v>
      </c>
      <c r="K28" s="577">
        <f>'AT2 Lainat,sotum., alv-osto'!U19</f>
        <v>0</v>
      </c>
      <c r="L28" s="578"/>
      <c r="M28" s="576">
        <f t="shared" si="7"/>
        <v>0</v>
      </c>
      <c r="N28" s="579">
        <f>'AT2 Lainat,sotum., alv-osto'!AA19</f>
        <v>0</v>
      </c>
      <c r="O28" s="578"/>
      <c r="P28" s="576">
        <f t="shared" ref="P28:P34" si="8">M28</f>
        <v>0</v>
      </c>
      <c r="Q28" s="744">
        <f>'AT2 Lainat,sotum., alv-osto'!AG19</f>
        <v>0</v>
      </c>
      <c r="S28" s="96"/>
    </row>
    <row r="29" spans="1:19" s="51" customFormat="1" ht="11.7" customHeight="1">
      <c r="A29"/>
      <c r="B29" s="1442">
        <v>0</v>
      </c>
      <c r="C29" s="567">
        <v>0</v>
      </c>
      <c r="D29" s="421">
        <v>0</v>
      </c>
      <c r="E29" s="636">
        <v>0</v>
      </c>
      <c r="F29" s="578"/>
      <c r="G29" s="583"/>
      <c r="H29" s="577"/>
      <c r="I29" s="575">
        <f>C29</f>
        <v>0</v>
      </c>
      <c r="J29" s="576">
        <v>0</v>
      </c>
      <c r="K29" s="577">
        <f>'AT2 Lainat,sotum., alv-osto'!U20</f>
        <v>0</v>
      </c>
      <c r="L29" s="578"/>
      <c r="M29" s="576">
        <f t="shared" si="7"/>
        <v>0</v>
      </c>
      <c r="N29" s="579">
        <f>'AT2 Lainat,sotum., alv-osto'!AA20</f>
        <v>0</v>
      </c>
      <c r="O29" s="578"/>
      <c r="P29" s="576">
        <f t="shared" si="8"/>
        <v>0</v>
      </c>
      <c r="Q29" s="744">
        <f>'AT2 Lainat,sotum., alv-osto'!AG20</f>
        <v>0</v>
      </c>
      <c r="S29" s="96"/>
    </row>
    <row r="30" spans="1:19" s="51" customFormat="1" ht="11.7" customHeight="1" thickBot="1">
      <c r="B30" s="1443">
        <v>0</v>
      </c>
      <c r="C30" s="637">
        <v>0</v>
      </c>
      <c r="D30" s="532">
        <v>0</v>
      </c>
      <c r="E30" s="638">
        <v>0</v>
      </c>
      <c r="F30" s="582"/>
      <c r="G30" s="1444"/>
      <c r="H30" s="581"/>
      <c r="I30" s="580">
        <f>C30</f>
        <v>0</v>
      </c>
      <c r="J30" s="1439">
        <v>0</v>
      </c>
      <c r="K30" s="581">
        <f>'AT2 Lainat,sotum., alv-osto'!U21</f>
        <v>0</v>
      </c>
      <c r="L30" s="582"/>
      <c r="M30" s="1439">
        <f t="shared" si="7"/>
        <v>0</v>
      </c>
      <c r="N30" s="563">
        <f>'AT2 Lainat,sotum., alv-osto'!AA21</f>
        <v>0</v>
      </c>
      <c r="O30" s="582"/>
      <c r="P30" s="1439">
        <f t="shared" si="8"/>
        <v>0</v>
      </c>
      <c r="Q30" s="1440">
        <f>'AT2 Lainat,sotum., alv-osto'!AG21</f>
        <v>0</v>
      </c>
      <c r="S30" s="96"/>
    </row>
    <row r="31" spans="1:19" s="51" customFormat="1" ht="11.7" customHeight="1">
      <c r="A31" s="2"/>
      <c r="B31" s="2281" t="s">
        <v>659</v>
      </c>
      <c r="C31" s="2278"/>
      <c r="D31" s="2279"/>
      <c r="E31" s="2280"/>
      <c r="F31" s="1217"/>
      <c r="G31" s="1217"/>
      <c r="H31" s="1217"/>
      <c r="I31" s="2278"/>
      <c r="J31" s="2278"/>
      <c r="K31" s="1217"/>
      <c r="L31" s="1217"/>
      <c r="M31" s="2278"/>
      <c r="N31" s="1217"/>
      <c r="O31" s="1217"/>
      <c r="P31" s="2278"/>
      <c r="Q31" s="1441"/>
      <c r="S31" s="96"/>
    </row>
    <row r="32" spans="1:19" s="51" customFormat="1" ht="11.7" customHeight="1">
      <c r="B32" s="1442" t="s">
        <v>608</v>
      </c>
      <c r="C32" s="567">
        <v>0</v>
      </c>
      <c r="D32" s="421">
        <v>0</v>
      </c>
      <c r="E32" s="636">
        <v>0</v>
      </c>
      <c r="F32" s="578"/>
      <c r="G32" s="583"/>
      <c r="H32" s="577"/>
      <c r="I32" s="578"/>
      <c r="J32" s="583"/>
      <c r="K32" s="577"/>
      <c r="L32" s="575">
        <f>C32</f>
        <v>0</v>
      </c>
      <c r="M32" s="576">
        <v>0</v>
      </c>
      <c r="N32" s="579">
        <f>'AT2 Lainat,sotum., alv-osto'!AA22</f>
        <v>0</v>
      </c>
      <c r="O32" s="578"/>
      <c r="P32" s="576">
        <f t="shared" si="8"/>
        <v>0</v>
      </c>
      <c r="Q32" s="744">
        <f>'AT2 Lainat,sotum., alv-osto'!AG22</f>
        <v>0</v>
      </c>
      <c r="S32" s="96"/>
    </row>
    <row r="33" spans="1:19" s="51" customFormat="1" ht="11.7" customHeight="1">
      <c r="A33"/>
      <c r="B33" s="1427">
        <v>0</v>
      </c>
      <c r="C33" s="567">
        <v>0</v>
      </c>
      <c r="D33" s="421">
        <v>0</v>
      </c>
      <c r="E33" s="636">
        <v>0</v>
      </c>
      <c r="F33" s="578"/>
      <c r="G33" s="583"/>
      <c r="H33" s="577"/>
      <c r="I33" s="578"/>
      <c r="J33" s="583"/>
      <c r="K33" s="577"/>
      <c r="L33" s="575">
        <f>C33</f>
        <v>0</v>
      </c>
      <c r="M33" s="576">
        <v>0</v>
      </c>
      <c r="N33" s="579">
        <f>'AT2 Lainat,sotum., alv-osto'!AA23</f>
        <v>0</v>
      </c>
      <c r="O33" s="578"/>
      <c r="P33" s="576">
        <f t="shared" si="8"/>
        <v>0</v>
      </c>
      <c r="Q33" s="744">
        <f>'AT2 Lainat,sotum., alv-osto'!AG23</f>
        <v>0</v>
      </c>
      <c r="S33" s="96"/>
    </row>
    <row r="34" spans="1:19" s="51" customFormat="1" ht="11.7" customHeight="1" thickBot="1">
      <c r="B34" s="1445">
        <v>0</v>
      </c>
      <c r="C34" s="639"/>
      <c r="D34" s="535">
        <v>0</v>
      </c>
      <c r="E34" s="640">
        <v>0</v>
      </c>
      <c r="F34" s="584">
        <v>0</v>
      </c>
      <c r="G34" s="585"/>
      <c r="H34" s="586"/>
      <c r="I34" s="584"/>
      <c r="J34" s="587"/>
      <c r="K34" s="588"/>
      <c r="L34" s="589">
        <f>C34</f>
        <v>0</v>
      </c>
      <c r="M34" s="590">
        <v>0</v>
      </c>
      <c r="N34" s="591">
        <f>'AT2 Lainat,sotum., alv-osto'!AA24</f>
        <v>0</v>
      </c>
      <c r="O34" s="584">
        <v>0</v>
      </c>
      <c r="P34" s="590">
        <f t="shared" si="8"/>
        <v>0</v>
      </c>
      <c r="Q34" s="749">
        <f>'AT2 Lainat,sotum., alv-osto'!AG24</f>
        <v>0</v>
      </c>
      <c r="S34" s="96"/>
    </row>
    <row r="35" spans="1:19" s="51" customFormat="1" ht="11.7" customHeight="1">
      <c r="A35"/>
      <c r="B35" s="2282" t="s">
        <v>660</v>
      </c>
      <c r="C35" s="2283"/>
      <c r="D35" s="2284"/>
      <c r="E35" s="2285"/>
      <c r="F35" s="1218"/>
      <c r="G35" s="2286"/>
      <c r="H35" s="2287"/>
      <c r="I35" s="1218"/>
      <c r="J35" s="1219"/>
      <c r="K35" s="1220"/>
      <c r="L35" s="2288"/>
      <c r="M35" s="2286"/>
      <c r="N35" s="1221"/>
      <c r="O35" s="1218"/>
      <c r="P35" s="2286"/>
      <c r="Q35" s="1446"/>
      <c r="S35" s="96"/>
    </row>
    <row r="36" spans="1:19" s="51" customFormat="1" ht="11.7" customHeight="1">
      <c r="B36" s="1442" t="s">
        <v>608</v>
      </c>
      <c r="C36" s="569">
        <v>0</v>
      </c>
      <c r="D36" s="422">
        <v>0</v>
      </c>
      <c r="E36" s="641">
        <v>0</v>
      </c>
      <c r="F36" s="578">
        <v>0</v>
      </c>
      <c r="G36" s="593"/>
      <c r="H36" s="594"/>
      <c r="I36" s="578">
        <v>0</v>
      </c>
      <c r="J36" s="593">
        <v>0</v>
      </c>
      <c r="K36" s="577"/>
      <c r="L36" s="578">
        <v>0</v>
      </c>
      <c r="M36" s="583"/>
      <c r="N36" s="579">
        <v>0</v>
      </c>
      <c r="O36" s="595">
        <f>C36</f>
        <v>0</v>
      </c>
      <c r="P36" s="576">
        <v>0</v>
      </c>
      <c r="Q36" s="744">
        <f>'AT2 Lainat,sotum., alv-osto'!AG25</f>
        <v>0</v>
      </c>
      <c r="S36" s="96"/>
    </row>
    <row r="37" spans="1:19" s="51" customFormat="1" ht="11.7" customHeight="1">
      <c r="A37" s="2"/>
      <c r="B37" s="1442">
        <v>0</v>
      </c>
      <c r="C37" s="567">
        <v>0</v>
      </c>
      <c r="D37" s="421">
        <v>0</v>
      </c>
      <c r="E37" s="636">
        <v>0</v>
      </c>
      <c r="F37" s="582"/>
      <c r="G37" s="1447"/>
      <c r="H37" s="596"/>
      <c r="I37" s="582"/>
      <c r="J37" s="1447"/>
      <c r="K37" s="581"/>
      <c r="L37" s="582"/>
      <c r="M37" s="1444"/>
      <c r="N37" s="563"/>
      <c r="O37" s="595">
        <f>C37</f>
        <v>0</v>
      </c>
      <c r="P37" s="576">
        <v>0</v>
      </c>
      <c r="Q37" s="744">
        <f>'AT2 Lainat,sotum., alv-osto'!AG26</f>
        <v>0</v>
      </c>
      <c r="S37" s="96"/>
    </row>
    <row r="38" spans="1:19" s="51" customFormat="1" ht="11.7" customHeight="1" thickBot="1">
      <c r="B38" s="1448">
        <v>0</v>
      </c>
      <c r="C38" s="571">
        <v>0</v>
      </c>
      <c r="D38" s="423">
        <v>0</v>
      </c>
      <c r="E38" s="642">
        <v>0</v>
      </c>
      <c r="F38" s="599">
        <v>0</v>
      </c>
      <c r="G38" s="600"/>
      <c r="H38" s="601"/>
      <c r="I38" s="599">
        <v>0</v>
      </c>
      <c r="J38" s="600"/>
      <c r="K38" s="602"/>
      <c r="L38" s="599">
        <v>0</v>
      </c>
      <c r="M38" s="600"/>
      <c r="N38" s="565"/>
      <c r="O38" s="603">
        <f>C38</f>
        <v>0</v>
      </c>
      <c r="P38" s="571">
        <v>0</v>
      </c>
      <c r="Q38" s="1432">
        <f>'AT2 Lainat,sotum., alv-osto'!AG27</f>
        <v>0</v>
      </c>
      <c r="S38" s="96"/>
    </row>
    <row r="39" spans="1:19" s="51" customFormat="1" ht="15" customHeight="1" thickTop="1" thickBot="1">
      <c r="A39"/>
      <c r="B39" s="1449" t="s">
        <v>522</v>
      </c>
      <c r="C39" s="605">
        <f>SUM(C24:C38)</f>
        <v>0</v>
      </c>
      <c r="D39" s="536"/>
      <c r="E39" s="1100">
        <v>0</v>
      </c>
      <c r="F39" s="604">
        <f t="shared" ref="F39:N39" si="9">SUM(F24:F38)</f>
        <v>0</v>
      </c>
      <c r="G39" s="605">
        <f t="shared" si="9"/>
        <v>0</v>
      </c>
      <c r="H39" s="607">
        <f t="shared" si="9"/>
        <v>0</v>
      </c>
      <c r="I39" s="604">
        <f t="shared" si="9"/>
        <v>0</v>
      </c>
      <c r="J39" s="607">
        <f t="shared" si="9"/>
        <v>0</v>
      </c>
      <c r="K39" s="606">
        <f>SUM(K24:K38)</f>
        <v>0</v>
      </c>
      <c r="L39" s="604">
        <f t="shared" si="9"/>
        <v>0</v>
      </c>
      <c r="M39" s="605">
        <f t="shared" si="9"/>
        <v>0</v>
      </c>
      <c r="N39" s="606">
        <f t="shared" si="9"/>
        <v>0</v>
      </c>
      <c r="O39" s="608">
        <f>SUM(O24:O38)</f>
        <v>0</v>
      </c>
      <c r="P39" s="605">
        <f>SUM(P24:P38)</f>
        <v>0</v>
      </c>
      <c r="Q39" s="605">
        <f>SUM(Q24:Q38)</f>
        <v>0</v>
      </c>
    </row>
    <row r="40" spans="1:19" s="51" customFormat="1" ht="18" customHeight="1" thickBot="1">
      <c r="B40" s="1450" t="s">
        <v>574</v>
      </c>
      <c r="C40" s="1222"/>
      <c r="D40" s="1223"/>
      <c r="E40" s="1224"/>
      <c r="F40" s="1225" t="s">
        <v>129</v>
      </c>
      <c r="G40" s="1226" t="s">
        <v>125</v>
      </c>
      <c r="H40" s="1227" t="s">
        <v>126</v>
      </c>
      <c r="I40" s="1225" t="s">
        <v>129</v>
      </c>
      <c r="J40" s="1226" t="s">
        <v>125</v>
      </c>
      <c r="K40" s="1227" t="s">
        <v>126</v>
      </c>
      <c r="L40" s="1225" t="s">
        <v>129</v>
      </c>
      <c r="M40" s="1226" t="s">
        <v>125</v>
      </c>
      <c r="N40" s="1227" t="s">
        <v>126</v>
      </c>
      <c r="O40" s="1225" t="s">
        <v>129</v>
      </c>
      <c r="P40" s="1226" t="s">
        <v>125</v>
      </c>
      <c r="Q40" s="1451" t="s">
        <v>126</v>
      </c>
    </row>
    <row r="41" spans="1:19" s="51" customFormat="1" ht="11.7" customHeight="1">
      <c r="A41"/>
      <c r="B41" s="1427" t="s">
        <v>656</v>
      </c>
      <c r="C41" s="567">
        <v>0</v>
      </c>
      <c r="D41" s="421">
        <v>0</v>
      </c>
      <c r="E41" s="636">
        <v>0</v>
      </c>
      <c r="F41" s="575">
        <v>0</v>
      </c>
      <c r="G41" s="609">
        <f>'AT2 Lainat,sotum., alv-osto'!L44</f>
        <v>0</v>
      </c>
      <c r="H41" s="577">
        <f>'AT2 Lainat,sotum., alv-osto'!O44</f>
        <v>0</v>
      </c>
      <c r="I41" s="1646"/>
      <c r="J41" s="609">
        <f>'AT2 Lainat,sotum., alv-osto'!R44</f>
        <v>0</v>
      </c>
      <c r="K41" s="610">
        <f>'AT2 Lainat,sotum., alv-osto'!U44</f>
        <v>0</v>
      </c>
      <c r="L41" s="611"/>
      <c r="M41" s="609">
        <f>'AT2 Lainat,sotum., alv-osto'!X44</f>
        <v>0</v>
      </c>
      <c r="N41" s="579">
        <f>'AT2 Lainat,sotum., alv-osto'!AA44</f>
        <v>0</v>
      </c>
      <c r="O41" s="612"/>
      <c r="P41" s="609">
        <f>'AT2 Lainat,sotum., alv-osto'!AD44</f>
        <v>0</v>
      </c>
      <c r="Q41" s="744">
        <f>'AT2 Lainat,sotum., alv-osto'!AG44</f>
        <v>0</v>
      </c>
      <c r="S41" s="96"/>
    </row>
    <row r="42" spans="1:19" s="51" customFormat="1" ht="11.7" customHeight="1">
      <c r="B42" s="1429" t="s">
        <v>655</v>
      </c>
      <c r="C42" s="569"/>
      <c r="D42" s="422"/>
      <c r="E42" s="641">
        <v>0</v>
      </c>
      <c r="F42" s="613"/>
      <c r="G42" s="614"/>
      <c r="H42" s="615"/>
      <c r="I42" s="575">
        <f>C42</f>
        <v>0</v>
      </c>
      <c r="J42" s="609">
        <f>'AT2 Lainat,sotum., alv-osto'!R47</f>
        <v>0</v>
      </c>
      <c r="K42" s="579">
        <f>'AT2 Lainat,sotum., alv-osto'!U47</f>
        <v>0</v>
      </c>
      <c r="L42" s="611">
        <v>0</v>
      </c>
      <c r="M42" s="609">
        <f>'AT2 Lainat,sotum., alv-osto'!X47</f>
        <v>0</v>
      </c>
      <c r="N42" s="579">
        <f>'AT2 Lainat,sotum., alv-osto'!AA47</f>
        <v>0</v>
      </c>
      <c r="O42" s="612">
        <v>0</v>
      </c>
      <c r="P42" s="609">
        <f>IF(I42=0,0,'AT2 Lainat,sotum., alv-osto'!AD47)</f>
        <v>0</v>
      </c>
      <c r="Q42" s="744">
        <f>'AT2 Lainat,sotum., alv-osto'!AG47</f>
        <v>0</v>
      </c>
      <c r="S42" s="96"/>
    </row>
    <row r="43" spans="1:19" s="51" customFormat="1" ht="11.7" customHeight="1">
      <c r="A43" s="2"/>
      <c r="B43" s="1429" t="s">
        <v>654</v>
      </c>
      <c r="C43" s="569">
        <v>0</v>
      </c>
      <c r="D43" s="422">
        <v>0</v>
      </c>
      <c r="E43" s="641">
        <v>0</v>
      </c>
      <c r="F43" s="592"/>
      <c r="G43" s="616"/>
      <c r="H43" s="617"/>
      <c r="I43" s="592"/>
      <c r="J43" s="618"/>
      <c r="K43" s="619"/>
      <c r="L43" s="1381">
        <f>C43</f>
        <v>0</v>
      </c>
      <c r="M43" s="620">
        <f>'AT2 Lainat,sotum., alv-osto'!X50</f>
        <v>0</v>
      </c>
      <c r="N43" s="564">
        <f>'AT2 Lainat,sotum., alv-osto'!AA50</f>
        <v>0</v>
      </c>
      <c r="O43" s="621">
        <v>0</v>
      </c>
      <c r="P43" s="609">
        <f>IF(L43=0,0,'AT2 Lainat,sotum., alv-osto'!AD50)</f>
        <v>0</v>
      </c>
      <c r="Q43" s="744">
        <f>'AT2 Lainat,sotum., alv-osto'!AG50</f>
        <v>0</v>
      </c>
      <c r="S43" s="96"/>
    </row>
    <row r="44" spans="1:19" s="51" customFormat="1" ht="11.7" customHeight="1" thickBot="1">
      <c r="B44" s="1431" t="s">
        <v>629</v>
      </c>
      <c r="C44" s="571">
        <v>0</v>
      </c>
      <c r="D44" s="423">
        <v>0</v>
      </c>
      <c r="E44" s="974">
        <v>0</v>
      </c>
      <c r="F44" s="622"/>
      <c r="G44" s="598"/>
      <c r="H44" s="623"/>
      <c r="I44" s="597"/>
      <c r="J44" s="624"/>
      <c r="K44" s="625"/>
      <c r="L44" s="626"/>
      <c r="M44" s="627"/>
      <c r="N44" s="565"/>
      <c r="O44" s="603">
        <f>C44</f>
        <v>0</v>
      </c>
      <c r="P44" s="627">
        <f>IF(O44=0,0,'AT2 Lainat,sotum., alv-osto'!AD53)</f>
        <v>0</v>
      </c>
      <c r="Q44" s="1432">
        <f>'AT2 Lainat,sotum., alv-osto'!AG53</f>
        <v>0</v>
      </c>
      <c r="S44" s="96"/>
    </row>
    <row r="45" spans="1:19" s="51" customFormat="1" ht="15" customHeight="1" thickTop="1" thickBot="1">
      <c r="A45"/>
      <c r="B45" s="1452" t="s">
        <v>661</v>
      </c>
      <c r="C45" s="630">
        <f>SUM(C41:C44)</f>
        <v>0</v>
      </c>
      <c r="D45" s="424"/>
      <c r="E45" s="1101"/>
      <c r="F45" s="628">
        <f t="shared" ref="F45:Q45" si="10">SUM(F41:F44)</f>
        <v>0</v>
      </c>
      <c r="G45" s="630">
        <f t="shared" si="10"/>
        <v>0</v>
      </c>
      <c r="H45" s="629">
        <f t="shared" si="10"/>
        <v>0</v>
      </c>
      <c r="I45" s="628">
        <f t="shared" si="10"/>
        <v>0</v>
      </c>
      <c r="J45" s="630">
        <f t="shared" si="10"/>
        <v>0</v>
      </c>
      <c r="K45" s="629">
        <f t="shared" si="10"/>
        <v>0</v>
      </c>
      <c r="L45" s="628">
        <f t="shared" si="10"/>
        <v>0</v>
      </c>
      <c r="M45" s="630">
        <f t="shared" si="10"/>
        <v>0</v>
      </c>
      <c r="N45" s="629">
        <f t="shared" si="10"/>
        <v>0</v>
      </c>
      <c r="O45" s="628">
        <f t="shared" si="10"/>
        <v>0</v>
      </c>
      <c r="P45" s="631">
        <f t="shared" si="10"/>
        <v>0</v>
      </c>
      <c r="Q45" s="631">
        <f t="shared" si="10"/>
        <v>0</v>
      </c>
    </row>
    <row r="46" spans="1:19" s="73" customFormat="1" ht="15" customHeight="1" thickBot="1">
      <c r="A46"/>
      <c r="B46" s="1453" t="s">
        <v>662</v>
      </c>
      <c r="C46" s="1522">
        <f>'3. T3 TASE '!$H$78</f>
        <v>0</v>
      </c>
      <c r="D46" s="425"/>
      <c r="E46" s="1102">
        <v>0.1</v>
      </c>
      <c r="F46" s="632"/>
      <c r="G46" s="633"/>
      <c r="H46" s="1523">
        <f>$E46*C46</f>
        <v>0</v>
      </c>
      <c r="I46" s="632"/>
      <c r="J46" s="633"/>
      <c r="K46" s="1523">
        <f>$E46*'3. T3 TASE '!H78</f>
        <v>0</v>
      </c>
      <c r="L46" s="632"/>
      <c r="M46" s="633"/>
      <c r="N46" s="1523">
        <f>$E46*'3. T3 TASE '!I78</f>
        <v>0</v>
      </c>
      <c r="O46" s="632"/>
      <c r="P46" s="633"/>
      <c r="Q46" s="1522">
        <f>$E46*'3. T3 TASE '!J78</f>
        <v>0</v>
      </c>
    </row>
    <row r="47" spans="1:19" s="1504" customFormat="1" ht="15" customHeight="1" thickBot="1">
      <c r="B47" s="1508" t="s">
        <v>737</v>
      </c>
      <c r="C47" s="1509">
        <f>'3. T3 TASE '!G69+'3. T3 TASE '!G79</f>
        <v>0</v>
      </c>
      <c r="D47" s="1505"/>
      <c r="E47" s="1102">
        <v>0.1</v>
      </c>
      <c r="F47" s="1506"/>
      <c r="G47" s="1507"/>
      <c r="H47" s="1523">
        <f>$E47*C47</f>
        <v>0</v>
      </c>
      <c r="I47" s="1506"/>
      <c r="J47" s="1507"/>
      <c r="K47" s="1523">
        <f>E47*('3. T3 TASE '!H69+'3. T3 TASE '!H79)</f>
        <v>0</v>
      </c>
      <c r="L47" s="1506"/>
      <c r="M47" s="1507"/>
      <c r="N47" s="1523">
        <f>E47*('3. T3 TASE '!I69+'3. T3 TASE '!I79)</f>
        <v>0</v>
      </c>
      <c r="O47" s="1506"/>
      <c r="P47" s="1507"/>
      <c r="Q47" s="1523">
        <f>E47*('3. T3 TASE '!J69+'3. T3 TASE '!J79)</f>
        <v>0</v>
      </c>
    </row>
    <row r="48" spans="1:19" s="73" customFormat="1" ht="21.65" customHeight="1" thickBot="1">
      <c r="A48" s="51"/>
      <c r="B48" s="1454" t="s">
        <v>663</v>
      </c>
      <c r="C48" s="1048">
        <f>'3. T3 TASE '!G74</f>
        <v>0</v>
      </c>
      <c r="D48" s="425"/>
      <c r="E48" s="1102">
        <v>0.1</v>
      </c>
      <c r="F48" s="632"/>
      <c r="G48" s="633"/>
      <c r="H48" s="1523">
        <f>$E48*C48</f>
        <v>0</v>
      </c>
      <c r="I48" s="632"/>
      <c r="J48" s="633"/>
      <c r="K48" s="1523">
        <f>$E48*'3. T3 TASE '!H74</f>
        <v>0</v>
      </c>
      <c r="L48" s="632"/>
      <c r="M48" s="633"/>
      <c r="N48" s="1523">
        <f>$E48*'3. T3 TASE '!I74</f>
        <v>0</v>
      </c>
      <c r="O48" s="632"/>
      <c r="P48" s="633"/>
      <c r="Q48" s="1523">
        <f>$E48*'3. T3 TASE '!J74</f>
        <v>0</v>
      </c>
    </row>
    <row r="49" spans="1:17" s="73" customFormat="1" ht="15" customHeight="1" thickBot="1">
      <c r="A49" s="2"/>
      <c r="B49" s="1455" t="s">
        <v>664</v>
      </c>
      <c r="C49" s="426"/>
      <c r="D49" s="683"/>
      <c r="E49" s="684"/>
      <c r="F49" s="1011"/>
      <c r="G49" s="1012"/>
      <c r="H49" s="1013">
        <v>0</v>
      </c>
      <c r="I49" s="1011"/>
      <c r="J49" s="1012"/>
      <c r="K49" s="1013">
        <v>0</v>
      </c>
      <c r="L49" s="1011"/>
      <c r="M49" s="1012"/>
      <c r="N49" s="1013">
        <v>0</v>
      </c>
      <c r="O49" s="1011"/>
      <c r="P49" s="1012"/>
      <c r="Q49" s="1456">
        <v>0</v>
      </c>
    </row>
    <row r="50" spans="1:17" s="51" customFormat="1" ht="15" customHeight="1" thickTop="1" thickBot="1">
      <c r="B50" s="1457" t="s">
        <v>665</v>
      </c>
      <c r="C50" s="1014">
        <f>C39+C18+C45+C46+C19+C48</f>
        <v>0</v>
      </c>
      <c r="D50" s="1015"/>
      <c r="E50" s="1103"/>
      <c r="F50" s="1014">
        <f>F39+F45</f>
        <v>0</v>
      </c>
      <c r="G50" s="1014">
        <f>G39+F18+G45+F19</f>
        <v>0</v>
      </c>
      <c r="H50" s="1014">
        <f>H39+H18+H45+H46+H49+H19+H48+H47</f>
        <v>0</v>
      </c>
      <c r="I50" s="1014">
        <f>I39+I45</f>
        <v>0</v>
      </c>
      <c r="J50" s="1014">
        <f>J39+I18+J45+I19</f>
        <v>0</v>
      </c>
      <c r="K50" s="1014">
        <f>K39+K18+K45+K46+K49+K19+K48+K47</f>
        <v>0</v>
      </c>
      <c r="L50" s="1014">
        <f>L39+L45</f>
        <v>0</v>
      </c>
      <c r="M50" s="1014">
        <f>M39+L18+M45+L19</f>
        <v>0</v>
      </c>
      <c r="N50" s="1014">
        <f>N39+N18+N45+N46+N49+N19+N48+N47</f>
        <v>0</v>
      </c>
      <c r="O50" s="1014">
        <f>O39+O45</f>
        <v>0</v>
      </c>
      <c r="P50" s="1014">
        <f>P39+O18+P45+O19</f>
        <v>0</v>
      </c>
      <c r="Q50" s="1014">
        <f>Q39+Q18+Q45+Q46+Q49+Q19+Q48+Q47</f>
        <v>0</v>
      </c>
    </row>
    <row r="51" spans="1:17" ht="7.5" customHeight="1" thickTop="1"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>
      <c r="C52" s="50"/>
      <c r="D52" s="50"/>
      <c r="E52" s="427"/>
      <c r="F52" s="427"/>
      <c r="G52" s="427"/>
      <c r="H52" s="427"/>
      <c r="I52" s="427"/>
      <c r="J52" s="427"/>
      <c r="K52" s="50"/>
      <c r="L52" s="50"/>
      <c r="M52" s="50"/>
      <c r="N52" s="1735" t="str">
        <f>OHJE!I5</f>
        <v>Yritystulkin tarjoaa</v>
      </c>
      <c r="O52" s="1735"/>
      <c r="P52" s="1735"/>
      <c r="Q52" s="1735"/>
    </row>
    <row r="53" spans="1:17" ht="12.75" customHeight="1">
      <c r="B53" s="74" t="str">
        <f>OHJE!G24</f>
        <v>YT22 Toimivan yrityksen tulossuunnitelma</v>
      </c>
      <c r="C53" s="74"/>
      <c r="D53" s="74"/>
      <c r="E53" s="74"/>
      <c r="F53" s="87"/>
      <c r="G53" s="87"/>
      <c r="H53" s="50"/>
      <c r="I53" s="87"/>
      <c r="J53" s="1746" t="str">
        <f>OHJE!H7</f>
        <v>Alavuden Kehitys Oy</v>
      </c>
      <c r="K53" s="1746"/>
      <c r="L53" s="1746"/>
      <c r="M53" s="1746"/>
      <c r="N53" s="1746"/>
      <c r="O53" s="1746"/>
      <c r="P53" s="1746"/>
      <c r="Q53" s="1746"/>
    </row>
    <row r="54" spans="1:17">
      <c r="L54" s="533"/>
      <c r="M54" s="533"/>
      <c r="N54" s="533"/>
      <c r="O54" s="533"/>
      <c r="P54" s="533"/>
      <c r="Q54" s="533"/>
    </row>
    <row r="56" spans="1:17">
      <c r="B56" s="396" t="s">
        <v>332</v>
      </c>
    </row>
    <row r="57" spans="1:17">
      <c r="B57" s="50" t="s">
        <v>333</v>
      </c>
    </row>
    <row r="58" spans="1:17">
      <c r="B58" s="50" t="s">
        <v>334</v>
      </c>
    </row>
  </sheetData>
  <sheetProtection algorithmName="SHA-512" hashValue="NqeGEKBelhMk/3kiQC3D9lXYP5QF+X/rDQL2x+r+zt9fJNe7WZTh0jXEt0bM7urDU86fG56yVt469bucmw2s9Q==" saltValue="weI5avF58WviCuDwiLWVIw==" spinCount="100000" sheet="1" objects="1" scenarios="1" selectLockedCells="1"/>
  <mergeCells count="67"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I12:J12"/>
    <mergeCell ref="I16:J16"/>
    <mergeCell ref="I15:J15"/>
    <mergeCell ref="I11:J1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O13:P13"/>
    <mergeCell ref="O14:P14"/>
    <mergeCell ref="O15:P15"/>
    <mergeCell ref="O16:P16"/>
    <mergeCell ref="L21:N21"/>
    <mergeCell ref="L15:M15"/>
    <mergeCell ref="N52:Q52"/>
    <mergeCell ref="J53:Q53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4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D47" sqref="D47"/>
    </sheetView>
  </sheetViews>
  <sheetFormatPr defaultRowHeight="12.45"/>
  <cols>
    <col min="1" max="1" width="10" customWidth="1"/>
    <col min="2" max="2" width="2.84375" customWidth="1"/>
    <col min="3" max="3" width="37" customWidth="1"/>
    <col min="4" max="4" width="10.07421875" customWidth="1"/>
    <col min="5" max="5" width="6.07421875" customWidth="1"/>
    <col min="6" max="6" width="10.07421875" customWidth="1"/>
    <col min="7" max="7" width="6" customWidth="1"/>
    <col min="8" max="8" width="10.07421875" customWidth="1"/>
    <col min="9" max="9" width="6" customWidth="1"/>
    <col min="10" max="10" width="10.07421875" customWidth="1"/>
    <col min="11" max="11" width="6" customWidth="1"/>
    <col min="12" max="12" width="10.07421875" customWidth="1"/>
    <col min="13" max="13" width="6" customWidth="1"/>
    <col min="14" max="14" width="2.53515625" customWidth="1"/>
    <col min="15" max="17" width="7" customWidth="1"/>
    <col min="18" max="18" width="7.3046875" customWidth="1"/>
    <col min="25" max="27" width="9" customWidth="1"/>
  </cols>
  <sheetData>
    <row r="2" spans="1:28" ht="15.45">
      <c r="B2" s="22" t="s">
        <v>105</v>
      </c>
      <c r="E2" s="1935"/>
      <c r="F2" s="1935"/>
      <c r="H2" s="22">
        <f>'3. T3 TASE '!D12</f>
        <v>0</v>
      </c>
      <c r="O2" s="22" t="s">
        <v>105</v>
      </c>
      <c r="P2" s="1"/>
    </row>
    <row r="3" spans="1:28" ht="14.25" customHeight="1">
      <c r="A3" s="1527" t="s">
        <v>740</v>
      </c>
      <c r="E3" s="1918"/>
      <c r="F3" s="1918"/>
      <c r="O3" s="1917"/>
      <c r="P3" s="1917"/>
      <c r="Q3" s="1917"/>
    </row>
    <row r="4" spans="1:28" ht="20.25" customHeight="1">
      <c r="B4" s="46" t="s">
        <v>685</v>
      </c>
      <c r="C4" s="43"/>
      <c r="D4" s="43"/>
      <c r="E4" s="43" t="s">
        <v>520</v>
      </c>
      <c r="F4" s="56"/>
      <c r="G4" s="62"/>
      <c r="H4" s="38"/>
      <c r="I4" s="56" t="s">
        <v>0</v>
      </c>
      <c r="J4" s="56"/>
      <c r="K4" s="1936" t="s">
        <v>93</v>
      </c>
      <c r="L4" s="1936"/>
      <c r="M4" s="44"/>
      <c r="N4" s="16"/>
      <c r="O4" s="386"/>
      <c r="S4" s="387"/>
      <c r="T4" s="140"/>
      <c r="U4" s="140"/>
      <c r="V4" s="140"/>
      <c r="W4" s="140"/>
      <c r="X4" s="140"/>
    </row>
    <row r="5" spans="1:28" ht="12.75" customHeight="1">
      <c r="B5" s="547">
        <f>'2. &amp; 7. T2 TULOSSUUN. '!B5:D5</f>
        <v>0</v>
      </c>
      <c r="C5" s="547"/>
      <c r="D5" s="550"/>
      <c r="E5" s="1859">
        <f>'2. &amp; 7. T2 TULOSSUUN. '!G5</f>
        <v>0</v>
      </c>
      <c r="F5" s="1859"/>
      <c r="G5" s="1859"/>
      <c r="H5" s="1859"/>
      <c r="I5" s="1859"/>
      <c r="J5" s="554">
        <f>'2. &amp; 7. T2 TULOSSUUN. '!K5</f>
        <v>0</v>
      </c>
      <c r="K5" s="1911">
        <f>'1. T1 INVESTOINTISUUN.'!E4</f>
        <v>0</v>
      </c>
      <c r="L5" s="1859"/>
      <c r="M5" s="73"/>
      <c r="N5" s="73"/>
      <c r="O5" s="387"/>
      <c r="P5" s="22"/>
      <c r="S5" s="140"/>
      <c r="T5" s="140"/>
      <c r="U5" s="140"/>
      <c r="V5" s="140"/>
      <c r="W5" s="140"/>
      <c r="X5" s="140"/>
      <c r="Z5" s="8"/>
      <c r="AA5" s="8"/>
    </row>
    <row r="6" spans="1:28" ht="10.5" customHeight="1" thickBot="1">
      <c r="D6" s="279"/>
      <c r="E6" s="279"/>
      <c r="F6" s="15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5" customHeight="1">
      <c r="B7" s="1929" t="s">
        <v>444</v>
      </c>
      <c r="C7" s="1930"/>
      <c r="D7" s="1924" t="str">
        <f>'8. T4 RAHOITUSSUUN. '!G10</f>
        <v>Tot. tilikausi</v>
      </c>
      <c r="E7" s="1925"/>
      <c r="F7" s="1924" t="str">
        <f>'1. T1 INVESTOINTISUUN.'!D15</f>
        <v>Ennuste 1</v>
      </c>
      <c r="G7" s="1925"/>
      <c r="H7" s="1924" t="s">
        <v>98</v>
      </c>
      <c r="I7" s="1925"/>
      <c r="J7" s="1924" t="s">
        <v>100</v>
      </c>
      <c r="K7" s="1925"/>
      <c r="L7" s="1924" t="s">
        <v>257</v>
      </c>
      <c r="M7" s="1925"/>
      <c r="N7" s="23"/>
      <c r="O7" s="284" t="s">
        <v>408</v>
      </c>
      <c r="P7" s="285"/>
      <c r="Q7" s="285"/>
      <c r="R7" s="286"/>
      <c r="S7" s="459"/>
      <c r="T7" s="459"/>
      <c r="U7" s="459"/>
      <c r="V7" s="459"/>
      <c r="W7" s="459"/>
      <c r="X7" s="459"/>
      <c r="Y7" s="460"/>
      <c r="Z7" s="461"/>
      <c r="AA7" s="461"/>
      <c r="AB7" s="462"/>
    </row>
    <row r="8" spans="1:28" ht="18.649999999999999" customHeight="1">
      <c r="B8" s="1931" t="s">
        <v>627</v>
      </c>
      <c r="C8" s="1932"/>
      <c r="D8" s="1926">
        <f>'2. &amp; 7. T2 TULOSSUUN. '!G8</f>
        <v>2024</v>
      </c>
      <c r="E8" s="1927"/>
      <c r="F8" s="1926">
        <f>'2. &amp; 7. T2 TULOSSUUN. '!I8</f>
        <v>2025</v>
      </c>
      <c r="G8" s="1927"/>
      <c r="H8" s="1926">
        <f>'2. &amp; 7. T2 TULOSSUUN. '!K8</f>
        <v>2026</v>
      </c>
      <c r="I8" s="1927"/>
      <c r="J8" s="1926">
        <f>'2. &amp; 7. T2 TULOSSUUN. '!M8</f>
        <v>2027</v>
      </c>
      <c r="K8" s="1927"/>
      <c r="L8" s="1926">
        <f>'2. &amp; 7. T2 TULOSSUUN. '!O8</f>
        <v>2028</v>
      </c>
      <c r="M8" s="1927"/>
      <c r="N8" s="24"/>
      <c r="O8" s="525"/>
      <c r="P8" s="526"/>
      <c r="Q8" s="526"/>
      <c r="R8" s="526"/>
      <c r="S8" s="167"/>
      <c r="T8" s="167"/>
      <c r="U8" s="167"/>
      <c r="V8" s="167"/>
      <c r="W8" s="167"/>
      <c r="X8" s="167"/>
      <c r="Y8" s="167"/>
      <c r="Z8" s="527"/>
      <c r="AA8" s="527"/>
      <c r="AB8" s="341"/>
    </row>
    <row r="9" spans="1:28" ht="18.649999999999999" customHeight="1">
      <c r="B9" s="1933"/>
      <c r="C9" s="1934"/>
      <c r="D9" s="1228" t="s">
        <v>17</v>
      </c>
      <c r="E9" s="1229" t="s">
        <v>14</v>
      </c>
      <c r="F9" s="1228" t="s">
        <v>17</v>
      </c>
      <c r="G9" s="1229" t="s">
        <v>14</v>
      </c>
      <c r="H9" s="1228" t="str">
        <f>F9</f>
        <v>Euroa</v>
      </c>
      <c r="I9" s="1229" t="s">
        <v>14</v>
      </c>
      <c r="J9" s="1228" t="str">
        <f>H9</f>
        <v>Euroa</v>
      </c>
      <c r="K9" s="1229" t="s">
        <v>14</v>
      </c>
      <c r="L9" s="1228" t="str">
        <f>J9</f>
        <v>Euroa</v>
      </c>
      <c r="M9" s="1229" t="s">
        <v>14</v>
      </c>
      <c r="N9" s="24"/>
      <c r="O9" s="525"/>
      <c r="P9" s="526"/>
      <c r="Q9" s="526"/>
      <c r="R9" s="526"/>
      <c r="S9" s="167"/>
      <c r="T9" s="167"/>
      <c r="U9" s="167"/>
      <c r="V9" s="167"/>
      <c r="W9" s="167"/>
      <c r="X9" s="167"/>
      <c r="Y9" s="167"/>
      <c r="Z9" s="527"/>
      <c r="AA9" s="527"/>
      <c r="AB9" s="341"/>
    </row>
    <row r="10" spans="1:28" ht="13.2" customHeight="1" thickBot="1">
      <c r="B10" s="1230"/>
      <c r="C10" s="1231" t="s">
        <v>392</v>
      </c>
      <c r="D10" s="1920" t="str">
        <f>'2. &amp; 7. T2 TULOSSUUN. '!G10</f>
        <v>12</v>
      </c>
      <c r="E10" s="1921"/>
      <c r="F10" s="1920">
        <f>'2. &amp; 7. T2 TULOSSUUN. '!I10</f>
        <v>12</v>
      </c>
      <c r="G10" s="1921"/>
      <c r="H10" s="1920" t="str">
        <f>'2. &amp; 7. T2 TULOSSUUN. '!K10</f>
        <v>12</v>
      </c>
      <c r="I10" s="1921"/>
      <c r="J10" s="1920" t="str">
        <f>'2. &amp; 7. T2 TULOSSUUN. '!M10</f>
        <v>12</v>
      </c>
      <c r="K10" s="1921"/>
      <c r="L10" s="1920" t="str">
        <f>'2. &amp; 7. T2 TULOSSUUN. '!O10</f>
        <v>12</v>
      </c>
      <c r="M10" s="1921"/>
      <c r="N10" s="24"/>
      <c r="O10" s="525"/>
      <c r="P10" s="526"/>
      <c r="Q10" s="526"/>
      <c r="R10" s="526"/>
      <c r="S10" s="167"/>
      <c r="T10" s="167"/>
      <c r="U10" s="167"/>
      <c r="V10" s="167"/>
      <c r="W10" s="167"/>
      <c r="X10" s="167"/>
      <c r="Y10" s="167"/>
      <c r="Z10" s="527"/>
      <c r="AA10" s="527"/>
      <c r="AB10" s="341"/>
    </row>
    <row r="11" spans="1:28" s="1" customFormat="1" ht="13.95" customHeight="1">
      <c r="A11"/>
      <c r="B11" s="1076" t="s">
        <v>2</v>
      </c>
      <c r="C11" s="1061" t="s">
        <v>20</v>
      </c>
      <c r="D11" s="232"/>
      <c r="E11" s="233"/>
      <c r="F11" s="871">
        <f>F12+F17+F24-F30</f>
        <v>0</v>
      </c>
      <c r="G11" s="872">
        <f>IF(F$44=0,0,F11/F$44*100)</f>
        <v>0</v>
      </c>
      <c r="H11" s="871">
        <f>H12+H17+H24-H30</f>
        <v>0</v>
      </c>
      <c r="I11" s="872">
        <f>IF(H$44=0,0,H11/H$44*100)</f>
        <v>0</v>
      </c>
      <c r="J11" s="871">
        <f>J12+J17+J24-J30</f>
        <v>0</v>
      </c>
      <c r="K11" s="872">
        <f>IF(J$44=0,0,J11/J$44*100)</f>
        <v>0</v>
      </c>
      <c r="L11" s="871">
        <f>L12+L17+L24-L30</f>
        <v>0</v>
      </c>
      <c r="M11" s="872">
        <f>IF(L$44=0,0,L11/L$44*100)</f>
        <v>0</v>
      </c>
      <c r="N11" s="3"/>
      <c r="O11" s="1922" t="s">
        <v>515</v>
      </c>
      <c r="P11" s="1923"/>
      <c r="Q11" s="1923"/>
      <c r="R11" s="1923"/>
      <c r="S11" s="320"/>
      <c r="T11" s="320"/>
      <c r="U11" s="320"/>
      <c r="V11" s="320"/>
      <c r="W11" s="320"/>
      <c r="X11" s="320"/>
      <c r="Y11" s="320"/>
      <c r="Z11" s="463"/>
      <c r="AA11" s="463"/>
      <c r="AB11" s="464"/>
    </row>
    <row r="12" spans="1:28" s="4" customFormat="1" ht="13.95" customHeight="1">
      <c r="B12" s="417"/>
      <c r="C12" s="1057" t="s">
        <v>62</v>
      </c>
      <c r="D12" s="234"/>
      <c r="E12" s="379"/>
      <c r="F12" s="873">
        <f>(F13*F15)</f>
        <v>0</v>
      </c>
      <c r="G12" s="874"/>
      <c r="H12" s="873">
        <f>(H13*H15)</f>
        <v>0</v>
      </c>
      <c r="I12" s="874"/>
      <c r="J12" s="873">
        <f>(J13*J15)</f>
        <v>0</v>
      </c>
      <c r="K12" s="874"/>
      <c r="L12" s="873">
        <f>(L13*L15)</f>
        <v>0</v>
      </c>
      <c r="M12" s="874"/>
      <c r="N12" s="29"/>
      <c r="O12" s="288">
        <f>F$8</f>
        <v>2025</v>
      </c>
      <c r="P12" s="288">
        <f>H$8</f>
        <v>2026</v>
      </c>
      <c r="Q12" s="288">
        <f>J8</f>
        <v>2027</v>
      </c>
      <c r="R12" s="288">
        <f>L$8</f>
        <v>2028</v>
      </c>
      <c r="S12" s="320">
        <v>0</v>
      </c>
      <c r="T12" s="320"/>
      <c r="U12" s="320"/>
      <c r="V12" s="320"/>
      <c r="W12" s="320"/>
      <c r="X12" s="320"/>
      <c r="Y12" s="320"/>
      <c r="Z12" s="463"/>
      <c r="AA12" s="463"/>
      <c r="AB12" s="464"/>
    </row>
    <row r="13" spans="1:28" s="50" customFormat="1" ht="13.95" customHeight="1">
      <c r="B13" s="242"/>
      <c r="C13" s="1053" t="s">
        <v>60</v>
      </c>
      <c r="D13" s="234"/>
      <c r="E13" s="280"/>
      <c r="F13" s="595">
        <v>0</v>
      </c>
      <c r="G13" s="875"/>
      <c r="H13" s="595">
        <f>F13+F13*P13</f>
        <v>0</v>
      </c>
      <c r="I13" s="875"/>
      <c r="J13" s="595">
        <f>H13+H13*Q13</f>
        <v>0</v>
      </c>
      <c r="K13" s="875"/>
      <c r="L13" s="595">
        <f>J13+J13*R13</f>
        <v>0</v>
      </c>
      <c r="M13" s="875"/>
      <c r="N13" s="55"/>
      <c r="O13" s="345"/>
      <c r="P13" s="382">
        <v>0.03</v>
      </c>
      <c r="Q13" s="382">
        <f>P13</f>
        <v>0.03</v>
      </c>
      <c r="R13" s="382">
        <f>Q13</f>
        <v>0.03</v>
      </c>
      <c r="S13" s="320"/>
      <c r="T13" s="320"/>
      <c r="U13" s="320"/>
      <c r="V13" s="320"/>
      <c r="W13" s="320"/>
      <c r="X13" s="320"/>
      <c r="Y13" s="320"/>
      <c r="Z13" s="463"/>
      <c r="AA13" s="463"/>
      <c r="AB13" s="464"/>
    </row>
    <row r="14" spans="1:28" s="50" customFormat="1" ht="13.95" customHeight="1">
      <c r="B14" s="242"/>
      <c r="C14" s="1053" t="s">
        <v>453</v>
      </c>
      <c r="D14" s="234"/>
      <c r="E14" s="280"/>
      <c r="F14" s="595">
        <v>0</v>
      </c>
      <c r="G14" s="875"/>
      <c r="H14" s="595">
        <f>F14+F14*P14</f>
        <v>0</v>
      </c>
      <c r="I14" s="875"/>
      <c r="J14" s="595">
        <f>H14+H14*Q14</f>
        <v>0</v>
      </c>
      <c r="K14" s="875"/>
      <c r="L14" s="595">
        <f>J14+J14*R14</f>
        <v>0</v>
      </c>
      <c r="M14" s="875"/>
      <c r="N14" s="55"/>
      <c r="O14" s="345"/>
      <c r="P14" s="382">
        <v>0.03</v>
      </c>
      <c r="Q14" s="382">
        <f>P14</f>
        <v>0.03</v>
      </c>
      <c r="R14" s="382">
        <f>Q14</f>
        <v>0.03</v>
      </c>
      <c r="S14" s="320"/>
      <c r="T14" s="320"/>
      <c r="U14" s="320"/>
      <c r="V14" s="320"/>
      <c r="W14" s="320"/>
      <c r="X14" s="320"/>
      <c r="Y14" s="320"/>
      <c r="Z14" s="463"/>
      <c r="AA14" s="463"/>
      <c r="AB14" s="464"/>
    </row>
    <row r="15" spans="1:28" s="50" customFormat="1" ht="13.95" customHeight="1">
      <c r="B15" s="242"/>
      <c r="C15" s="1053" t="s">
        <v>61</v>
      </c>
      <c r="D15" s="234"/>
      <c r="E15" s="280"/>
      <c r="F15" s="876">
        <v>12.5</v>
      </c>
      <c r="G15" s="875"/>
      <c r="H15" s="876">
        <v>12.5</v>
      </c>
      <c r="I15" s="875"/>
      <c r="J15" s="876">
        <f>H15</f>
        <v>12.5</v>
      </c>
      <c r="K15" s="875"/>
      <c r="L15" s="876">
        <f>J15</f>
        <v>12.5</v>
      </c>
      <c r="M15" s="875"/>
      <c r="N15" s="55"/>
      <c r="O15" s="1681" t="s">
        <v>459</v>
      </c>
      <c r="P15" s="315"/>
      <c r="Q15" s="315"/>
      <c r="R15" s="315"/>
      <c r="S15" s="151"/>
      <c r="T15" s="151"/>
      <c r="U15" s="151"/>
      <c r="V15" s="151"/>
      <c r="W15" s="151"/>
      <c r="X15" s="151"/>
      <c r="Y15" s="151"/>
      <c r="Z15" s="510"/>
      <c r="AA15" s="510"/>
      <c r="AB15" s="511"/>
    </row>
    <row r="16" spans="1:28" s="50" customFormat="1" ht="13.95" customHeight="1">
      <c r="B16" s="242"/>
      <c r="C16" s="1177" t="s">
        <v>632</v>
      </c>
      <c r="D16" s="234"/>
      <c r="E16" s="1077"/>
      <c r="F16" s="1078">
        <v>0.28999999999999998</v>
      </c>
      <c r="G16" s="875"/>
      <c r="H16" s="1078">
        <f>F16</f>
        <v>0.28999999999999998</v>
      </c>
      <c r="I16" s="875"/>
      <c r="J16" s="1078">
        <f>H16</f>
        <v>0.28999999999999998</v>
      </c>
      <c r="K16" s="875"/>
      <c r="L16" s="1078">
        <f>J16</f>
        <v>0.28999999999999998</v>
      </c>
      <c r="M16" s="875"/>
      <c r="N16" s="55"/>
      <c r="O16" s="1079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63"/>
      <c r="AA16" s="463"/>
      <c r="AB16" s="464"/>
    </row>
    <row r="17" spans="1:28" s="4" customFormat="1" ht="13.95" customHeight="1">
      <c r="A17"/>
      <c r="B17" s="417"/>
      <c r="C17" s="1684" t="s">
        <v>324</v>
      </c>
      <c r="D17" s="234"/>
      <c r="E17" s="379"/>
      <c r="F17" s="877">
        <f>F18*F19*F20*F21</f>
        <v>0</v>
      </c>
      <c r="G17" s="874"/>
      <c r="H17" s="877">
        <f>H18*H19*H20*H21</f>
        <v>0</v>
      </c>
      <c r="I17" s="874"/>
      <c r="J17" s="877">
        <f>J18*J19*J20*J21</f>
        <v>0</v>
      </c>
      <c r="K17" s="874"/>
      <c r="L17" s="877">
        <f>L18*L19*L20*L21</f>
        <v>0</v>
      </c>
      <c r="M17" s="874"/>
      <c r="N17" s="29"/>
      <c r="O17" s="288">
        <f>F$8</f>
        <v>2025</v>
      </c>
      <c r="P17" s="288">
        <f>H$8</f>
        <v>2026</v>
      </c>
      <c r="Q17" s="288">
        <f>J$8</f>
        <v>2027</v>
      </c>
      <c r="R17" s="288">
        <f>L$8</f>
        <v>2028</v>
      </c>
      <c r="S17" s="320"/>
      <c r="T17" s="320"/>
      <c r="U17" s="320"/>
      <c r="V17" s="320"/>
      <c r="W17" s="320"/>
      <c r="X17" s="320"/>
      <c r="Y17" s="320"/>
      <c r="Z17" s="463"/>
      <c r="AA17" s="463"/>
      <c r="AB17" s="464"/>
    </row>
    <row r="18" spans="1:28" s="50" customFormat="1" ht="13.95" customHeight="1">
      <c r="A18" s="51"/>
      <c r="B18" s="242"/>
      <c r="C18" s="1053" t="s">
        <v>738</v>
      </c>
      <c r="D18" s="236"/>
      <c r="E18" s="280"/>
      <c r="F18" s="878">
        <v>0</v>
      </c>
      <c r="G18" s="879"/>
      <c r="H18" s="878">
        <f>F18+F18*P18</f>
        <v>0</v>
      </c>
      <c r="I18" s="879"/>
      <c r="J18" s="878">
        <f>H18+H18*Q18</f>
        <v>0</v>
      </c>
      <c r="K18" s="879"/>
      <c r="L18" s="878">
        <f>J18+J18*R18</f>
        <v>0</v>
      </c>
      <c r="M18" s="875"/>
      <c r="N18" s="53"/>
      <c r="O18" s="345"/>
      <c r="P18" s="382">
        <v>0.03</v>
      </c>
      <c r="Q18" s="382">
        <f>P18</f>
        <v>0.03</v>
      </c>
      <c r="R18" s="382">
        <f>Q18</f>
        <v>0.03</v>
      </c>
      <c r="S18" s="320" t="s">
        <v>0</v>
      </c>
      <c r="T18" s="320"/>
      <c r="U18" s="320"/>
      <c r="V18" s="320"/>
      <c r="W18" s="320"/>
      <c r="X18" s="320"/>
      <c r="Y18" s="320"/>
      <c r="Z18" s="463"/>
      <c r="AA18" s="463"/>
      <c r="AB18" s="464"/>
    </row>
    <row r="19" spans="1:28" s="50" customFormat="1" ht="13.95" customHeight="1">
      <c r="A19" s="2"/>
      <c r="B19" s="242"/>
      <c r="C19" s="1053" t="s">
        <v>739</v>
      </c>
      <c r="D19" s="236"/>
      <c r="E19" s="280"/>
      <c r="F19" s="595">
        <v>0</v>
      </c>
      <c r="G19" s="875"/>
      <c r="H19" s="595">
        <f>F19</f>
        <v>0</v>
      </c>
      <c r="I19" s="875"/>
      <c r="J19" s="595">
        <f>H19</f>
        <v>0</v>
      </c>
      <c r="K19" s="875"/>
      <c r="L19" s="595">
        <f>J19</f>
        <v>0</v>
      </c>
      <c r="M19" s="875"/>
      <c r="N19" s="53"/>
      <c r="O19" s="378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463"/>
      <c r="AA19" s="463"/>
      <c r="AB19" s="464"/>
    </row>
    <row r="20" spans="1:28" s="50" customFormat="1" ht="13.95" customHeight="1">
      <c r="A20"/>
      <c r="B20" s="242"/>
      <c r="C20" s="1053" t="s">
        <v>300</v>
      </c>
      <c r="D20" s="234"/>
      <c r="E20" s="235"/>
      <c r="F20" s="876">
        <v>0</v>
      </c>
      <c r="G20" s="875"/>
      <c r="H20" s="876">
        <f>F20</f>
        <v>0</v>
      </c>
      <c r="I20" s="875"/>
      <c r="J20" s="876">
        <f>H20</f>
        <v>0</v>
      </c>
      <c r="K20" s="875"/>
      <c r="L20" s="876">
        <f>J20</f>
        <v>0</v>
      </c>
      <c r="M20" s="875"/>
      <c r="N20" s="53"/>
      <c r="O20" s="378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463"/>
      <c r="AA20" s="463"/>
      <c r="AB20" s="464"/>
    </row>
    <row r="21" spans="1:28" s="50" customFormat="1" ht="13.95" customHeight="1">
      <c r="A21"/>
      <c r="B21" s="242"/>
      <c r="C21" s="1053" t="s">
        <v>61</v>
      </c>
      <c r="D21" s="234"/>
      <c r="E21" s="235"/>
      <c r="F21" s="876">
        <v>12.5</v>
      </c>
      <c r="G21" s="875"/>
      <c r="H21" s="876">
        <v>12.5</v>
      </c>
      <c r="I21" s="875"/>
      <c r="J21" s="876">
        <f>H21</f>
        <v>12.5</v>
      </c>
      <c r="K21" s="875"/>
      <c r="L21" s="876">
        <f>J21</f>
        <v>12.5</v>
      </c>
      <c r="M21" s="875"/>
      <c r="N21" s="53"/>
      <c r="O21" s="1682" t="s">
        <v>459</v>
      </c>
      <c r="P21" s="151"/>
      <c r="Q21" s="151"/>
      <c r="R21" s="151"/>
      <c r="S21" s="151"/>
      <c r="T21" s="151"/>
      <c r="Y21" s="151"/>
      <c r="Z21" s="510"/>
      <c r="AA21" s="510"/>
      <c r="AB21" s="511"/>
    </row>
    <row r="22" spans="1:28" s="50" customFormat="1" ht="13.95" customHeight="1">
      <c r="A22"/>
      <c r="B22" s="242"/>
      <c r="C22" s="1053" t="s">
        <v>454</v>
      </c>
      <c r="D22" s="234"/>
      <c r="E22" s="235"/>
      <c r="F22" s="595">
        <v>0</v>
      </c>
      <c r="G22" s="875"/>
      <c r="H22" s="595">
        <f>F22+F22*P22</f>
        <v>0</v>
      </c>
      <c r="I22" s="875"/>
      <c r="J22" s="595">
        <f>H22+H22*Q22</f>
        <v>0</v>
      </c>
      <c r="K22" s="875"/>
      <c r="L22" s="595">
        <f>J22+J22*R22</f>
        <v>0</v>
      </c>
      <c r="M22" s="875"/>
      <c r="N22" s="53"/>
      <c r="O22" s="1480"/>
      <c r="P22" s="1481">
        <v>0.03</v>
      </c>
      <c r="Q22" s="1481">
        <f>P22</f>
        <v>0.03</v>
      </c>
      <c r="R22" s="1481">
        <f>Q22</f>
        <v>0.03</v>
      </c>
      <c r="S22" s="320"/>
      <c r="T22" s="320"/>
      <c r="U22" s="320"/>
      <c r="V22" s="320"/>
      <c r="W22" s="320"/>
      <c r="X22" s="320"/>
      <c r="Y22" s="320"/>
      <c r="Z22" s="463"/>
      <c r="AA22" s="463"/>
      <c r="AB22" s="464"/>
    </row>
    <row r="23" spans="1:28" s="50" customFormat="1" ht="13.95" customHeight="1">
      <c r="A23"/>
      <c r="B23" s="242"/>
      <c r="C23" s="1177" t="s">
        <v>633</v>
      </c>
      <c r="D23" s="234"/>
      <c r="E23" s="1077"/>
      <c r="F23" s="1078">
        <v>0.2</v>
      </c>
      <c r="G23" s="875"/>
      <c r="H23" s="1078">
        <f>F23</f>
        <v>0.2</v>
      </c>
      <c r="I23" s="875"/>
      <c r="J23" s="1078">
        <f>H23</f>
        <v>0.2</v>
      </c>
      <c r="K23" s="875"/>
      <c r="L23" s="1078">
        <f>J23</f>
        <v>0.2</v>
      </c>
      <c r="M23" s="875"/>
      <c r="N23" s="53"/>
      <c r="O23" s="378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63"/>
      <c r="AA23" s="463"/>
      <c r="AB23" s="464"/>
    </row>
    <row r="24" spans="1:28" s="4" customFormat="1" ht="13.95" customHeight="1">
      <c r="A24"/>
      <c r="B24" s="417"/>
      <c r="C24" s="1684" t="s">
        <v>326</v>
      </c>
      <c r="D24" s="234"/>
      <c r="E24" s="379"/>
      <c r="F24" s="877">
        <f>F25*F26*F27</f>
        <v>0</v>
      </c>
      <c r="G24" s="874"/>
      <c r="H24" s="877">
        <f>H25*H26*H27</f>
        <v>0</v>
      </c>
      <c r="I24" s="874"/>
      <c r="J24" s="877">
        <f>J25*J26*J27</f>
        <v>0</v>
      </c>
      <c r="K24" s="874"/>
      <c r="L24" s="877">
        <f>L25*L26*L27</f>
        <v>0</v>
      </c>
      <c r="M24" s="874"/>
      <c r="N24" s="29"/>
      <c r="O24" s="1484"/>
      <c r="S24" s="320"/>
      <c r="T24" s="320"/>
      <c r="U24" s="320"/>
      <c r="V24" s="320"/>
      <c r="W24" s="320"/>
      <c r="X24" s="320"/>
      <c r="Y24" s="320"/>
      <c r="Z24" s="463"/>
      <c r="AA24" s="463"/>
      <c r="AB24" s="464"/>
    </row>
    <row r="25" spans="1:28" s="50" customFormat="1" ht="13.95" customHeight="1">
      <c r="A25"/>
      <c r="B25" s="242"/>
      <c r="C25" s="1053" t="s">
        <v>702</v>
      </c>
      <c r="D25" s="236"/>
      <c r="E25" s="280"/>
      <c r="F25" s="595">
        <v>0</v>
      </c>
      <c r="G25" s="875"/>
      <c r="H25" s="595">
        <f>F25+F25*P25</f>
        <v>0</v>
      </c>
      <c r="I25" s="875"/>
      <c r="J25" s="595">
        <f>H25+H25*Q25</f>
        <v>0</v>
      </c>
      <c r="K25" s="875"/>
      <c r="L25" s="595">
        <f>J25+J25*R25</f>
        <v>0</v>
      </c>
      <c r="M25" s="875"/>
      <c r="N25" s="53"/>
      <c r="O25" s="345"/>
      <c r="P25" s="382">
        <v>0.03</v>
      </c>
      <c r="Q25" s="382">
        <f>P25</f>
        <v>0.03</v>
      </c>
      <c r="R25" s="382">
        <f>Q25</f>
        <v>0.03</v>
      </c>
      <c r="S25" s="320"/>
      <c r="T25" s="320"/>
      <c r="U25" s="320"/>
      <c r="V25" s="320"/>
      <c r="W25" s="320"/>
      <c r="X25" s="320"/>
      <c r="Y25" s="320"/>
      <c r="Z25" s="463"/>
      <c r="AA25" s="463"/>
      <c r="AB25" s="464"/>
    </row>
    <row r="26" spans="1:28" s="50" customFormat="1" ht="13.95" customHeight="1">
      <c r="A26"/>
      <c r="B26" s="242"/>
      <c r="C26" s="1053" t="s">
        <v>325</v>
      </c>
      <c r="D26" s="234"/>
      <c r="E26" s="235"/>
      <c r="F26" s="876">
        <v>0</v>
      </c>
      <c r="G26" s="875"/>
      <c r="H26" s="876">
        <f>F26</f>
        <v>0</v>
      </c>
      <c r="I26" s="875"/>
      <c r="J26" s="876">
        <f>H26</f>
        <v>0</v>
      </c>
      <c r="K26" s="875"/>
      <c r="L26" s="876">
        <f>J26</f>
        <v>0</v>
      </c>
      <c r="M26" s="875"/>
      <c r="N26" s="53"/>
      <c r="O26" s="378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463"/>
      <c r="AA26" s="463"/>
      <c r="AB26" s="464"/>
    </row>
    <row r="27" spans="1:28" s="50" customFormat="1" ht="13.95" customHeight="1">
      <c r="A27"/>
      <c r="B27" s="242"/>
      <c r="C27" s="1053" t="s">
        <v>61</v>
      </c>
      <c r="D27" s="234"/>
      <c r="E27" s="235"/>
      <c r="F27" s="876">
        <v>12.5</v>
      </c>
      <c r="G27" s="875"/>
      <c r="H27" s="876">
        <v>12.5</v>
      </c>
      <c r="I27" s="875"/>
      <c r="J27" s="876">
        <f>H27</f>
        <v>12.5</v>
      </c>
      <c r="K27" s="875"/>
      <c r="L27" s="876">
        <f>J27</f>
        <v>12.5</v>
      </c>
      <c r="M27" s="875"/>
      <c r="N27" s="53"/>
      <c r="O27" s="1683" t="s">
        <v>459</v>
      </c>
      <c r="P27" s="151"/>
      <c r="Q27" s="151"/>
      <c r="R27" s="151"/>
      <c r="S27" s="151"/>
      <c r="T27" s="151"/>
      <c r="Y27" s="151"/>
      <c r="Z27" s="510"/>
      <c r="AA27" s="510"/>
      <c r="AB27" s="511"/>
    </row>
    <row r="28" spans="1:28" s="50" customFormat="1" ht="13.95" customHeight="1">
      <c r="A28"/>
      <c r="B28" s="242"/>
      <c r="C28" s="1053" t="s">
        <v>454</v>
      </c>
      <c r="D28" s="234"/>
      <c r="E28" s="235"/>
      <c r="F28" s="595">
        <v>0</v>
      </c>
      <c r="G28" s="875"/>
      <c r="H28" s="595">
        <f>F28+F28*P28</f>
        <v>0</v>
      </c>
      <c r="I28" s="875"/>
      <c r="J28" s="595">
        <f>H28+H28*Q28</f>
        <v>0</v>
      </c>
      <c r="K28" s="875"/>
      <c r="L28" s="595">
        <f>J28+J28*R28</f>
        <v>0</v>
      </c>
      <c r="M28" s="875"/>
      <c r="N28" s="53"/>
      <c r="O28" s="345"/>
      <c r="P28" s="382">
        <v>0.03</v>
      </c>
      <c r="Q28" s="382">
        <f>P28</f>
        <v>0.03</v>
      </c>
      <c r="R28" s="382">
        <f>Q28</f>
        <v>0.03</v>
      </c>
      <c r="S28" s="320"/>
      <c r="T28" s="320"/>
      <c r="U28" s="320"/>
      <c r="V28" s="320"/>
      <c r="W28" s="320"/>
      <c r="X28" s="320"/>
      <c r="Y28" s="320"/>
      <c r="Z28" s="463"/>
      <c r="AA28" s="463"/>
      <c r="AB28" s="464"/>
    </row>
    <row r="29" spans="1:28" s="50" customFormat="1" ht="13.95" customHeight="1">
      <c r="A29"/>
      <c r="B29" s="242"/>
      <c r="C29" s="1177" t="s">
        <v>634</v>
      </c>
      <c r="D29" s="234"/>
      <c r="E29" s="250"/>
      <c r="F29" s="1078">
        <v>0.27</v>
      </c>
      <c r="G29" s="882"/>
      <c r="H29" s="1078">
        <f>F29</f>
        <v>0.27</v>
      </c>
      <c r="I29" s="875"/>
      <c r="J29" s="1078">
        <f>H29</f>
        <v>0.27</v>
      </c>
      <c r="K29" s="875"/>
      <c r="L29" s="1078">
        <f>J29</f>
        <v>0.27</v>
      </c>
      <c r="M29" s="875"/>
      <c r="N29" s="53"/>
      <c r="O29" s="378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463"/>
      <c r="AA29" s="463"/>
      <c r="AB29" s="464"/>
    </row>
    <row r="30" spans="1:28" s="50" customFormat="1" ht="13.95" customHeight="1" thickBot="1">
      <c r="A30"/>
      <c r="B30" s="242"/>
      <c r="C30" s="167" t="s">
        <v>354</v>
      </c>
      <c r="D30" s="234"/>
      <c r="E30" s="250"/>
      <c r="F30" s="880">
        <v>0</v>
      </c>
      <c r="G30" s="881"/>
      <c r="H30" s="880">
        <v>0</v>
      </c>
      <c r="I30" s="881"/>
      <c r="J30" s="880">
        <v>0</v>
      </c>
      <c r="K30" s="881"/>
      <c r="L30" s="880">
        <v>0</v>
      </c>
      <c r="M30" s="882"/>
      <c r="N30" s="53"/>
      <c r="O30" s="378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463"/>
      <c r="AA30" s="463"/>
      <c r="AB30" s="464"/>
    </row>
    <row r="31" spans="1:28" s="1" customFormat="1" ht="13.95" customHeight="1">
      <c r="A31"/>
      <c r="B31" s="1075" t="s">
        <v>3</v>
      </c>
      <c r="C31" s="108" t="s">
        <v>19</v>
      </c>
      <c r="D31" s="237"/>
      <c r="E31" s="233"/>
      <c r="F31" s="883">
        <f>F32+F39+F41+F43+F42</f>
        <v>0</v>
      </c>
      <c r="G31" s="884">
        <f>IF(F$44=0,0,F31/F$44*100)</f>
        <v>0</v>
      </c>
      <c r="H31" s="883">
        <f>H32+H39+H41+H43+H42</f>
        <v>0</v>
      </c>
      <c r="I31" s="884">
        <f>IF(H$44=0,0,H31/H$44*100)</f>
        <v>0</v>
      </c>
      <c r="J31" s="883">
        <f>J32+J39+J41+J43+J42</f>
        <v>0</v>
      </c>
      <c r="K31" s="884">
        <f>IF(J$44=0,0,J31/J$44*100)</f>
        <v>0</v>
      </c>
      <c r="L31" s="883">
        <f>L32+L39+L41+L43+L42</f>
        <v>0</v>
      </c>
      <c r="M31" s="884">
        <f>IF(L$44=0,0,L31/L$44*100)</f>
        <v>0</v>
      </c>
      <c r="N31" s="3"/>
      <c r="O31" s="378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463"/>
      <c r="AA31" s="463"/>
      <c r="AB31" s="464"/>
    </row>
    <row r="32" spans="1:28" s="4" customFormat="1" ht="13.95" customHeight="1">
      <c r="A32" s="51"/>
      <c r="B32" s="417"/>
      <c r="C32" s="1410" t="s">
        <v>21</v>
      </c>
      <c r="D32" s="239"/>
      <c r="E32" s="238"/>
      <c r="F32" s="877">
        <f>F34+F37+F38</f>
        <v>0</v>
      </c>
      <c r="G32" s="885"/>
      <c r="H32" s="877">
        <f>H34+H37+H38</f>
        <v>0</v>
      </c>
      <c r="I32" s="885"/>
      <c r="J32" s="877">
        <f>J34+J37+J38</f>
        <v>0</v>
      </c>
      <c r="K32" s="885"/>
      <c r="L32" s="877">
        <f>L34+L37+L38</f>
        <v>0</v>
      </c>
      <c r="M32" s="885"/>
      <c r="N32" s="30"/>
      <c r="O32" s="378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463"/>
      <c r="AA32" s="463"/>
      <c r="AB32" s="464"/>
    </row>
    <row r="33" spans="1:28" s="50" customFormat="1" ht="13.95" customHeight="1">
      <c r="A33" s="2"/>
      <c r="B33" s="242"/>
      <c r="C33" s="1053" t="s">
        <v>504</v>
      </c>
      <c r="D33" s="239"/>
      <c r="E33" s="240"/>
      <c r="F33" s="886">
        <v>0.1734</v>
      </c>
      <c r="G33" s="887"/>
      <c r="H33" s="888">
        <f>F33</f>
        <v>0.1734</v>
      </c>
      <c r="I33" s="889"/>
      <c r="J33" s="888">
        <f>H33</f>
        <v>0.1734</v>
      </c>
      <c r="K33" s="887"/>
      <c r="L33" s="888">
        <f>J33</f>
        <v>0.1734</v>
      </c>
      <c r="M33" s="887"/>
      <c r="N33" s="53"/>
      <c r="O33" s="378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63"/>
      <c r="AA33" s="463"/>
      <c r="AB33" s="464"/>
    </row>
    <row r="34" spans="1:28" s="50" customFormat="1" ht="13.95" customHeight="1">
      <c r="A34"/>
      <c r="B34" s="242"/>
      <c r="C34" s="1053" t="s">
        <v>505</v>
      </c>
      <c r="D34" s="239"/>
      <c r="E34" s="235"/>
      <c r="F34" s="890">
        <f>(F33)*(F17+F24+F22+F28)</f>
        <v>0</v>
      </c>
      <c r="G34" s="891"/>
      <c r="H34" s="890">
        <f>(H33)*(H17+H24+H22+H28)</f>
        <v>0</v>
      </c>
      <c r="I34" s="892"/>
      <c r="J34" s="890">
        <f>(J33)*(J17+J24+J22+J28)</f>
        <v>0</v>
      </c>
      <c r="K34" s="891"/>
      <c r="L34" s="890">
        <f>(L33)*(L17+L24+L22+L28)</f>
        <v>0</v>
      </c>
      <c r="M34" s="875"/>
      <c r="N34" s="53"/>
      <c r="O34" s="1495"/>
      <c r="P34" s="1156"/>
      <c r="Q34" s="1156"/>
      <c r="R34" s="1156"/>
      <c r="S34" s="320"/>
      <c r="T34" s="320"/>
      <c r="U34" s="320"/>
      <c r="V34" s="320"/>
      <c r="W34" s="320"/>
      <c r="X34" s="320"/>
      <c r="Y34" s="320"/>
      <c r="Z34" s="463"/>
      <c r="AA34" s="463"/>
      <c r="AB34" s="464"/>
    </row>
    <row r="35" spans="1:28" s="50" customFormat="1" ht="13.95" customHeight="1">
      <c r="A35"/>
      <c r="B35" s="242"/>
      <c r="C35" s="1053" t="s">
        <v>327</v>
      </c>
      <c r="D35" s="234"/>
      <c r="E35" s="235"/>
      <c r="F35" s="893">
        <f>(F13+F14)*F15</f>
        <v>0</v>
      </c>
      <c r="G35" s="875"/>
      <c r="H35" s="893">
        <f>F35+F35*P35</f>
        <v>0</v>
      </c>
      <c r="I35" s="894"/>
      <c r="J35" s="893">
        <f>H35+H35*Q35</f>
        <v>0</v>
      </c>
      <c r="K35" s="875"/>
      <c r="L35" s="893">
        <f>J35+J35*R35</f>
        <v>0</v>
      </c>
      <c r="M35" s="875"/>
      <c r="N35" s="53"/>
      <c r="O35" s="345"/>
      <c r="P35" s="382">
        <v>0.03</v>
      </c>
      <c r="Q35" s="382">
        <f>P35</f>
        <v>0.03</v>
      </c>
      <c r="R35" s="382">
        <f>Q35</f>
        <v>0.03</v>
      </c>
      <c r="S35" s="320"/>
      <c r="T35" s="320"/>
      <c r="U35" s="320"/>
      <c r="V35" s="320"/>
      <c r="W35" s="320"/>
      <c r="X35" s="320"/>
      <c r="Y35" s="320"/>
      <c r="Z35" s="463"/>
      <c r="AA35" s="463"/>
      <c r="AB35" s="464"/>
    </row>
    <row r="36" spans="1:28" s="50" customFormat="1" ht="13.95" customHeight="1">
      <c r="A36"/>
      <c r="B36" s="242"/>
      <c r="C36" s="1053" t="s">
        <v>73</v>
      </c>
      <c r="D36" s="239"/>
      <c r="E36" s="240"/>
      <c r="F36" s="886">
        <v>0.24099999999999999</v>
      </c>
      <c r="G36" s="887"/>
      <c r="H36" s="888">
        <f>F36</f>
        <v>0.24099999999999999</v>
      </c>
      <c r="I36" s="889"/>
      <c r="J36" s="888">
        <f>H36</f>
        <v>0.24099999999999999</v>
      </c>
      <c r="K36" s="887"/>
      <c r="L36" s="888">
        <f>J36</f>
        <v>0.24099999999999999</v>
      </c>
      <c r="M36" s="887"/>
      <c r="N36" s="53"/>
      <c r="O36" s="378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463"/>
      <c r="AA36" s="463"/>
      <c r="AB36" s="464"/>
    </row>
    <row r="37" spans="1:28" s="50" customFormat="1" ht="13.95" customHeight="1">
      <c r="A37"/>
      <c r="B37" s="242"/>
      <c r="C37" s="1053" t="s">
        <v>22</v>
      </c>
      <c r="D37" s="239"/>
      <c r="E37" s="235"/>
      <c r="F37" s="621">
        <f>F35*F36</f>
        <v>0</v>
      </c>
      <c r="G37" s="875"/>
      <c r="H37" s="621">
        <f>H35*H36</f>
        <v>0</v>
      </c>
      <c r="I37" s="894"/>
      <c r="J37" s="621">
        <f>J35*J36</f>
        <v>0</v>
      </c>
      <c r="K37" s="875"/>
      <c r="L37" s="621">
        <f>L35*L36</f>
        <v>0</v>
      </c>
      <c r="M37" s="875"/>
      <c r="N37" s="53"/>
      <c r="O37" s="378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463"/>
      <c r="AA37" s="463"/>
      <c r="AB37" s="464"/>
    </row>
    <row r="38" spans="1:28" s="50" customFormat="1" ht="13.95" customHeight="1">
      <c r="A38"/>
      <c r="B38" s="242"/>
      <c r="C38" s="1053" t="s">
        <v>23</v>
      </c>
      <c r="D38" s="239"/>
      <c r="E38" s="235"/>
      <c r="F38" s="595">
        <v>0</v>
      </c>
      <c r="G38" s="875"/>
      <c r="H38" s="595">
        <f>F38</f>
        <v>0</v>
      </c>
      <c r="I38" s="894"/>
      <c r="J38" s="595">
        <f>H38</f>
        <v>0</v>
      </c>
      <c r="K38" s="875"/>
      <c r="L38" s="595">
        <f>J38</f>
        <v>0</v>
      </c>
      <c r="M38" s="875"/>
      <c r="N38" s="53"/>
      <c r="O38" s="378" t="s">
        <v>0</v>
      </c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463"/>
      <c r="AA38" s="463"/>
      <c r="AB38" s="464"/>
    </row>
    <row r="39" spans="1:28" s="4" customFormat="1" ht="13.95" customHeight="1">
      <c r="A39"/>
      <c r="B39" s="417"/>
      <c r="C39" s="1410" t="s">
        <v>24</v>
      </c>
      <c r="D39" s="492"/>
      <c r="E39" s="238"/>
      <c r="F39" s="895">
        <f>(F40)*(F17+F24+F22+F28)</f>
        <v>0</v>
      </c>
      <c r="G39" s="896"/>
      <c r="H39" s="895">
        <f>(H40)*(H17+H24+H22+H28)</f>
        <v>0</v>
      </c>
      <c r="I39" s="897"/>
      <c r="J39" s="895">
        <f>(J40)*(J17+J24+J22+J28)</f>
        <v>0</v>
      </c>
      <c r="K39" s="896"/>
      <c r="L39" s="895">
        <f>(L40)*(L17+L24+L22+L28)</f>
        <v>0</v>
      </c>
      <c r="M39" s="885"/>
      <c r="N39" s="30"/>
      <c r="O39" s="378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463"/>
      <c r="AA39" s="463"/>
      <c r="AB39" s="464"/>
    </row>
    <row r="40" spans="1:28" s="50" customFormat="1" ht="13.95" customHeight="1">
      <c r="A40"/>
      <c r="B40" s="242"/>
      <c r="C40" s="1053" t="s">
        <v>506</v>
      </c>
      <c r="D40" s="241"/>
      <c r="E40" s="240"/>
      <c r="F40" s="886">
        <v>2.06E-2</v>
      </c>
      <c r="G40" s="887"/>
      <c r="H40" s="888">
        <f>F40</f>
        <v>2.06E-2</v>
      </c>
      <c r="I40" s="889"/>
      <c r="J40" s="888">
        <f>H40</f>
        <v>2.06E-2</v>
      </c>
      <c r="K40" s="887"/>
      <c r="L40" s="888">
        <f>J40</f>
        <v>2.06E-2</v>
      </c>
      <c r="M40" s="887"/>
      <c r="N40" s="53"/>
      <c r="O40" s="378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463"/>
      <c r="AA40" s="463"/>
      <c r="AB40" s="464"/>
    </row>
    <row r="41" spans="1:28" s="50" customFormat="1" ht="13.95" customHeight="1">
      <c r="A41"/>
      <c r="B41" s="242"/>
      <c r="C41" s="1685" t="s">
        <v>763</v>
      </c>
      <c r="D41" s="239"/>
      <c r="E41" s="235"/>
      <c r="F41" s="895">
        <f>1.7 %*F35+1.16 %*(F12+F14*F15)</f>
        <v>0</v>
      </c>
      <c r="G41" s="896"/>
      <c r="H41" s="895">
        <f>1.7%*H35+1.16%*(H12+H14*H15)</f>
        <v>0</v>
      </c>
      <c r="I41" s="898"/>
      <c r="J41" s="895">
        <f>1.7%*J35+1.16%*(J12+J14*J15)</f>
        <v>0</v>
      </c>
      <c r="K41" s="896"/>
      <c r="L41" s="895">
        <f>1.7%*L35+1.16%*(L12+L14*L15)</f>
        <v>0</v>
      </c>
      <c r="M41" s="875"/>
      <c r="N41" s="53"/>
      <c r="O41" s="1496"/>
      <c r="P41" s="1497"/>
      <c r="Q41" s="1497"/>
      <c r="R41" s="1497"/>
      <c r="S41" s="320"/>
      <c r="T41" s="320"/>
      <c r="U41" s="320"/>
      <c r="V41" s="320"/>
      <c r="W41" s="320"/>
      <c r="X41" s="320"/>
      <c r="Y41" s="320"/>
      <c r="Z41" s="463"/>
      <c r="AA41" s="463"/>
      <c r="AB41" s="464"/>
    </row>
    <row r="42" spans="1:28" s="50" customFormat="1" ht="13.95" customHeight="1">
      <c r="A42"/>
      <c r="B42" s="242"/>
      <c r="C42" s="1685" t="s">
        <v>703</v>
      </c>
      <c r="D42" s="239"/>
      <c r="E42" s="235"/>
      <c r="F42" s="900">
        <v>0</v>
      </c>
      <c r="G42" s="885"/>
      <c r="H42" s="900">
        <f>F42+F42*P42</f>
        <v>0</v>
      </c>
      <c r="I42" s="899"/>
      <c r="J42" s="900">
        <f>H42+H42*Q42</f>
        <v>0</v>
      </c>
      <c r="K42" s="885"/>
      <c r="L42" s="900">
        <f>J42+J42*R42</f>
        <v>0</v>
      </c>
      <c r="M42" s="875"/>
      <c r="N42" s="53"/>
      <c r="O42" s="345"/>
      <c r="P42" s="382">
        <v>0.03</v>
      </c>
      <c r="Q42" s="382">
        <f>P42</f>
        <v>0.03</v>
      </c>
      <c r="R42" s="382">
        <f>Q42</f>
        <v>0.03</v>
      </c>
      <c r="S42" s="320"/>
      <c r="T42" s="320"/>
      <c r="U42" s="320"/>
      <c r="V42" s="320"/>
      <c r="W42" s="320"/>
      <c r="X42" s="320"/>
      <c r="Y42" s="320"/>
      <c r="Z42" s="463"/>
      <c r="AA42" s="463"/>
      <c r="AB42" s="464"/>
    </row>
    <row r="43" spans="1:28" s="50" customFormat="1" ht="13.95" customHeight="1">
      <c r="A43"/>
      <c r="B43" s="242"/>
      <c r="C43" s="1410" t="s">
        <v>367</v>
      </c>
      <c r="D43" s="239"/>
      <c r="E43" s="235"/>
      <c r="F43" s="900">
        <v>0</v>
      </c>
      <c r="G43" s="885"/>
      <c r="H43" s="900">
        <f>F43+F43*P43</f>
        <v>0</v>
      </c>
      <c r="I43" s="885"/>
      <c r="J43" s="900">
        <f>H43+H43*Q43</f>
        <v>0</v>
      </c>
      <c r="K43" s="885"/>
      <c r="L43" s="900">
        <f>J43+J43*R43</f>
        <v>0</v>
      </c>
      <c r="M43" s="885"/>
      <c r="N43" s="53"/>
      <c r="O43" s="345"/>
      <c r="P43" s="382">
        <v>0.03</v>
      </c>
      <c r="Q43" s="382">
        <f>P43</f>
        <v>0.03</v>
      </c>
      <c r="R43" s="382">
        <f>Q43</f>
        <v>0.03</v>
      </c>
      <c r="S43" s="320"/>
      <c r="T43" s="320"/>
      <c r="U43" s="320"/>
      <c r="V43" s="320"/>
      <c r="W43" s="320"/>
      <c r="X43" s="320"/>
      <c r="Y43" s="320"/>
      <c r="Z43" s="463"/>
      <c r="AA43" s="463"/>
      <c r="AB43" s="464"/>
    </row>
    <row r="44" spans="1:28" s="50" customFormat="1" ht="13.95" customHeight="1" thickBot="1">
      <c r="A44"/>
      <c r="B44" s="242"/>
      <c r="C44" s="47" t="s">
        <v>74</v>
      </c>
      <c r="D44" s="243"/>
      <c r="E44" s="244"/>
      <c r="F44" s="901">
        <f>F31+F11</f>
        <v>0</v>
      </c>
      <c r="G44" s="902">
        <v>100</v>
      </c>
      <c r="H44" s="901">
        <f>H31+H11</f>
        <v>0</v>
      </c>
      <c r="I44" s="902">
        <v>100</v>
      </c>
      <c r="J44" s="901">
        <f>J31+J11</f>
        <v>0</v>
      </c>
      <c r="K44" s="902">
        <v>100</v>
      </c>
      <c r="L44" s="901">
        <f>L31+L11</f>
        <v>0</v>
      </c>
      <c r="M44" s="902">
        <v>100</v>
      </c>
      <c r="N44" s="53"/>
      <c r="O44" s="378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463"/>
      <c r="AA44" s="463"/>
      <c r="AB44" s="464"/>
    </row>
    <row r="45" spans="1:28" s="1" customFormat="1" ht="13.95" customHeight="1">
      <c r="A45"/>
      <c r="B45" s="1075" t="s">
        <v>4</v>
      </c>
      <c r="C45" s="1081" t="s">
        <v>25</v>
      </c>
      <c r="D45" s="1082">
        <f>D46+D52+D63+D69+D74+D79+D83+D86+D87+D88+D94+D99+D104+D107+D112+D116+D117+D118+D121+D119+D120+D122+D123</f>
        <v>0</v>
      </c>
      <c r="E45" s="884">
        <v>100</v>
      </c>
      <c r="F45" s="871">
        <f>F46+F52+F63+F69+F74+F79+F83+F86+F87+F88+F94+F99+F104+F107+F112+F116+F117+F118+F121+F119+F120+F122+F123</f>
        <v>0</v>
      </c>
      <c r="G45" s="872">
        <v>100</v>
      </c>
      <c r="H45" s="871">
        <f>H46+H52+H63+H69+H74+H79+H83+H86+H87+H88+H94+H99+H104+H107+H112+H116+H117+H118+H121+H119+H120+H122+H123</f>
        <v>0</v>
      </c>
      <c r="I45" s="872">
        <v>100</v>
      </c>
      <c r="J45" s="871">
        <f>J46+J52+J63+J69+J74+J79+J83+J86+J87+J88+J94+J99+J104+J107+J112+J116+J117+J118+J121+J119+J120+J122+J123</f>
        <v>0</v>
      </c>
      <c r="K45" s="872">
        <v>100</v>
      </c>
      <c r="L45" s="871">
        <f>L46+L52+L63+L69+L74+L79+L83+L86+L87+L88+L94+L99+L104+L107+L112+L116+L117+L118+L121+L119+L120+L122+L123</f>
        <v>0</v>
      </c>
      <c r="M45" s="872">
        <v>100</v>
      </c>
      <c r="N45" s="3"/>
      <c r="O45" s="378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463"/>
      <c r="AA45" s="463"/>
      <c r="AB45" s="464"/>
    </row>
    <row r="46" spans="1:28" s="4" customFormat="1" ht="13.95" customHeight="1">
      <c r="A46"/>
      <c r="B46" s="417" t="s">
        <v>0</v>
      </c>
      <c r="C46" s="1057" t="s">
        <v>26</v>
      </c>
      <c r="D46" s="1080">
        <f>SUM(D47:D51)</f>
        <v>0</v>
      </c>
      <c r="E46" s="914">
        <f>IF(D$45=0,0,100*D46/D$45)</f>
        <v>0</v>
      </c>
      <c r="F46" s="913">
        <f>SUM(F47:F51)</f>
        <v>0</v>
      </c>
      <c r="G46" s="914">
        <f>IF(F$45=0,0,100*F46/F$45)</f>
        <v>0</v>
      </c>
      <c r="H46" s="913">
        <f>SUM(H47:H51)</f>
        <v>0</v>
      </c>
      <c r="I46" s="914">
        <f>IF(H$45=0,0,100*H46/H$45)</f>
        <v>0</v>
      </c>
      <c r="J46" s="913">
        <f>SUM(J47:J51)</f>
        <v>0</v>
      </c>
      <c r="K46" s="914">
        <f>IF(J$45=0,0,100*J46/J$45)</f>
        <v>0</v>
      </c>
      <c r="L46" s="913">
        <f>SUM(L47:L51)</f>
        <v>0</v>
      </c>
      <c r="M46" s="914">
        <f>IF(L$45=0,0,100*L46/L$45)</f>
        <v>0</v>
      </c>
      <c r="N46" s="48"/>
      <c r="O46" s="1498"/>
      <c r="P46" s="316"/>
      <c r="Q46" s="316"/>
      <c r="R46" s="316"/>
      <c r="S46" s="320"/>
      <c r="T46" s="320"/>
      <c r="U46" s="320"/>
      <c r="V46" s="320"/>
      <c r="W46" s="320"/>
      <c r="X46" s="320"/>
      <c r="Y46" s="320"/>
      <c r="Z46" s="463"/>
      <c r="AA46" s="463"/>
      <c r="AB46" s="464"/>
    </row>
    <row r="47" spans="1:28" s="50" customFormat="1" ht="13.95" customHeight="1">
      <c r="A47"/>
      <c r="B47" s="242"/>
      <c r="C47" s="1053" t="s">
        <v>330</v>
      </c>
      <c r="D47" s="1052">
        <v>0</v>
      </c>
      <c r="E47" s="891"/>
      <c r="F47" s="595">
        <f>D47+D47*O47</f>
        <v>0</v>
      </c>
      <c r="G47" s="891"/>
      <c r="H47" s="595">
        <f>F47+F47*P47</f>
        <v>0</v>
      </c>
      <c r="I47" s="891"/>
      <c r="J47" s="595">
        <f>H47+H47*Q47</f>
        <v>0</v>
      </c>
      <c r="K47" s="891"/>
      <c r="L47" s="595">
        <f>J47+J47*R47</f>
        <v>0</v>
      </c>
      <c r="M47" s="891"/>
      <c r="N47" s="54"/>
      <c r="O47" s="382">
        <v>0.03</v>
      </c>
      <c r="P47" s="382">
        <f>O47</f>
        <v>0.03</v>
      </c>
      <c r="Q47" s="382">
        <f t="shared" ref="Q47:R51" si="0">P47</f>
        <v>0.03</v>
      </c>
      <c r="R47" s="382">
        <f t="shared" si="0"/>
        <v>0.03</v>
      </c>
      <c r="S47" s="320"/>
      <c r="T47" s="320"/>
      <c r="U47" s="320"/>
      <c r="V47" s="320"/>
      <c r="W47" s="320"/>
      <c r="X47" s="320"/>
      <c r="Y47" s="320"/>
      <c r="Z47" s="463"/>
      <c r="AA47" s="463"/>
      <c r="AB47" s="464"/>
    </row>
    <row r="48" spans="1:28" s="50" customFormat="1" ht="13.95" customHeight="1">
      <c r="A48"/>
      <c r="B48" s="242"/>
      <c r="C48" s="1053" t="s">
        <v>331</v>
      </c>
      <c r="D48" s="1052">
        <v>0</v>
      </c>
      <c r="E48" s="891"/>
      <c r="F48" s="595">
        <f>D48+D48*O48</f>
        <v>0</v>
      </c>
      <c r="G48" s="891"/>
      <c r="H48" s="595">
        <f>F48+F48*P48</f>
        <v>0</v>
      </c>
      <c r="I48" s="891"/>
      <c r="J48" s="595">
        <f>H48+H48*Q48</f>
        <v>0</v>
      </c>
      <c r="K48" s="891"/>
      <c r="L48" s="595">
        <f>J48+J48*R48</f>
        <v>0</v>
      </c>
      <c r="M48" s="891"/>
      <c r="N48" s="53"/>
      <c r="O48" s="382">
        <v>0.03</v>
      </c>
      <c r="P48" s="382">
        <f>O48</f>
        <v>0.03</v>
      </c>
      <c r="Q48" s="382">
        <f>P48</f>
        <v>0.03</v>
      </c>
      <c r="R48" s="382">
        <f>Q48</f>
        <v>0.03</v>
      </c>
      <c r="S48" s="320"/>
      <c r="T48" s="320"/>
      <c r="U48" s="320"/>
      <c r="V48" s="320"/>
      <c r="W48" s="320"/>
      <c r="X48" s="320"/>
      <c r="Y48" s="320"/>
      <c r="Z48" s="463"/>
      <c r="AA48" s="463"/>
      <c r="AB48" s="464"/>
    </row>
    <row r="49" spans="1:28" s="50" customFormat="1" ht="13.95" customHeight="1">
      <c r="A49"/>
      <c r="B49" s="242"/>
      <c r="C49" s="1053" t="s">
        <v>29</v>
      </c>
      <c r="D49" s="1052">
        <v>0</v>
      </c>
      <c r="E49" s="891"/>
      <c r="F49" s="595">
        <f>D49+D49*O49</f>
        <v>0</v>
      </c>
      <c r="G49" s="891"/>
      <c r="H49" s="595">
        <f>F49+F49*P49</f>
        <v>0</v>
      </c>
      <c r="I49" s="891"/>
      <c r="J49" s="595">
        <f>H49+H49*Q49</f>
        <v>0</v>
      </c>
      <c r="K49" s="891"/>
      <c r="L49" s="595">
        <f>J49+J49*R49</f>
        <v>0</v>
      </c>
      <c r="M49" s="891"/>
      <c r="N49" s="53"/>
      <c r="O49" s="382">
        <v>0.03</v>
      </c>
      <c r="P49" s="382">
        <f>O49</f>
        <v>0.03</v>
      </c>
      <c r="Q49" s="382">
        <f>P49</f>
        <v>0.03</v>
      </c>
      <c r="R49" s="382">
        <f>Q49</f>
        <v>0.03</v>
      </c>
      <c r="S49" s="320"/>
      <c r="T49" s="320" t="s">
        <v>624</v>
      </c>
      <c r="U49" s="320"/>
      <c r="V49" s="320"/>
      <c r="W49" s="320"/>
      <c r="X49" s="320"/>
      <c r="Y49" s="320"/>
      <c r="Z49" s="463"/>
      <c r="AA49" s="463"/>
      <c r="AB49" s="464"/>
    </row>
    <row r="50" spans="1:28" s="50" customFormat="1" ht="13.95" customHeight="1">
      <c r="A50"/>
      <c r="B50" s="242"/>
      <c r="C50" s="1053" t="s">
        <v>30</v>
      </c>
      <c r="D50" s="1052">
        <v>0</v>
      </c>
      <c r="E50" s="891"/>
      <c r="F50" s="595">
        <f>D50+D50*O50</f>
        <v>0</v>
      </c>
      <c r="G50" s="891"/>
      <c r="H50" s="595">
        <f>F50+F50*P50</f>
        <v>0</v>
      </c>
      <c r="I50" s="891"/>
      <c r="J50" s="595">
        <f>H50+H50*Q50</f>
        <v>0</v>
      </c>
      <c r="K50" s="891"/>
      <c r="L50" s="595">
        <f>J50+J50*R50</f>
        <v>0</v>
      </c>
      <c r="M50" s="891"/>
      <c r="N50" s="53"/>
      <c r="O50" s="382">
        <v>0.03</v>
      </c>
      <c r="P50" s="382">
        <f>O50</f>
        <v>0.03</v>
      </c>
      <c r="Q50" s="382">
        <f t="shared" si="0"/>
        <v>0.03</v>
      </c>
      <c r="R50" s="382">
        <f t="shared" si="0"/>
        <v>0.03</v>
      </c>
      <c r="S50" s="320"/>
      <c r="T50" s="320"/>
      <c r="U50" s="320"/>
      <c r="V50" s="320"/>
      <c r="W50" s="320"/>
      <c r="X50" s="320"/>
      <c r="Y50" s="320"/>
      <c r="Z50" s="463"/>
      <c r="AA50" s="463"/>
      <c r="AB50" s="464"/>
    </row>
    <row r="51" spans="1:28" s="50" customFormat="1" ht="13.95" customHeight="1" thickBot="1">
      <c r="A51"/>
      <c r="B51" s="242"/>
      <c r="C51" s="1055" t="s">
        <v>31</v>
      </c>
      <c r="D51" s="1052">
        <v>0</v>
      </c>
      <c r="E51" s="905"/>
      <c r="F51" s="595">
        <f>D51+D51*O51</f>
        <v>0</v>
      </c>
      <c r="G51" s="905"/>
      <c r="H51" s="595">
        <f>F51+F51*P51</f>
        <v>0</v>
      </c>
      <c r="I51" s="905"/>
      <c r="J51" s="906">
        <f>H51+H51*Q51</f>
        <v>0</v>
      </c>
      <c r="K51" s="905"/>
      <c r="L51" s="906">
        <f>J51+J51*R51</f>
        <v>0</v>
      </c>
      <c r="M51" s="905"/>
      <c r="N51" s="53"/>
      <c r="O51" s="382">
        <v>0.03</v>
      </c>
      <c r="P51" s="382">
        <f>O51</f>
        <v>0.03</v>
      </c>
      <c r="Q51" s="382">
        <f t="shared" si="0"/>
        <v>0.03</v>
      </c>
      <c r="R51" s="382">
        <f t="shared" si="0"/>
        <v>0.03</v>
      </c>
      <c r="S51" s="320"/>
      <c r="T51" s="320"/>
      <c r="U51" s="320"/>
      <c r="V51" s="320"/>
      <c r="W51" s="320"/>
      <c r="X51" s="320"/>
      <c r="Y51" s="320"/>
      <c r="Z51" s="463"/>
      <c r="AA51" s="463"/>
      <c r="AB51" s="464"/>
    </row>
    <row r="52" spans="1:28" s="4" customFormat="1" ht="13.95" customHeight="1">
      <c r="A52"/>
      <c r="B52" s="1062" t="s">
        <v>0</v>
      </c>
      <c r="C52" s="1054" t="s">
        <v>27</v>
      </c>
      <c r="D52" s="903">
        <f>SUM(D53:D62)</f>
        <v>0</v>
      </c>
      <c r="E52" s="904">
        <f>IF(D$45=0,0,100*D52/D$45)</f>
        <v>0</v>
      </c>
      <c r="F52" s="903">
        <f>SUM(F53:F62)</f>
        <v>0</v>
      </c>
      <c r="G52" s="904">
        <f>IF(F$45=0,0,100*F52/F$45)</f>
        <v>0</v>
      </c>
      <c r="H52" s="903">
        <f>SUM(H53:H62)</f>
        <v>0</v>
      </c>
      <c r="I52" s="904">
        <f>IF(H$45=0,0,100*H52/H$45)</f>
        <v>0</v>
      </c>
      <c r="J52" s="903">
        <f>SUM(J53:J62)</f>
        <v>0</v>
      </c>
      <c r="K52" s="904">
        <f>IF(J$45=0,0,100*J52/J$45)</f>
        <v>0</v>
      </c>
      <c r="L52" s="903">
        <f>SUM(L53:L62)</f>
        <v>0</v>
      </c>
      <c r="M52" s="904">
        <f>IF(L$45=0,0,100*L52/L$45)</f>
        <v>0</v>
      </c>
      <c r="N52" s="48"/>
      <c r="O52" s="1499"/>
      <c r="P52" s="316"/>
      <c r="Q52" s="316"/>
      <c r="R52" s="316"/>
      <c r="S52" s="320"/>
      <c r="T52" s="320"/>
      <c r="U52" s="320"/>
      <c r="V52" s="320"/>
      <c r="W52" s="320"/>
      <c r="X52" s="320"/>
      <c r="Y52" s="320"/>
      <c r="Z52" s="463"/>
      <c r="AA52" s="463"/>
      <c r="AB52" s="464"/>
    </row>
    <row r="53" spans="1:28" s="50" customFormat="1" ht="13.95" customHeight="1">
      <c r="A53"/>
      <c r="B53" s="1063"/>
      <c r="C53" s="1053" t="s">
        <v>698</v>
      </c>
      <c r="D53" s="595">
        <v>0</v>
      </c>
      <c r="E53" s="891"/>
      <c r="F53" s="595">
        <f>D53+D53*O53</f>
        <v>0</v>
      </c>
      <c r="G53" s="891"/>
      <c r="H53" s="595">
        <f>F53+F53*P53</f>
        <v>0</v>
      </c>
      <c r="I53" s="891"/>
      <c r="J53" s="595">
        <f>H53+H53*Q53</f>
        <v>0</v>
      </c>
      <c r="K53" s="891"/>
      <c r="L53" s="595">
        <f t="shared" ref="L53:L62" si="1">J53+J53*R53</f>
        <v>0</v>
      </c>
      <c r="M53" s="891"/>
      <c r="N53" s="54"/>
      <c r="O53" s="382">
        <v>0.03</v>
      </c>
      <c r="P53" s="382">
        <f t="shared" ref="P53:P62" si="2">O53</f>
        <v>0.03</v>
      </c>
      <c r="Q53" s="382">
        <f t="shared" ref="Q53:R62" si="3">P53</f>
        <v>0.03</v>
      </c>
      <c r="R53" s="382">
        <f t="shared" si="3"/>
        <v>0.03</v>
      </c>
      <c r="S53" s="320"/>
      <c r="T53" s="320"/>
      <c r="U53" s="320"/>
      <c r="V53" s="320"/>
      <c r="W53" s="320"/>
      <c r="X53" s="320"/>
      <c r="Y53" s="320"/>
      <c r="Z53" s="463"/>
      <c r="AA53" s="463"/>
      <c r="AB53" s="464"/>
    </row>
    <row r="54" spans="1:28" s="50" customFormat="1" ht="13.95" customHeight="1">
      <c r="A54" s="51"/>
      <c r="B54" s="242"/>
      <c r="C54" s="1053" t="s">
        <v>32</v>
      </c>
      <c r="D54" s="595">
        <v>0</v>
      </c>
      <c r="E54" s="891"/>
      <c r="F54" s="595">
        <f t="shared" ref="F54:F62" si="4">D54+D54*O54</f>
        <v>0</v>
      </c>
      <c r="G54" s="891"/>
      <c r="H54" s="595">
        <f t="shared" ref="H54:H62" si="5">F54+F54*P54</f>
        <v>0</v>
      </c>
      <c r="I54" s="891"/>
      <c r="J54" s="595">
        <f t="shared" ref="J54:J62" si="6">H54+H54*Q54</f>
        <v>0</v>
      </c>
      <c r="K54" s="891"/>
      <c r="L54" s="595">
        <f t="shared" si="1"/>
        <v>0</v>
      </c>
      <c r="M54" s="891"/>
      <c r="N54" s="55"/>
      <c r="O54" s="382">
        <v>0.03</v>
      </c>
      <c r="P54" s="382">
        <f t="shared" si="2"/>
        <v>0.03</v>
      </c>
      <c r="Q54" s="382">
        <f t="shared" si="3"/>
        <v>0.03</v>
      </c>
      <c r="R54" s="382">
        <f t="shared" si="3"/>
        <v>0.03</v>
      </c>
      <c r="S54" s="320"/>
      <c r="T54" s="320"/>
      <c r="U54" s="320"/>
      <c r="V54" s="320"/>
      <c r="W54" s="320"/>
      <c r="X54" s="320"/>
      <c r="Y54" s="320"/>
      <c r="Z54" s="463"/>
      <c r="AA54" s="463"/>
      <c r="AB54" s="464"/>
    </row>
    <row r="55" spans="1:28" s="50" customFormat="1" ht="13.95" customHeight="1">
      <c r="A55" s="2"/>
      <c r="B55" s="242"/>
      <c r="C55" s="1053" t="s">
        <v>33</v>
      </c>
      <c r="D55" s="595">
        <v>0</v>
      </c>
      <c r="E55" s="891"/>
      <c r="F55" s="595">
        <f t="shared" si="4"/>
        <v>0</v>
      </c>
      <c r="G55" s="891"/>
      <c r="H55" s="595">
        <f t="shared" si="5"/>
        <v>0</v>
      </c>
      <c r="I55" s="891"/>
      <c r="J55" s="595">
        <f t="shared" si="6"/>
        <v>0</v>
      </c>
      <c r="K55" s="891"/>
      <c r="L55" s="595">
        <f t="shared" si="1"/>
        <v>0</v>
      </c>
      <c r="M55" s="891"/>
      <c r="N55" s="55"/>
      <c r="O55" s="382">
        <v>0.03</v>
      </c>
      <c r="P55" s="382">
        <f t="shared" si="2"/>
        <v>0.03</v>
      </c>
      <c r="Q55" s="382">
        <f t="shared" si="3"/>
        <v>0.03</v>
      </c>
      <c r="R55" s="382">
        <f t="shared" si="3"/>
        <v>0.03</v>
      </c>
      <c r="S55" s="320"/>
      <c r="T55" s="320"/>
      <c r="U55" s="320"/>
      <c r="V55" s="320"/>
      <c r="W55" s="320"/>
      <c r="X55" s="320"/>
      <c r="Y55" s="320"/>
      <c r="Z55" s="463"/>
      <c r="AA55" s="463"/>
      <c r="AB55" s="464"/>
    </row>
    <row r="56" spans="1:28" s="50" customFormat="1" ht="13.95" customHeight="1">
      <c r="A56"/>
      <c r="B56" s="242"/>
      <c r="C56" s="1053" t="s">
        <v>34</v>
      </c>
      <c r="D56" s="595">
        <v>0</v>
      </c>
      <c r="E56" s="891"/>
      <c r="F56" s="595">
        <f t="shared" si="4"/>
        <v>0</v>
      </c>
      <c r="G56" s="891"/>
      <c r="H56" s="595">
        <f t="shared" si="5"/>
        <v>0</v>
      </c>
      <c r="I56" s="891"/>
      <c r="J56" s="595">
        <f t="shared" si="6"/>
        <v>0</v>
      </c>
      <c r="K56" s="891"/>
      <c r="L56" s="595">
        <f t="shared" si="1"/>
        <v>0</v>
      </c>
      <c r="M56" s="891"/>
      <c r="N56" s="55"/>
      <c r="O56" s="382">
        <v>0.03</v>
      </c>
      <c r="P56" s="382">
        <f t="shared" si="2"/>
        <v>0.03</v>
      </c>
      <c r="Q56" s="382">
        <f t="shared" si="3"/>
        <v>0.03</v>
      </c>
      <c r="R56" s="382">
        <f t="shared" si="3"/>
        <v>0.03</v>
      </c>
      <c r="S56" s="320"/>
      <c r="T56" s="320"/>
      <c r="U56" s="320" t="s">
        <v>623</v>
      </c>
      <c r="V56" s="320"/>
      <c r="W56" s="320"/>
      <c r="X56" s="320"/>
      <c r="Y56" s="320"/>
      <c r="Z56" s="463"/>
      <c r="AA56" s="463"/>
      <c r="AB56" s="464"/>
    </row>
    <row r="57" spans="1:28" s="50" customFormat="1" ht="13.95" customHeight="1">
      <c r="A57"/>
      <c r="B57" s="242"/>
      <c r="C57" s="1053" t="s">
        <v>337</v>
      </c>
      <c r="D57" s="595">
        <v>0</v>
      </c>
      <c r="E57" s="891"/>
      <c r="F57" s="595">
        <f t="shared" si="4"/>
        <v>0</v>
      </c>
      <c r="G57" s="891"/>
      <c r="H57" s="595">
        <f t="shared" si="5"/>
        <v>0</v>
      </c>
      <c r="I57" s="891"/>
      <c r="J57" s="595">
        <f t="shared" si="6"/>
        <v>0</v>
      </c>
      <c r="K57" s="891"/>
      <c r="L57" s="595">
        <f t="shared" si="1"/>
        <v>0</v>
      </c>
      <c r="M57" s="891"/>
      <c r="N57" s="55"/>
      <c r="O57" s="382">
        <v>0.03</v>
      </c>
      <c r="P57" s="382">
        <f t="shared" si="2"/>
        <v>0.03</v>
      </c>
      <c r="Q57" s="382">
        <f t="shared" si="3"/>
        <v>0.03</v>
      </c>
      <c r="R57" s="382">
        <f t="shared" si="3"/>
        <v>0.03</v>
      </c>
      <c r="S57" s="320"/>
      <c r="T57" s="320"/>
      <c r="U57" s="320"/>
      <c r="V57" s="320"/>
      <c r="W57" s="320"/>
      <c r="X57" s="320"/>
      <c r="Y57" s="320"/>
      <c r="Z57" s="463"/>
      <c r="AA57" s="463"/>
      <c r="AB57" s="464"/>
    </row>
    <row r="58" spans="1:28" s="50" customFormat="1" ht="13.95" customHeight="1">
      <c r="B58" s="242"/>
      <c r="C58" s="1053" t="s">
        <v>338</v>
      </c>
      <c r="D58" s="595">
        <v>0</v>
      </c>
      <c r="E58" s="891"/>
      <c r="F58" s="595">
        <f t="shared" si="4"/>
        <v>0</v>
      </c>
      <c r="G58" s="891"/>
      <c r="H58" s="595">
        <f t="shared" si="5"/>
        <v>0</v>
      </c>
      <c r="I58" s="891"/>
      <c r="J58" s="595">
        <f t="shared" si="6"/>
        <v>0</v>
      </c>
      <c r="K58" s="891"/>
      <c r="L58" s="595">
        <f t="shared" si="1"/>
        <v>0</v>
      </c>
      <c r="M58" s="891"/>
      <c r="N58" s="55"/>
      <c r="O58" s="382">
        <v>0.03</v>
      </c>
      <c r="P58" s="382">
        <f t="shared" si="2"/>
        <v>0.03</v>
      </c>
      <c r="Q58" s="382">
        <f t="shared" si="3"/>
        <v>0.03</v>
      </c>
      <c r="R58" s="382">
        <f t="shared" si="3"/>
        <v>0.03</v>
      </c>
      <c r="S58" s="320"/>
      <c r="T58" s="320"/>
      <c r="U58" s="320"/>
      <c r="V58" s="320"/>
      <c r="W58" s="320"/>
      <c r="X58" s="320"/>
      <c r="Y58" s="320"/>
      <c r="Z58" s="463"/>
      <c r="AA58" s="463"/>
      <c r="AB58" s="464"/>
    </row>
    <row r="59" spans="1:28" s="50" customFormat="1" ht="13.95" customHeight="1">
      <c r="A59" s="4"/>
      <c r="B59" s="242"/>
      <c r="C59" s="1053" t="s">
        <v>28</v>
      </c>
      <c r="D59" s="595">
        <v>0</v>
      </c>
      <c r="E59" s="891"/>
      <c r="F59" s="595">
        <f t="shared" si="4"/>
        <v>0</v>
      </c>
      <c r="G59" s="891"/>
      <c r="H59" s="595">
        <f t="shared" si="5"/>
        <v>0</v>
      </c>
      <c r="I59" s="891"/>
      <c r="J59" s="595">
        <f t="shared" si="6"/>
        <v>0</v>
      </c>
      <c r="K59" s="891"/>
      <c r="L59" s="595">
        <f t="shared" si="1"/>
        <v>0</v>
      </c>
      <c r="M59" s="891"/>
      <c r="N59" s="55"/>
      <c r="O59" s="382">
        <v>0.03</v>
      </c>
      <c r="P59" s="382">
        <f t="shared" si="2"/>
        <v>0.03</v>
      </c>
      <c r="Q59" s="382">
        <f t="shared" si="3"/>
        <v>0.03</v>
      </c>
      <c r="R59" s="382">
        <f t="shared" si="3"/>
        <v>0.03</v>
      </c>
      <c r="S59" s="320"/>
      <c r="T59" s="320"/>
      <c r="U59" s="320"/>
      <c r="V59" s="320"/>
      <c r="W59" s="320"/>
      <c r="X59" s="320"/>
      <c r="Y59" s="320"/>
      <c r="Z59" s="463"/>
      <c r="AA59" s="463"/>
      <c r="AB59" s="464"/>
    </row>
    <row r="60" spans="1:28" s="50" customFormat="1" ht="13.95" customHeight="1">
      <c r="A60" s="4"/>
      <c r="B60" s="242"/>
      <c r="C60" s="1053" t="s">
        <v>339</v>
      </c>
      <c r="D60" s="595">
        <v>0</v>
      </c>
      <c r="E60" s="891"/>
      <c r="F60" s="595">
        <f t="shared" si="4"/>
        <v>0</v>
      </c>
      <c r="G60" s="891"/>
      <c r="H60" s="595">
        <f>F60+F60*P60</f>
        <v>0</v>
      </c>
      <c r="I60" s="891"/>
      <c r="J60" s="595">
        <f>H60+H60*Q60</f>
        <v>0</v>
      </c>
      <c r="K60" s="891"/>
      <c r="L60" s="595">
        <f>J60+J60*R60</f>
        <v>0</v>
      </c>
      <c r="M60" s="891"/>
      <c r="N60" s="55"/>
      <c r="O60" s="382">
        <v>0.03</v>
      </c>
      <c r="P60" s="382">
        <f t="shared" si="2"/>
        <v>0.03</v>
      </c>
      <c r="Q60" s="382">
        <f t="shared" si="3"/>
        <v>0.03</v>
      </c>
      <c r="R60" s="382">
        <f t="shared" si="3"/>
        <v>0.03</v>
      </c>
      <c r="S60" s="320"/>
      <c r="T60" s="320"/>
      <c r="U60" s="320"/>
      <c r="V60" s="320"/>
      <c r="W60" s="320"/>
      <c r="X60" s="320"/>
      <c r="Y60" s="320"/>
      <c r="Z60" s="463"/>
      <c r="AA60" s="463"/>
      <c r="AB60" s="464"/>
    </row>
    <row r="61" spans="1:28" s="50" customFormat="1" ht="13.95" customHeight="1">
      <c r="A61" s="2"/>
      <c r="B61" s="242"/>
      <c r="C61" s="1053" t="s">
        <v>35</v>
      </c>
      <c r="D61" s="595">
        <v>0</v>
      </c>
      <c r="E61" s="891"/>
      <c r="F61" s="595">
        <f t="shared" si="4"/>
        <v>0</v>
      </c>
      <c r="G61" s="891"/>
      <c r="H61" s="595">
        <f t="shared" si="5"/>
        <v>0</v>
      </c>
      <c r="I61" s="891">
        <v>0</v>
      </c>
      <c r="J61" s="595">
        <f t="shared" si="6"/>
        <v>0</v>
      </c>
      <c r="K61" s="891"/>
      <c r="L61" s="595">
        <f t="shared" si="1"/>
        <v>0</v>
      </c>
      <c r="M61" s="891"/>
      <c r="N61" s="55"/>
      <c r="O61" s="382">
        <v>0.03</v>
      </c>
      <c r="P61" s="382">
        <f t="shared" si="2"/>
        <v>0.03</v>
      </c>
      <c r="Q61" s="382">
        <f t="shared" si="3"/>
        <v>0.03</v>
      </c>
      <c r="R61" s="382">
        <f t="shared" si="3"/>
        <v>0.03</v>
      </c>
      <c r="S61" s="320"/>
      <c r="T61" s="320"/>
      <c r="U61" s="320"/>
      <c r="V61" s="320"/>
      <c r="W61" s="320"/>
      <c r="X61" s="320"/>
      <c r="Y61" s="320"/>
      <c r="Z61" s="463"/>
      <c r="AA61" s="463"/>
      <c r="AB61" s="464"/>
    </row>
    <row r="62" spans="1:28" s="50" customFormat="1" ht="13.95" customHeight="1" thickBot="1">
      <c r="A62" s="51"/>
      <c r="B62" s="242"/>
      <c r="C62" s="1056" t="s">
        <v>36</v>
      </c>
      <c r="D62" s="595">
        <v>0</v>
      </c>
      <c r="E62" s="907"/>
      <c r="F62" s="595">
        <f t="shared" si="4"/>
        <v>0</v>
      </c>
      <c r="G62" s="907"/>
      <c r="H62" s="595">
        <f t="shared" si="5"/>
        <v>0</v>
      </c>
      <c r="I62" s="907"/>
      <c r="J62" s="595">
        <f t="shared" si="6"/>
        <v>0</v>
      </c>
      <c r="K62" s="907"/>
      <c r="L62" s="595">
        <f t="shared" si="1"/>
        <v>0</v>
      </c>
      <c r="M62" s="907"/>
      <c r="N62" s="55"/>
      <c r="O62" s="382">
        <v>0.03</v>
      </c>
      <c r="P62" s="382">
        <f t="shared" si="2"/>
        <v>0.03</v>
      </c>
      <c r="Q62" s="382">
        <f t="shared" si="3"/>
        <v>0.03</v>
      </c>
      <c r="R62" s="382">
        <f t="shared" si="3"/>
        <v>0.03</v>
      </c>
      <c r="S62" s="320"/>
      <c r="T62" s="320"/>
      <c r="U62" s="320"/>
      <c r="V62" s="320"/>
      <c r="W62" s="320"/>
      <c r="X62" s="320"/>
      <c r="Y62" s="320"/>
      <c r="Z62" s="463"/>
      <c r="AA62" s="463"/>
      <c r="AB62" s="464"/>
    </row>
    <row r="63" spans="1:28" s="4" customFormat="1" ht="13.95" customHeight="1">
      <c r="A63"/>
      <c r="B63" s="417"/>
      <c r="C63" s="1054" t="s">
        <v>495</v>
      </c>
      <c r="D63" s="903">
        <f>SUM(D64:D68)</f>
        <v>0</v>
      </c>
      <c r="E63" s="904">
        <f>IF(D$45=0,0,100*D63/D$45)</f>
        <v>0</v>
      </c>
      <c r="F63" s="903">
        <f>SUM(F64:F68)</f>
        <v>0</v>
      </c>
      <c r="G63" s="904">
        <f>IF(F$45=0,0,100*F63/F$45)</f>
        <v>0</v>
      </c>
      <c r="H63" s="903">
        <f>SUM(H64:H68)</f>
        <v>0</v>
      </c>
      <c r="I63" s="904">
        <f>IF(H$45=0,0,100*H63/H$45)</f>
        <v>0</v>
      </c>
      <c r="J63" s="903">
        <f>SUM(J64:J68)</f>
        <v>0</v>
      </c>
      <c r="K63" s="904">
        <f>IF(J$45=0,0,100*J63/J$45)</f>
        <v>0</v>
      </c>
      <c r="L63" s="903">
        <f>SUM(L64:L68)</f>
        <v>0</v>
      </c>
      <c r="M63" s="904">
        <f>IF(L$45=0,0,100*L63/L$45)</f>
        <v>0</v>
      </c>
      <c r="N63" s="30"/>
      <c r="O63" s="1499"/>
      <c r="P63" s="316"/>
      <c r="Q63" s="316"/>
      <c r="R63" s="316"/>
      <c r="S63" s="320"/>
      <c r="T63" s="320"/>
      <c r="U63" s="320"/>
      <c r="V63" s="320"/>
      <c r="W63" s="320"/>
      <c r="X63" s="320"/>
      <c r="Y63" s="320"/>
      <c r="Z63" s="463"/>
      <c r="AA63" s="463"/>
      <c r="AB63" s="464"/>
    </row>
    <row r="64" spans="1:28" s="50" customFormat="1" ht="13.95" customHeight="1">
      <c r="A64" s="51"/>
      <c r="B64" s="242"/>
      <c r="C64" s="1053" t="s">
        <v>176</v>
      </c>
      <c r="D64" s="595">
        <v>0</v>
      </c>
      <c r="E64" s="891"/>
      <c r="F64" s="595">
        <f>D64+D64*O64</f>
        <v>0</v>
      </c>
      <c r="G64" s="891"/>
      <c r="H64" s="595">
        <f>F64+F64*Q64</f>
        <v>0</v>
      </c>
      <c r="I64" s="891"/>
      <c r="J64" s="595">
        <f>H64+H64*Q64</f>
        <v>0</v>
      </c>
      <c r="K64" s="891"/>
      <c r="L64" s="595">
        <f>J64+J64*R64</f>
        <v>0</v>
      </c>
      <c r="M64" s="891"/>
      <c r="N64" s="53"/>
      <c r="O64" s="382">
        <v>0.03</v>
      </c>
      <c r="P64" s="382">
        <f>O64</f>
        <v>0.03</v>
      </c>
      <c r="Q64" s="382">
        <f t="shared" ref="Q64:R68" si="7">P64</f>
        <v>0.03</v>
      </c>
      <c r="R64" s="382">
        <f t="shared" si="7"/>
        <v>0.03</v>
      </c>
      <c r="S64" s="320"/>
      <c r="T64" s="320"/>
      <c r="U64" s="320"/>
      <c r="V64" s="320"/>
      <c r="W64" s="320"/>
      <c r="X64" s="320"/>
      <c r="Y64" s="320"/>
      <c r="Z64" s="463"/>
      <c r="AA64" s="463"/>
      <c r="AB64" s="464"/>
    </row>
    <row r="65" spans="2:28" s="50" customFormat="1" ht="13.95" customHeight="1">
      <c r="B65" s="242"/>
      <c r="C65" s="1053" t="s">
        <v>177</v>
      </c>
      <c r="D65" s="595">
        <v>0</v>
      </c>
      <c r="E65" s="891"/>
      <c r="F65" s="595">
        <f>D65+D65*O65</f>
        <v>0</v>
      </c>
      <c r="G65" s="891"/>
      <c r="H65" s="595">
        <f>F65+F65*P65</f>
        <v>0</v>
      </c>
      <c r="I65" s="891"/>
      <c r="J65" s="595">
        <f>H65+H65*Q65</f>
        <v>0</v>
      </c>
      <c r="K65" s="891"/>
      <c r="L65" s="595">
        <f>J65+J65*R65</f>
        <v>0</v>
      </c>
      <c r="M65" s="891"/>
      <c r="N65" s="53"/>
      <c r="O65" s="382">
        <v>0.03</v>
      </c>
      <c r="P65" s="382">
        <f>O65</f>
        <v>0.03</v>
      </c>
      <c r="Q65" s="382">
        <f t="shared" si="7"/>
        <v>0.03</v>
      </c>
      <c r="R65" s="382">
        <f t="shared" si="7"/>
        <v>0.03</v>
      </c>
      <c r="S65" s="320"/>
      <c r="T65" s="320"/>
      <c r="U65" s="320"/>
      <c r="V65" s="320"/>
      <c r="W65" s="320"/>
      <c r="X65" s="320"/>
      <c r="Y65" s="320"/>
      <c r="Z65" s="463"/>
      <c r="AA65" s="463"/>
      <c r="AB65" s="464"/>
    </row>
    <row r="66" spans="2:28" s="50" customFormat="1" ht="13.95" customHeight="1">
      <c r="B66" s="242"/>
      <c r="C66" s="1053" t="s">
        <v>38</v>
      </c>
      <c r="D66" s="595">
        <v>0</v>
      </c>
      <c r="E66" s="891"/>
      <c r="F66" s="595">
        <f>D66+D66*O66</f>
        <v>0</v>
      </c>
      <c r="G66" s="891"/>
      <c r="H66" s="595">
        <f>F66+F66*P66</f>
        <v>0</v>
      </c>
      <c r="I66" s="891"/>
      <c r="J66" s="595">
        <f>H66+H66*Q66</f>
        <v>0</v>
      </c>
      <c r="K66" s="891"/>
      <c r="L66" s="595">
        <f>J66+J66*R66</f>
        <v>0</v>
      </c>
      <c r="M66" s="891"/>
      <c r="N66" s="53"/>
      <c r="O66" s="382">
        <v>0.03</v>
      </c>
      <c r="P66" s="382">
        <f>O66</f>
        <v>0.03</v>
      </c>
      <c r="Q66" s="382">
        <f t="shared" si="7"/>
        <v>0.03</v>
      </c>
      <c r="R66" s="382">
        <f t="shared" si="7"/>
        <v>0.03</v>
      </c>
      <c r="S66" s="320"/>
      <c r="T66" s="320"/>
      <c r="U66" s="320"/>
      <c r="V66" s="320"/>
      <c r="W66" s="320"/>
      <c r="X66" s="320"/>
      <c r="Y66" s="320"/>
      <c r="Z66" s="463"/>
      <c r="AA66" s="463"/>
      <c r="AB66" s="464"/>
    </row>
    <row r="67" spans="2:28" s="50" customFormat="1" ht="13.95" customHeight="1">
      <c r="B67" s="242"/>
      <c r="C67" s="1053" t="s">
        <v>180</v>
      </c>
      <c r="D67" s="595">
        <v>0</v>
      </c>
      <c r="E67" s="891"/>
      <c r="F67" s="595">
        <f>D67+D67*O67</f>
        <v>0</v>
      </c>
      <c r="G67" s="891"/>
      <c r="H67" s="595">
        <f>F67+F67*P67</f>
        <v>0</v>
      </c>
      <c r="I67" s="891"/>
      <c r="J67" s="595">
        <f>H67+H67*Q67</f>
        <v>0</v>
      </c>
      <c r="K67" s="891"/>
      <c r="L67" s="595">
        <f>J67+J67*R67</f>
        <v>0</v>
      </c>
      <c r="M67" s="891"/>
      <c r="N67" s="53"/>
      <c r="O67" s="382">
        <v>0.03</v>
      </c>
      <c r="P67" s="382">
        <f>O67</f>
        <v>0.03</v>
      </c>
      <c r="Q67" s="382">
        <f t="shared" si="7"/>
        <v>0.03</v>
      </c>
      <c r="R67" s="382">
        <f t="shared" si="7"/>
        <v>0.03</v>
      </c>
      <c r="S67" s="320"/>
      <c r="T67" s="320"/>
      <c r="U67" s="320"/>
      <c r="V67" s="320"/>
      <c r="W67" s="320"/>
      <c r="X67" s="320"/>
      <c r="Y67" s="320"/>
      <c r="Z67" s="463"/>
      <c r="AA67" s="463"/>
      <c r="AB67" s="464"/>
    </row>
    <row r="68" spans="2:28" s="50" customFormat="1" ht="13.95" customHeight="1" thickBot="1">
      <c r="B68" s="1064"/>
      <c r="C68" s="1056" t="s">
        <v>496</v>
      </c>
      <c r="D68" s="595">
        <v>0</v>
      </c>
      <c r="E68" s="907"/>
      <c r="F68" s="595">
        <f>D68+D68*O68</f>
        <v>0</v>
      </c>
      <c r="G68" s="907"/>
      <c r="H68" s="595">
        <f>F68+F68*P68</f>
        <v>0</v>
      </c>
      <c r="I68" s="907"/>
      <c r="J68" s="595">
        <f>H68+H68*Q68</f>
        <v>0</v>
      </c>
      <c r="K68" s="907"/>
      <c r="L68" s="595">
        <f>J68+J68*R68</f>
        <v>0</v>
      </c>
      <c r="M68" s="907"/>
      <c r="N68" s="53"/>
      <c r="O68" s="382">
        <v>0.03</v>
      </c>
      <c r="P68" s="382">
        <f>O68</f>
        <v>0.03</v>
      </c>
      <c r="Q68" s="382">
        <f t="shared" si="7"/>
        <v>0.03</v>
      </c>
      <c r="R68" s="382">
        <f t="shared" si="7"/>
        <v>0.03</v>
      </c>
      <c r="S68" s="465"/>
      <c r="T68" s="465"/>
      <c r="U68" s="465"/>
      <c r="V68" s="465"/>
      <c r="W68" s="465"/>
      <c r="X68" s="465"/>
      <c r="Y68" s="465"/>
      <c r="Z68" s="466"/>
      <c r="AA68" s="466"/>
      <c r="AB68" s="467"/>
    </row>
    <row r="69" spans="2:28" s="4" customFormat="1" ht="13.95" customHeight="1">
      <c r="B69" s="417"/>
      <c r="C69" s="1054" t="s">
        <v>63</v>
      </c>
      <c r="D69" s="903">
        <f>SUM(D70:D73)</f>
        <v>0</v>
      </c>
      <c r="E69" s="904">
        <f>IF(D$45=0,0,100*D69/D$45)</f>
        <v>0</v>
      </c>
      <c r="F69" s="903">
        <f>SUM(F70:F73)</f>
        <v>0</v>
      </c>
      <c r="G69" s="904">
        <f>IF(F$45=0,0,100*F69/F$45)</f>
        <v>0</v>
      </c>
      <c r="H69" s="903">
        <f>SUM(H70:H73)</f>
        <v>0</v>
      </c>
      <c r="I69" s="904">
        <f>IF(H$45=0,0,100*H69/H$45)</f>
        <v>0</v>
      </c>
      <c r="J69" s="903">
        <f>SUM(J70:J73)</f>
        <v>0</v>
      </c>
      <c r="K69" s="904">
        <f>IF(J$45=0,0,100*J69/J$45)</f>
        <v>0</v>
      </c>
      <c r="L69" s="903">
        <f>SUM(L70:L73)</f>
        <v>0</v>
      </c>
      <c r="M69" s="904">
        <f>IF(L$45=0,0,100*L69/L$45)</f>
        <v>0</v>
      </c>
      <c r="N69" s="30"/>
      <c r="O69" s="1499"/>
      <c r="P69" s="316"/>
      <c r="Q69" s="316"/>
      <c r="R69" s="316"/>
      <c r="S69" s="320"/>
      <c r="T69" s="320"/>
      <c r="U69" s="320"/>
      <c r="V69" s="320"/>
      <c r="W69" s="320"/>
      <c r="X69" s="320"/>
      <c r="Y69" s="320"/>
      <c r="Z69" s="463"/>
      <c r="AA69" s="463"/>
      <c r="AB69" s="464"/>
    </row>
    <row r="70" spans="2:28" s="50" customFormat="1" ht="13.95" customHeight="1">
      <c r="B70" s="242"/>
      <c r="C70" s="1053" t="s">
        <v>322</v>
      </c>
      <c r="D70" s="595">
        <v>0</v>
      </c>
      <c r="E70" s="891"/>
      <c r="F70" s="595">
        <f>D70+D70*O70</f>
        <v>0</v>
      </c>
      <c r="G70" s="891"/>
      <c r="H70" s="595">
        <f>F70+F70*P70</f>
        <v>0</v>
      </c>
      <c r="I70" s="891"/>
      <c r="J70" s="595">
        <f>H70+H70*Q70</f>
        <v>0</v>
      </c>
      <c r="K70" s="891"/>
      <c r="L70" s="595">
        <f>J70+J70*R70</f>
        <v>0</v>
      </c>
      <c r="M70" s="891"/>
      <c r="N70" s="53"/>
      <c r="O70" s="382">
        <v>0.03</v>
      </c>
      <c r="P70" s="382">
        <f t="shared" ref="P70" si="8">O70</f>
        <v>0.03</v>
      </c>
      <c r="Q70" s="382">
        <f t="shared" ref="Q70:R73" si="9">P70</f>
        <v>0.03</v>
      </c>
      <c r="R70" s="382">
        <f t="shared" si="9"/>
        <v>0.03</v>
      </c>
      <c r="S70" s="320"/>
      <c r="T70" s="320"/>
      <c r="U70" s="320"/>
      <c r="V70" s="320"/>
      <c r="W70" s="320"/>
      <c r="X70" s="320"/>
      <c r="Y70" s="320"/>
      <c r="Z70" s="463"/>
      <c r="AA70" s="463"/>
      <c r="AB70" s="464"/>
    </row>
    <row r="71" spans="2:28" s="50" customFormat="1" ht="13.95" customHeight="1">
      <c r="B71" s="242"/>
      <c r="C71" s="1053" t="s">
        <v>37</v>
      </c>
      <c r="D71" s="595">
        <v>0</v>
      </c>
      <c r="E71" s="891"/>
      <c r="F71" s="595">
        <f>D71+D71*O71</f>
        <v>0</v>
      </c>
      <c r="G71" s="891"/>
      <c r="H71" s="595">
        <f>F71+F71*P71</f>
        <v>0</v>
      </c>
      <c r="I71" s="891"/>
      <c r="J71" s="595">
        <f>H71+H71*Q71</f>
        <v>0</v>
      </c>
      <c r="K71" s="891"/>
      <c r="L71" s="595">
        <f>J71+J71*R71</f>
        <v>0</v>
      </c>
      <c r="M71" s="891"/>
      <c r="N71" s="53"/>
      <c r="O71" s="382">
        <v>0.03</v>
      </c>
      <c r="P71" s="382">
        <f>O71</f>
        <v>0.03</v>
      </c>
      <c r="Q71" s="382">
        <f t="shared" si="9"/>
        <v>0.03</v>
      </c>
      <c r="R71" s="382">
        <f t="shared" si="9"/>
        <v>0.03</v>
      </c>
      <c r="S71" s="320"/>
      <c r="T71" s="320"/>
      <c r="U71" s="320"/>
      <c r="V71" s="320"/>
      <c r="W71" s="320"/>
      <c r="X71" s="320"/>
      <c r="Y71" s="320"/>
      <c r="Z71" s="463"/>
      <c r="AA71" s="463"/>
      <c r="AB71" s="464"/>
    </row>
    <row r="72" spans="2:28" s="50" customFormat="1" ht="13.95" customHeight="1">
      <c r="B72" s="242"/>
      <c r="C72" s="1053" t="s">
        <v>630</v>
      </c>
      <c r="D72" s="595">
        <v>0</v>
      </c>
      <c r="E72" s="891"/>
      <c r="F72" s="595">
        <f>D72+D72*O72</f>
        <v>0</v>
      </c>
      <c r="G72" s="891"/>
      <c r="H72" s="595">
        <f>F72+F72*P72</f>
        <v>0</v>
      </c>
      <c r="I72" s="891"/>
      <c r="J72" s="595">
        <f>H72+H72*Q72</f>
        <v>0</v>
      </c>
      <c r="K72" s="891"/>
      <c r="L72" s="595">
        <f>J72+J72*R72</f>
        <v>0</v>
      </c>
      <c r="M72" s="891"/>
      <c r="N72" s="53"/>
      <c r="O72" s="382">
        <v>0.03</v>
      </c>
      <c r="P72" s="382">
        <f>O72</f>
        <v>0.03</v>
      </c>
      <c r="Q72" s="382">
        <f t="shared" si="9"/>
        <v>0.03</v>
      </c>
      <c r="R72" s="382">
        <f t="shared" si="9"/>
        <v>0.03</v>
      </c>
      <c r="S72" s="320"/>
      <c r="T72" s="320"/>
      <c r="U72" s="320"/>
      <c r="V72" s="320"/>
      <c r="W72" s="320"/>
      <c r="X72" s="320"/>
      <c r="Y72" s="320"/>
      <c r="Z72" s="463"/>
      <c r="AA72" s="463"/>
      <c r="AB72" s="464"/>
    </row>
    <row r="73" spans="2:28" s="50" customFormat="1" ht="13.95" customHeight="1" thickBot="1">
      <c r="B73" s="242"/>
      <c r="C73" s="1056" t="s">
        <v>507</v>
      </c>
      <c r="D73" s="595">
        <v>0</v>
      </c>
      <c r="E73" s="907"/>
      <c r="F73" s="595">
        <f>D73+D73*O73</f>
        <v>0</v>
      </c>
      <c r="G73" s="907"/>
      <c r="H73" s="595">
        <f>F73+F73*P73</f>
        <v>0</v>
      </c>
      <c r="I73" s="907"/>
      <c r="J73" s="589">
        <f>H73+H73*Q73</f>
        <v>0</v>
      </c>
      <c r="K73" s="907"/>
      <c r="L73" s="589">
        <f>J73+J73*R73</f>
        <v>0</v>
      </c>
      <c r="M73" s="907"/>
      <c r="N73" s="53"/>
      <c r="O73" s="382">
        <v>0.03</v>
      </c>
      <c r="P73" s="382">
        <f>O73</f>
        <v>0.03</v>
      </c>
      <c r="Q73" s="382">
        <f t="shared" si="9"/>
        <v>0.03</v>
      </c>
      <c r="R73" s="382">
        <f t="shared" si="9"/>
        <v>0.03</v>
      </c>
      <c r="S73" s="320"/>
      <c r="T73" s="320"/>
      <c r="U73" s="320"/>
      <c r="V73" s="320"/>
      <c r="W73" s="320"/>
      <c r="X73" s="320"/>
      <c r="Y73" s="320"/>
      <c r="Z73" s="463"/>
      <c r="AA73" s="463"/>
      <c r="AB73" s="464"/>
    </row>
    <row r="74" spans="2:28" s="4" customFormat="1" ht="13.95" customHeight="1">
      <c r="B74" s="417"/>
      <c r="C74" s="1057" t="s">
        <v>497</v>
      </c>
      <c r="D74" s="903">
        <f>SUM(D75:D78)</f>
        <v>0</v>
      </c>
      <c r="E74" s="904">
        <f>IF(D$45=0,0,100*D74/D$45)</f>
        <v>0</v>
      </c>
      <c r="F74" s="903">
        <f>SUM(F75:F78)</f>
        <v>0</v>
      </c>
      <c r="G74" s="904">
        <f>IF(F$45=0,0,100*F74/F$45)</f>
        <v>0</v>
      </c>
      <c r="H74" s="903">
        <f>SUM(H75:H78)</f>
        <v>0</v>
      </c>
      <c r="I74" s="904">
        <f>IF(H$45=0,0,100*H74/H$45)</f>
        <v>0</v>
      </c>
      <c r="J74" s="903">
        <f>SUM(J75:J78)</f>
        <v>0</v>
      </c>
      <c r="K74" s="904">
        <f>IF(J$45=0,0,100*J74/J$45)</f>
        <v>0</v>
      </c>
      <c r="L74" s="903">
        <f>SUM(L75:L78)</f>
        <v>0</v>
      </c>
      <c r="M74" s="908">
        <f>IF(L$45=0,0,100*L74/L$45)</f>
        <v>0</v>
      </c>
      <c r="N74" s="30"/>
      <c r="O74" s="1499"/>
      <c r="P74" s="316"/>
      <c r="Q74" s="316"/>
      <c r="R74" s="316"/>
      <c r="S74" s="320"/>
      <c r="T74" s="320"/>
      <c r="U74" s="320"/>
      <c r="V74" s="320"/>
      <c r="W74" s="320"/>
      <c r="X74" s="320"/>
      <c r="Y74" s="320"/>
      <c r="Z74" s="463"/>
      <c r="AA74" s="463"/>
      <c r="AB74" s="464"/>
    </row>
    <row r="75" spans="2:28" s="50" customFormat="1" ht="13.95" customHeight="1">
      <c r="B75" s="242"/>
      <c r="C75" s="1053" t="s">
        <v>163</v>
      </c>
      <c r="D75" s="595">
        <v>0</v>
      </c>
      <c r="E75" s="891"/>
      <c r="F75" s="595">
        <f>D75+D75*O75</f>
        <v>0</v>
      </c>
      <c r="G75" s="891"/>
      <c r="H75" s="595">
        <f>F75+F75*P75</f>
        <v>0</v>
      </c>
      <c r="I75" s="891"/>
      <c r="J75" s="595">
        <f>H75+H75*Q75</f>
        <v>0</v>
      </c>
      <c r="K75" s="891"/>
      <c r="L75" s="595">
        <f>J75+J75*R75</f>
        <v>0</v>
      </c>
      <c r="M75" s="891"/>
      <c r="N75" s="53"/>
      <c r="O75" s="382">
        <v>0.03</v>
      </c>
      <c r="P75" s="382">
        <f t="shared" ref="P75" si="10">O75</f>
        <v>0.03</v>
      </c>
      <c r="Q75" s="382">
        <f t="shared" ref="Q75:R78" si="11">P75</f>
        <v>0.03</v>
      </c>
      <c r="R75" s="382">
        <f t="shared" si="11"/>
        <v>0.03</v>
      </c>
      <c r="S75" s="320"/>
      <c r="T75" s="320"/>
      <c r="U75" s="320"/>
      <c r="V75" s="320"/>
      <c r="W75" s="320"/>
      <c r="X75" s="320"/>
      <c r="Y75" s="320"/>
      <c r="Z75" s="463"/>
      <c r="AA75" s="463"/>
      <c r="AB75" s="464"/>
    </row>
    <row r="76" spans="2:28" s="50" customFormat="1" ht="13.95" customHeight="1">
      <c r="B76" s="242"/>
      <c r="C76" s="1053" t="s">
        <v>38</v>
      </c>
      <c r="D76" s="595">
        <v>0</v>
      </c>
      <c r="E76" s="891"/>
      <c r="F76" s="595">
        <f>D76+D76*O76</f>
        <v>0</v>
      </c>
      <c r="G76" s="891"/>
      <c r="H76" s="595">
        <f>F76+F76*P76</f>
        <v>0</v>
      </c>
      <c r="I76" s="891"/>
      <c r="J76" s="595">
        <f>H76+H76*Q76</f>
        <v>0</v>
      </c>
      <c r="K76" s="891"/>
      <c r="L76" s="595">
        <f>J76+J76*R76</f>
        <v>0</v>
      </c>
      <c r="M76" s="891"/>
      <c r="N76" s="53"/>
      <c r="O76" s="382">
        <v>0.03</v>
      </c>
      <c r="P76" s="382">
        <f>O76</f>
        <v>0.03</v>
      </c>
      <c r="Q76" s="382">
        <f t="shared" si="11"/>
        <v>0.03</v>
      </c>
      <c r="R76" s="382">
        <f t="shared" si="11"/>
        <v>0.03</v>
      </c>
      <c r="S76" s="320"/>
      <c r="T76" s="320"/>
      <c r="U76" s="320"/>
      <c r="V76" s="320"/>
      <c r="W76" s="320"/>
      <c r="X76" s="320"/>
      <c r="Y76" s="320"/>
      <c r="Z76" s="463"/>
      <c r="AA76" s="463"/>
      <c r="AB76" s="464"/>
    </row>
    <row r="77" spans="2:28" s="50" customFormat="1" ht="13.95" customHeight="1">
      <c r="B77" s="242"/>
      <c r="C77" s="1053" t="s">
        <v>631</v>
      </c>
      <c r="D77" s="595">
        <v>0</v>
      </c>
      <c r="E77" s="891"/>
      <c r="F77" s="595">
        <f>D77+D77*O77</f>
        <v>0</v>
      </c>
      <c r="G77" s="891"/>
      <c r="H77" s="595">
        <f>F77+F77*P77</f>
        <v>0</v>
      </c>
      <c r="I77" s="891"/>
      <c r="J77" s="595">
        <f>H77+H77*Q77</f>
        <v>0</v>
      </c>
      <c r="K77" s="891"/>
      <c r="L77" s="595">
        <f>J77+J77*R77</f>
        <v>0</v>
      </c>
      <c r="M77" s="891"/>
      <c r="N77" s="53"/>
      <c r="O77" s="382">
        <v>0.03</v>
      </c>
      <c r="P77" s="382">
        <f>O77</f>
        <v>0.03</v>
      </c>
      <c r="Q77" s="382">
        <f t="shared" si="11"/>
        <v>0.03</v>
      </c>
      <c r="R77" s="382">
        <f t="shared" si="11"/>
        <v>0.03</v>
      </c>
      <c r="S77" s="320"/>
      <c r="T77" s="320"/>
      <c r="U77" s="320"/>
      <c r="V77" s="320"/>
      <c r="W77" s="320"/>
      <c r="X77" s="320"/>
      <c r="Y77" s="320"/>
      <c r="Z77" s="463"/>
      <c r="AA77" s="463"/>
      <c r="AB77" s="464"/>
    </row>
    <row r="78" spans="2:28" s="50" customFormat="1" ht="13.95" customHeight="1" thickBot="1">
      <c r="B78" s="242"/>
      <c r="C78" s="1056" t="s">
        <v>39</v>
      </c>
      <c r="D78" s="595">
        <v>0</v>
      </c>
      <c r="E78" s="907"/>
      <c r="F78" s="595">
        <f>D78+D78*O78</f>
        <v>0</v>
      </c>
      <c r="G78" s="907"/>
      <c r="H78" s="595">
        <f>F78+F78*P78</f>
        <v>0</v>
      </c>
      <c r="I78" s="907"/>
      <c r="J78" s="595">
        <f>H78+H78*Q78</f>
        <v>0</v>
      </c>
      <c r="K78" s="907"/>
      <c r="L78" s="595">
        <f>J78+J78*R78</f>
        <v>0</v>
      </c>
      <c r="M78" s="907"/>
      <c r="N78" s="53"/>
      <c r="O78" s="382">
        <v>0.03</v>
      </c>
      <c r="P78" s="382">
        <f>O78</f>
        <v>0.03</v>
      </c>
      <c r="Q78" s="382">
        <f t="shared" si="11"/>
        <v>0.03</v>
      </c>
      <c r="R78" s="382">
        <f t="shared" si="11"/>
        <v>0.03</v>
      </c>
      <c r="S78" s="320"/>
      <c r="T78" s="320"/>
      <c r="U78" s="320"/>
      <c r="V78" s="320"/>
      <c r="W78" s="320"/>
      <c r="X78" s="320"/>
      <c r="Y78" s="320"/>
      <c r="Z78" s="463"/>
      <c r="AA78" s="463"/>
      <c r="AB78" s="464"/>
    </row>
    <row r="79" spans="2:28" s="4" customFormat="1" ht="13.95" customHeight="1">
      <c r="B79" s="417"/>
      <c r="C79" s="1054" t="s">
        <v>64</v>
      </c>
      <c r="D79" s="903">
        <f>SUM(D80:D82)</f>
        <v>0</v>
      </c>
      <c r="E79" s="904">
        <f>IF(D$45=0,0,100*D79/D$45)</f>
        <v>0</v>
      </c>
      <c r="F79" s="903">
        <f>SUM(F80:F82)</f>
        <v>0</v>
      </c>
      <c r="G79" s="904">
        <f>IF(F$45=0,0,100*F79/F$45)</f>
        <v>0</v>
      </c>
      <c r="H79" s="903">
        <f>SUM(H80:H82)</f>
        <v>0</v>
      </c>
      <c r="I79" s="904">
        <f>IF(H$45=0,0,100*H79/H$45)</f>
        <v>0</v>
      </c>
      <c r="J79" s="903">
        <f>SUM(J80:J82)</f>
        <v>0</v>
      </c>
      <c r="K79" s="904">
        <f>IF(J$45=0,0,100*J79/J$45)</f>
        <v>0</v>
      </c>
      <c r="L79" s="903">
        <f>SUM(L80:L82)</f>
        <v>0</v>
      </c>
      <c r="M79" s="904">
        <f>IF(L$45=0,0,100*L79/L$45)</f>
        <v>0</v>
      </c>
      <c r="N79" s="30"/>
      <c r="O79" s="1499"/>
      <c r="P79" s="316"/>
      <c r="Q79" s="316"/>
      <c r="R79" s="316"/>
      <c r="S79" s="320"/>
      <c r="T79" s="320"/>
      <c r="U79" s="320"/>
      <c r="V79" s="320"/>
      <c r="W79" s="320"/>
      <c r="X79" s="320"/>
      <c r="Y79" s="320"/>
      <c r="Z79" s="463"/>
      <c r="AA79" s="463"/>
      <c r="AB79" s="464"/>
    </row>
    <row r="80" spans="2:28" s="50" customFormat="1" ht="13.95" customHeight="1">
      <c r="B80" s="242"/>
      <c r="C80" s="1053" t="s">
        <v>40</v>
      </c>
      <c r="D80" s="595">
        <v>0</v>
      </c>
      <c r="E80" s="891"/>
      <c r="F80" s="595">
        <f>D80+D80*O80</f>
        <v>0</v>
      </c>
      <c r="G80" s="891"/>
      <c r="H80" s="595">
        <f>F80+F80*P80</f>
        <v>0</v>
      </c>
      <c r="I80" s="891"/>
      <c r="J80" s="595">
        <f>H80+H80*Q80</f>
        <v>0</v>
      </c>
      <c r="K80" s="891"/>
      <c r="L80" s="595">
        <f>J80+J80*R80</f>
        <v>0</v>
      </c>
      <c r="M80" s="891"/>
      <c r="N80" s="53"/>
      <c r="O80" s="382">
        <v>0.03</v>
      </c>
      <c r="P80" s="382">
        <f>O80</f>
        <v>0.03</v>
      </c>
      <c r="Q80" s="382">
        <f t="shared" ref="Q80:R82" si="12">P80</f>
        <v>0.03</v>
      </c>
      <c r="R80" s="382">
        <f t="shared" si="12"/>
        <v>0.03</v>
      </c>
      <c r="S80" s="320"/>
      <c r="T80" s="320"/>
      <c r="U80" s="320"/>
      <c r="V80" s="320"/>
      <c r="W80" s="320"/>
      <c r="X80" s="320"/>
      <c r="Y80" s="320"/>
      <c r="Z80" s="463"/>
      <c r="AA80" s="463"/>
      <c r="AB80" s="464"/>
    </row>
    <row r="81" spans="1:28" s="50" customFormat="1" ht="13.95" customHeight="1">
      <c r="B81" s="242"/>
      <c r="C81" s="1053" t="s">
        <v>41</v>
      </c>
      <c r="D81" s="595">
        <v>0</v>
      </c>
      <c r="E81" s="891"/>
      <c r="F81" s="595">
        <f t="shared" ref="F81:F87" si="13">D81+D81*O81</f>
        <v>0</v>
      </c>
      <c r="G81" s="891"/>
      <c r="H81" s="595">
        <f>F81+F81*P81</f>
        <v>0</v>
      </c>
      <c r="I81" s="891"/>
      <c r="J81" s="595">
        <f>H81+H81*Q81</f>
        <v>0</v>
      </c>
      <c r="K81" s="891"/>
      <c r="L81" s="595">
        <f>J81+J81*R81</f>
        <v>0</v>
      </c>
      <c r="M81" s="891"/>
      <c r="N81" s="53"/>
      <c r="O81" s="382">
        <v>0.03</v>
      </c>
      <c r="P81" s="382">
        <f>O81</f>
        <v>0.03</v>
      </c>
      <c r="Q81" s="382">
        <f t="shared" si="12"/>
        <v>0.03</v>
      </c>
      <c r="R81" s="382">
        <f t="shared" si="12"/>
        <v>0.03</v>
      </c>
      <c r="S81" s="320"/>
      <c r="T81" s="320"/>
      <c r="U81" s="320"/>
      <c r="V81" s="320"/>
      <c r="W81" s="320"/>
      <c r="X81" s="320"/>
      <c r="Y81" s="320"/>
      <c r="Z81" s="463"/>
      <c r="AA81" s="463"/>
      <c r="AB81" s="464"/>
    </row>
    <row r="82" spans="1:28" s="50" customFormat="1" ht="13.95" customHeight="1" thickBot="1">
      <c r="A82"/>
      <c r="B82" s="242"/>
      <c r="C82" s="1056" t="s">
        <v>42</v>
      </c>
      <c r="D82" s="589">
        <v>0</v>
      </c>
      <c r="E82" s="907"/>
      <c r="F82" s="589">
        <f t="shared" si="13"/>
        <v>0</v>
      </c>
      <c r="G82" s="907"/>
      <c r="H82" s="595">
        <f>F82+F82*P82</f>
        <v>0</v>
      </c>
      <c r="I82" s="907"/>
      <c r="J82" s="595">
        <f>H82+H82*Q82</f>
        <v>0</v>
      </c>
      <c r="K82" s="907"/>
      <c r="L82" s="595">
        <f>J82+J82*R82</f>
        <v>0</v>
      </c>
      <c r="M82" s="907"/>
      <c r="N82" s="53"/>
      <c r="O82" s="382">
        <v>0.03</v>
      </c>
      <c r="P82" s="382">
        <f>O82</f>
        <v>0.03</v>
      </c>
      <c r="Q82" s="382">
        <f t="shared" si="12"/>
        <v>0.03</v>
      </c>
      <c r="R82" s="382">
        <f t="shared" si="12"/>
        <v>0.03</v>
      </c>
      <c r="S82" s="320"/>
      <c r="T82" s="320"/>
      <c r="U82" s="320"/>
      <c r="V82" s="320"/>
      <c r="W82" s="320"/>
      <c r="X82" s="320"/>
      <c r="Y82" s="320"/>
      <c r="Z82" s="463"/>
      <c r="AA82" s="463"/>
      <c r="AB82" s="464"/>
    </row>
    <row r="83" spans="1:28" s="4" customFormat="1" ht="13.95" customHeight="1">
      <c r="A83"/>
      <c r="B83" s="417"/>
      <c r="C83" s="1057" t="s">
        <v>65</v>
      </c>
      <c r="D83" s="903">
        <f>SUM(D84:D85)</f>
        <v>0</v>
      </c>
      <c r="E83" s="904">
        <f>IF(D$45=0,0,100*D83/D$45)</f>
        <v>0</v>
      </c>
      <c r="F83" s="903">
        <f>SUM(F84:F85)</f>
        <v>0</v>
      </c>
      <c r="G83" s="904">
        <f>IF(F$45=0,0,100*F83/F$45)</f>
        <v>0</v>
      </c>
      <c r="H83" s="903">
        <f>SUM(H84:H85)</f>
        <v>0</v>
      </c>
      <c r="I83" s="904">
        <f>IF(H$45=0,0,100*H83/H$45)</f>
        <v>0</v>
      </c>
      <c r="J83" s="903">
        <f>SUM(J84:J85)</f>
        <v>0</v>
      </c>
      <c r="K83" s="904">
        <f>IF(J$45=0,0,100*J83/J$45)</f>
        <v>0</v>
      </c>
      <c r="L83" s="903">
        <f>SUM(L84:L85)</f>
        <v>0</v>
      </c>
      <c r="M83" s="904">
        <f>IF(L$45=0,0,100*L83/L$45)</f>
        <v>0</v>
      </c>
      <c r="N83" s="30"/>
      <c r="O83" s="1499"/>
      <c r="P83" s="316"/>
      <c r="Q83" s="316"/>
      <c r="R83" s="316"/>
      <c r="S83" s="320"/>
      <c r="T83" s="320"/>
      <c r="U83" s="320"/>
      <c r="V83" s="320"/>
      <c r="W83" s="320"/>
      <c r="X83" s="320"/>
      <c r="Y83" s="320"/>
      <c r="Z83" s="463"/>
      <c r="AA83" s="463"/>
      <c r="AB83" s="464"/>
    </row>
    <row r="84" spans="1:28" s="50" customFormat="1" ht="13.95" customHeight="1">
      <c r="A84"/>
      <c r="B84" s="242"/>
      <c r="C84" s="1053" t="s">
        <v>360</v>
      </c>
      <c r="D84" s="595">
        <v>0</v>
      </c>
      <c r="E84" s="891"/>
      <c r="F84" s="595">
        <f>D84+D84*O84</f>
        <v>0</v>
      </c>
      <c r="G84" s="891"/>
      <c r="H84" s="595">
        <f>F84+F84*P84</f>
        <v>0</v>
      </c>
      <c r="I84" s="891"/>
      <c r="J84" s="595">
        <f>H84+H84*Q84</f>
        <v>0</v>
      </c>
      <c r="K84" s="891"/>
      <c r="L84" s="595">
        <f>J84+J84*R84</f>
        <v>0</v>
      </c>
      <c r="M84" s="891"/>
      <c r="N84" s="53"/>
      <c r="O84" s="382">
        <v>0.03</v>
      </c>
      <c r="P84" s="382">
        <f>O84</f>
        <v>0.03</v>
      </c>
      <c r="Q84" s="382">
        <f t="shared" ref="Q84:R87" si="14">P84</f>
        <v>0.03</v>
      </c>
      <c r="R84" s="382">
        <f t="shared" si="14"/>
        <v>0.03</v>
      </c>
      <c r="S84" s="320"/>
      <c r="T84" s="320"/>
      <c r="U84" s="320"/>
      <c r="V84" s="320"/>
      <c r="W84" s="320"/>
      <c r="X84" s="320"/>
      <c r="Y84" s="320"/>
      <c r="Z84" s="463"/>
      <c r="AA84" s="463"/>
      <c r="AB84" s="464"/>
    </row>
    <row r="85" spans="1:28" s="50" customFormat="1" ht="13.95" customHeight="1" thickBot="1">
      <c r="A85" s="51"/>
      <c r="B85" s="242"/>
      <c r="C85" s="1055" t="s">
        <v>43</v>
      </c>
      <c r="D85" s="906">
        <v>0</v>
      </c>
      <c r="E85" s="905"/>
      <c r="F85" s="906">
        <f t="shared" si="13"/>
        <v>0</v>
      </c>
      <c r="G85" s="905"/>
      <c r="H85" s="595">
        <f>F85+F85*P85</f>
        <v>0</v>
      </c>
      <c r="I85" s="905"/>
      <c r="J85" s="906">
        <f>H85+H85*Q85</f>
        <v>0</v>
      </c>
      <c r="K85" s="905"/>
      <c r="L85" s="906">
        <f>J85+J85*R85</f>
        <v>0</v>
      </c>
      <c r="M85" s="907"/>
      <c r="N85" s="53"/>
      <c r="O85" s="382">
        <v>0.03</v>
      </c>
      <c r="P85" s="382">
        <f t="shared" ref="P85" si="15">O85</f>
        <v>0.03</v>
      </c>
      <c r="Q85" s="382">
        <f t="shared" si="14"/>
        <v>0.03</v>
      </c>
      <c r="R85" s="382">
        <f t="shared" si="14"/>
        <v>0.03</v>
      </c>
      <c r="S85" s="320"/>
      <c r="T85" s="320"/>
      <c r="U85" s="320"/>
      <c r="V85" s="320"/>
      <c r="W85" s="320"/>
      <c r="X85" s="320"/>
      <c r="Y85" s="320"/>
      <c r="Z85" s="463"/>
      <c r="AA85" s="463"/>
      <c r="AB85" s="464"/>
    </row>
    <row r="86" spans="1:28" s="4" customFormat="1" ht="13.95" customHeight="1" thickBot="1">
      <c r="A86"/>
      <c r="B86" s="417"/>
      <c r="C86" s="1058" t="s">
        <v>66</v>
      </c>
      <c r="D86" s="911">
        <v>0</v>
      </c>
      <c r="E86" s="910">
        <f>IF(D$45=0,0,100*D86/D$45)</f>
        <v>0</v>
      </c>
      <c r="F86" s="909">
        <f>D86+D86*O86</f>
        <v>0</v>
      </c>
      <c r="G86" s="910">
        <f>IF(F$45=0,0,100*F86/F$45)</f>
        <v>0</v>
      </c>
      <c r="H86" s="911">
        <f>F86+F86*P86</f>
        <v>0</v>
      </c>
      <c r="I86" s="910">
        <f>IF(H$45=0,0,100*H86/H$45)</f>
        <v>0</v>
      </c>
      <c r="J86" s="911">
        <f>H86+H86*Q86</f>
        <v>0</v>
      </c>
      <c r="K86" s="910">
        <f>IF(J$45=0,0,100*J86/J$45)</f>
        <v>0</v>
      </c>
      <c r="L86" s="909">
        <f>J86+J86*R86</f>
        <v>0</v>
      </c>
      <c r="M86" s="912">
        <f>IF(L$45=0,0,100*L86/L$45)</f>
        <v>0</v>
      </c>
      <c r="N86" s="30"/>
      <c r="O86" s="382">
        <v>0.03</v>
      </c>
      <c r="P86" s="382">
        <f>O86</f>
        <v>0.03</v>
      </c>
      <c r="Q86" s="382">
        <f t="shared" si="14"/>
        <v>0.03</v>
      </c>
      <c r="R86" s="382">
        <f t="shared" si="14"/>
        <v>0.03</v>
      </c>
      <c r="S86" s="320"/>
      <c r="T86" s="320"/>
      <c r="U86" s="320"/>
      <c r="V86" s="320"/>
      <c r="W86" s="320"/>
      <c r="X86" s="320"/>
      <c r="Y86" s="320"/>
      <c r="Z86" s="463"/>
      <c r="AA86" s="463"/>
      <c r="AB86" s="464"/>
    </row>
    <row r="87" spans="1:28" s="4" customFormat="1" ht="13.95" customHeight="1" thickBot="1">
      <c r="A87" s="51"/>
      <c r="B87" s="417"/>
      <c r="C87" s="1057" t="s">
        <v>195</v>
      </c>
      <c r="D87" s="909">
        <v>0</v>
      </c>
      <c r="E87" s="912">
        <f>IF(D$45=0,0,100*D87/D$45)</f>
        <v>0</v>
      </c>
      <c r="F87" s="909">
        <f t="shared" si="13"/>
        <v>0</v>
      </c>
      <c r="G87" s="912">
        <f>IF(F$45=0,0,100*F87/F$45)</f>
        <v>0</v>
      </c>
      <c r="H87" s="909">
        <f>F87+F87*P87</f>
        <v>0</v>
      </c>
      <c r="I87" s="912">
        <f>IF(H$45=0,0,100*H87/H$45)</f>
        <v>0</v>
      </c>
      <c r="J87" s="909">
        <f>H87+H87*Q87</f>
        <v>0</v>
      </c>
      <c r="K87" s="912">
        <f>IF(J$45=0,0,100*J87/J$45)</f>
        <v>0</v>
      </c>
      <c r="L87" s="909">
        <f>J87+J87*R87</f>
        <v>0</v>
      </c>
      <c r="M87" s="904">
        <f>IF(L$45=0,0,100*L87/L$45)</f>
        <v>0</v>
      </c>
      <c r="N87" s="30"/>
      <c r="O87" s="382">
        <v>0.03</v>
      </c>
      <c r="P87" s="382">
        <f>O87</f>
        <v>0.03</v>
      </c>
      <c r="Q87" s="382">
        <f t="shared" si="14"/>
        <v>0.03</v>
      </c>
      <c r="R87" s="382">
        <f t="shared" si="14"/>
        <v>0.03</v>
      </c>
      <c r="S87" s="320"/>
      <c r="T87" s="320"/>
      <c r="U87" s="320"/>
      <c r="V87" s="320"/>
      <c r="W87" s="320"/>
      <c r="X87" s="320"/>
      <c r="Y87" s="320"/>
      <c r="Z87" s="463"/>
      <c r="AA87" s="463"/>
      <c r="AB87" s="464"/>
    </row>
    <row r="88" spans="1:28" s="4" customFormat="1" ht="13.95" customHeight="1">
      <c r="A88" s="2"/>
      <c r="B88" s="417"/>
      <c r="C88" s="1054" t="s">
        <v>67</v>
      </c>
      <c r="D88" s="913">
        <f>SUM(D89:D93)</f>
        <v>0</v>
      </c>
      <c r="E88" s="914">
        <f>IF(D$45=0,0,100*D88/D$45)</f>
        <v>0</v>
      </c>
      <c r="F88" s="913">
        <f>SUM(F89:F93)</f>
        <v>0</v>
      </c>
      <c r="G88" s="914">
        <f>IF(F$45=0,0,100*F88/F$45)</f>
        <v>0</v>
      </c>
      <c r="H88" s="913">
        <f>SUM(H89:H93)</f>
        <v>0</v>
      </c>
      <c r="I88" s="914">
        <f>IF(H$45=0,0,100*H88/H$45)</f>
        <v>0</v>
      </c>
      <c r="J88" s="913">
        <f>SUM(J89:J93)</f>
        <v>0</v>
      </c>
      <c r="K88" s="914">
        <f>IF(J$45=0,0,100*J88/J$45)</f>
        <v>0</v>
      </c>
      <c r="L88" s="913">
        <f>SUM(L89:L93)</f>
        <v>0</v>
      </c>
      <c r="M88" s="904">
        <f>IF(L$45=0,0,100*L88/L$45)</f>
        <v>0</v>
      </c>
      <c r="N88" s="29"/>
      <c r="O88" s="1499"/>
      <c r="P88" s="316"/>
      <c r="Q88" s="316"/>
      <c r="R88" s="316"/>
      <c r="S88" s="320"/>
      <c r="T88" s="320"/>
      <c r="U88" s="320"/>
      <c r="V88" s="320"/>
      <c r="W88" s="320"/>
      <c r="X88" s="320"/>
      <c r="Y88" s="320"/>
      <c r="Z88" s="463"/>
      <c r="AA88" s="463"/>
      <c r="AB88" s="464"/>
    </row>
    <row r="89" spans="1:28" s="50" customFormat="1" ht="13.95" customHeight="1">
      <c r="A89"/>
      <c r="B89" s="242"/>
      <c r="C89" s="1053" t="s">
        <v>44</v>
      </c>
      <c r="D89" s="595">
        <v>0</v>
      </c>
      <c r="E89" s="891"/>
      <c r="F89" s="595">
        <f>D89+D89*O89</f>
        <v>0</v>
      </c>
      <c r="G89" s="891"/>
      <c r="H89" s="595">
        <f>F89+F89*P89</f>
        <v>0</v>
      </c>
      <c r="I89" s="891"/>
      <c r="J89" s="595">
        <f>H89+H89*Q89</f>
        <v>0</v>
      </c>
      <c r="K89" s="891"/>
      <c r="L89" s="595">
        <f>J89+J89*R89</f>
        <v>0</v>
      </c>
      <c r="M89" s="891"/>
      <c r="N89" s="55"/>
      <c r="O89" s="382">
        <v>0.03</v>
      </c>
      <c r="P89" s="382">
        <f>O89</f>
        <v>0.03</v>
      </c>
      <c r="Q89" s="382">
        <f t="shared" ref="Q89:R93" si="16">P89</f>
        <v>0.03</v>
      </c>
      <c r="R89" s="382">
        <f t="shared" si="16"/>
        <v>0.03</v>
      </c>
      <c r="S89" s="320"/>
      <c r="T89" s="320"/>
      <c r="U89" s="320"/>
      <c r="V89" s="320"/>
      <c r="W89" s="320"/>
      <c r="X89" s="320"/>
      <c r="Y89" s="320"/>
      <c r="Z89" s="463"/>
      <c r="AA89" s="463"/>
      <c r="AB89" s="464"/>
    </row>
    <row r="90" spans="1:28" s="50" customFormat="1" ht="13.95" customHeight="1">
      <c r="A90"/>
      <c r="B90" s="242"/>
      <c r="C90" s="1053" t="s">
        <v>45</v>
      </c>
      <c r="D90" s="595">
        <v>0</v>
      </c>
      <c r="E90" s="891"/>
      <c r="F90" s="595">
        <f>D90+D90*O90</f>
        <v>0</v>
      </c>
      <c r="G90" s="891"/>
      <c r="H90" s="595">
        <f>F90+F90*P90</f>
        <v>0</v>
      </c>
      <c r="I90" s="891"/>
      <c r="J90" s="595">
        <f>H90+H90*Q90</f>
        <v>0</v>
      </c>
      <c r="K90" s="891"/>
      <c r="L90" s="595">
        <f>J90+J90*R90</f>
        <v>0</v>
      </c>
      <c r="M90" s="891"/>
      <c r="N90" s="55"/>
      <c r="O90" s="382">
        <v>0.03</v>
      </c>
      <c r="P90" s="382">
        <f>O90</f>
        <v>0.03</v>
      </c>
      <c r="Q90" s="382">
        <f t="shared" si="16"/>
        <v>0.03</v>
      </c>
      <c r="R90" s="382">
        <f t="shared" si="16"/>
        <v>0.03</v>
      </c>
      <c r="S90" s="320"/>
      <c r="T90" s="320"/>
      <c r="U90" s="320"/>
      <c r="V90" s="320"/>
      <c r="W90" s="320"/>
      <c r="X90" s="320"/>
      <c r="Y90" s="320"/>
      <c r="Z90" s="463"/>
      <c r="AA90" s="463"/>
      <c r="AB90" s="464"/>
    </row>
    <row r="91" spans="1:28" s="50" customFormat="1" ht="13.95" customHeight="1">
      <c r="A91"/>
      <c r="B91" s="242"/>
      <c r="C91" s="1053" t="s">
        <v>508</v>
      </c>
      <c r="D91" s="595">
        <v>0</v>
      </c>
      <c r="E91" s="891"/>
      <c r="F91" s="595">
        <f>D91+D91*O91</f>
        <v>0</v>
      </c>
      <c r="G91" s="891"/>
      <c r="H91" s="595">
        <f>F91+F91*P91</f>
        <v>0</v>
      </c>
      <c r="I91" s="891"/>
      <c r="J91" s="595">
        <f>H91+H91*Q91</f>
        <v>0</v>
      </c>
      <c r="K91" s="891"/>
      <c r="L91" s="595">
        <f>J91+J91*R91</f>
        <v>0</v>
      </c>
      <c r="M91" s="891"/>
      <c r="N91" s="55"/>
      <c r="O91" s="382">
        <v>0.03</v>
      </c>
      <c r="P91" s="382">
        <f>O91</f>
        <v>0.03</v>
      </c>
      <c r="Q91" s="382">
        <f t="shared" si="16"/>
        <v>0.03</v>
      </c>
      <c r="R91" s="382">
        <f t="shared" si="16"/>
        <v>0.03</v>
      </c>
      <c r="S91" s="320"/>
      <c r="T91" s="320"/>
      <c r="U91" s="320"/>
      <c r="V91" s="320"/>
      <c r="W91" s="320"/>
      <c r="X91" s="320"/>
      <c r="Y91" s="320"/>
      <c r="Z91" s="463"/>
      <c r="AA91" s="463"/>
      <c r="AB91" s="464"/>
    </row>
    <row r="92" spans="1:28" s="50" customFormat="1" ht="13.95" customHeight="1">
      <c r="A92"/>
      <c r="B92" s="242"/>
      <c r="C92" s="1053" t="s">
        <v>361</v>
      </c>
      <c r="D92" s="595">
        <v>0</v>
      </c>
      <c r="E92" s="891"/>
      <c r="F92" s="595">
        <f>D92+D92*O92</f>
        <v>0</v>
      </c>
      <c r="G92" s="891"/>
      <c r="H92" s="595">
        <f>F92+F92*P92</f>
        <v>0</v>
      </c>
      <c r="I92" s="891"/>
      <c r="J92" s="595">
        <f>H92+H92*Q92</f>
        <v>0</v>
      </c>
      <c r="K92" s="891"/>
      <c r="L92" s="595">
        <f>J92+J92*R92</f>
        <v>0</v>
      </c>
      <c r="M92" s="891"/>
      <c r="N92" s="55"/>
      <c r="O92" s="382">
        <v>0.03</v>
      </c>
      <c r="P92" s="382">
        <f>O92</f>
        <v>0.03</v>
      </c>
      <c r="Q92" s="382">
        <f t="shared" si="16"/>
        <v>0.03</v>
      </c>
      <c r="R92" s="382">
        <f t="shared" si="16"/>
        <v>0.03</v>
      </c>
      <c r="S92" s="320"/>
      <c r="T92" s="320"/>
      <c r="U92" s="320"/>
      <c r="V92" s="320"/>
      <c r="W92" s="320"/>
      <c r="X92" s="320"/>
      <c r="Y92" s="320"/>
      <c r="Z92" s="463"/>
      <c r="AA92" s="463"/>
      <c r="AB92" s="464"/>
    </row>
    <row r="93" spans="1:28" s="50" customFormat="1" ht="13.95" customHeight="1" thickBot="1">
      <c r="A93"/>
      <c r="B93" s="242"/>
      <c r="C93" s="1056" t="s">
        <v>46</v>
      </c>
      <c r="D93" s="595">
        <v>0</v>
      </c>
      <c r="E93" s="905"/>
      <c r="F93" s="595">
        <f>D93+D93*O93</f>
        <v>0</v>
      </c>
      <c r="G93" s="905"/>
      <c r="H93" s="595">
        <f>F93+F93*P93</f>
        <v>0</v>
      </c>
      <c r="I93" s="905"/>
      <c r="J93" s="906">
        <f>H93+H93*Q93</f>
        <v>0</v>
      </c>
      <c r="K93" s="905"/>
      <c r="L93" s="906">
        <f>J93+J93*R93</f>
        <v>0</v>
      </c>
      <c r="M93" s="905"/>
      <c r="N93" s="55"/>
      <c r="O93" s="382">
        <v>0.03</v>
      </c>
      <c r="P93" s="382">
        <f t="shared" ref="P93" si="17">O93</f>
        <v>0.03</v>
      </c>
      <c r="Q93" s="382">
        <f t="shared" si="16"/>
        <v>0.03</v>
      </c>
      <c r="R93" s="382">
        <f t="shared" si="16"/>
        <v>0.03</v>
      </c>
      <c r="S93" s="320"/>
      <c r="T93" s="320"/>
      <c r="U93" s="320"/>
      <c r="V93" s="320"/>
      <c r="W93" s="320"/>
      <c r="X93" s="320"/>
      <c r="Y93" s="320"/>
      <c r="Z93" s="463"/>
      <c r="AA93" s="463"/>
      <c r="AB93" s="464"/>
    </row>
    <row r="94" spans="1:28" s="4" customFormat="1" ht="13.95" customHeight="1">
      <c r="A94"/>
      <c r="B94" s="417"/>
      <c r="C94" s="1057" t="s">
        <v>68</v>
      </c>
      <c r="D94" s="903">
        <f>SUM(D95:D98)</f>
        <v>0</v>
      </c>
      <c r="E94" s="904">
        <f>IF(D$45=0,0,100*D94/D$45)</f>
        <v>0</v>
      </c>
      <c r="F94" s="903">
        <f>SUM(F95:F98)</f>
        <v>0</v>
      </c>
      <c r="G94" s="904">
        <f>IF(F$45=0,0,100*F94/F$45)</f>
        <v>0</v>
      </c>
      <c r="H94" s="903">
        <f>SUM(H95:H98)</f>
        <v>0</v>
      </c>
      <c r="I94" s="904">
        <f>IF(H$45=0,0,100*H94/H$45)</f>
        <v>0</v>
      </c>
      <c r="J94" s="903">
        <f>SUM(J95:J98)</f>
        <v>0</v>
      </c>
      <c r="K94" s="904">
        <f>IF(J$45=0,0,100*J94/J$45)</f>
        <v>0</v>
      </c>
      <c r="L94" s="903">
        <f>SUM(L95:L98)</f>
        <v>0</v>
      </c>
      <c r="M94" s="904">
        <f>IF(L$45=0,0,100*L94/L$45)</f>
        <v>0</v>
      </c>
      <c r="N94" s="30"/>
      <c r="O94" s="1499"/>
      <c r="P94" s="316"/>
      <c r="Q94" s="316"/>
      <c r="R94" s="316"/>
      <c r="S94" s="320"/>
      <c r="T94" s="320"/>
      <c r="U94" s="320"/>
      <c r="V94" s="320"/>
      <c r="W94" s="320"/>
      <c r="X94" s="320"/>
      <c r="Y94" s="320"/>
      <c r="Z94" s="463"/>
      <c r="AA94" s="463"/>
      <c r="AB94" s="464"/>
    </row>
    <row r="95" spans="1:28" s="50" customFormat="1" ht="13.95" customHeight="1">
      <c r="A95"/>
      <c r="B95" s="242"/>
      <c r="C95" s="1053" t="s">
        <v>47</v>
      </c>
      <c r="D95" s="595">
        <v>0</v>
      </c>
      <c r="E95" s="891"/>
      <c r="F95" s="595">
        <f>D95+D95*O95</f>
        <v>0</v>
      </c>
      <c r="G95" s="891"/>
      <c r="H95" s="595">
        <f>F95+F95*P95</f>
        <v>0</v>
      </c>
      <c r="I95" s="891"/>
      <c r="J95" s="595">
        <f>H95+H95*Q95</f>
        <v>0</v>
      </c>
      <c r="K95" s="891"/>
      <c r="L95" s="595">
        <f>J95+J95*R95</f>
        <v>0</v>
      </c>
      <c r="M95" s="891"/>
      <c r="N95" s="53"/>
      <c r="O95" s="382">
        <v>0.03</v>
      </c>
      <c r="P95" s="382">
        <f>O95</f>
        <v>0.03</v>
      </c>
      <c r="Q95" s="382">
        <f t="shared" ref="Q95:R98" si="18">P95</f>
        <v>0.03</v>
      </c>
      <c r="R95" s="382">
        <f t="shared" si="18"/>
        <v>0.03</v>
      </c>
      <c r="S95" s="320"/>
      <c r="T95" s="320"/>
      <c r="U95" s="320"/>
      <c r="V95" s="320"/>
      <c r="W95" s="320"/>
      <c r="X95" s="320"/>
      <c r="Y95" s="320"/>
      <c r="Z95" s="463"/>
      <c r="AA95" s="463"/>
      <c r="AB95" s="464"/>
    </row>
    <row r="96" spans="1:28" s="50" customFormat="1" ht="13.95" customHeight="1">
      <c r="A96"/>
      <c r="B96" s="242"/>
      <c r="C96" s="1053" t="s">
        <v>48</v>
      </c>
      <c r="D96" s="595">
        <v>0</v>
      </c>
      <c r="E96" s="891"/>
      <c r="F96" s="595">
        <f>D96+D96*O96</f>
        <v>0</v>
      </c>
      <c r="G96" s="891"/>
      <c r="H96" s="595">
        <f>F96+F96*P96</f>
        <v>0</v>
      </c>
      <c r="I96" s="891"/>
      <c r="J96" s="595">
        <f>H96+H96*Q96</f>
        <v>0</v>
      </c>
      <c r="K96" s="891"/>
      <c r="L96" s="595">
        <f>J96+J96*R96</f>
        <v>0</v>
      </c>
      <c r="M96" s="891"/>
      <c r="N96" s="53"/>
      <c r="O96" s="382">
        <v>0.03</v>
      </c>
      <c r="P96" s="382">
        <f>O96</f>
        <v>0.03</v>
      </c>
      <c r="Q96" s="382">
        <f t="shared" si="18"/>
        <v>0.03</v>
      </c>
      <c r="R96" s="382">
        <f t="shared" si="18"/>
        <v>0.03</v>
      </c>
      <c r="S96" s="320"/>
      <c r="T96" s="320"/>
      <c r="U96" s="320"/>
      <c r="V96" s="320"/>
      <c r="W96" s="320"/>
      <c r="X96" s="320"/>
      <c r="Y96" s="320"/>
      <c r="Z96" s="463"/>
      <c r="AA96" s="463"/>
      <c r="AB96" s="464"/>
    </row>
    <row r="97" spans="1:28" s="50" customFormat="1" ht="13.95" customHeight="1">
      <c r="A97"/>
      <c r="B97" s="242"/>
      <c r="C97" s="1053" t="s">
        <v>49</v>
      </c>
      <c r="D97" s="595">
        <v>0</v>
      </c>
      <c r="E97" s="891"/>
      <c r="F97" s="595">
        <f>D97+D97*O97</f>
        <v>0</v>
      </c>
      <c r="G97" s="891"/>
      <c r="H97" s="595">
        <f>F97+F97*P97</f>
        <v>0</v>
      </c>
      <c r="I97" s="891"/>
      <c r="J97" s="595">
        <f>H97+H97*Q97</f>
        <v>0</v>
      </c>
      <c r="K97" s="891"/>
      <c r="L97" s="595">
        <f>J97+J97*R97</f>
        <v>0</v>
      </c>
      <c r="M97" s="891"/>
      <c r="N97" s="55"/>
      <c r="O97" s="382">
        <v>0.03</v>
      </c>
      <c r="P97" s="382">
        <f>O97</f>
        <v>0.03</v>
      </c>
      <c r="Q97" s="382">
        <f t="shared" si="18"/>
        <v>0.03</v>
      </c>
      <c r="R97" s="382">
        <f t="shared" si="18"/>
        <v>0.03</v>
      </c>
      <c r="S97" s="320"/>
      <c r="T97" s="320"/>
      <c r="U97" s="320"/>
      <c r="V97" s="320"/>
      <c r="W97" s="320"/>
      <c r="X97" s="320"/>
      <c r="Y97" s="320"/>
      <c r="Z97" s="463"/>
      <c r="AA97" s="463"/>
      <c r="AB97" s="464"/>
    </row>
    <row r="98" spans="1:28" s="50" customFormat="1" ht="13.95" customHeight="1" thickBot="1">
      <c r="A98"/>
      <c r="B98" s="242"/>
      <c r="C98" s="47" t="s">
        <v>50</v>
      </c>
      <c r="D98" s="580">
        <v>0</v>
      </c>
      <c r="E98" s="915"/>
      <c r="F98" s="595">
        <f>D98+D98*O98</f>
        <v>0</v>
      </c>
      <c r="G98" s="915"/>
      <c r="H98" s="595">
        <f>F98+F98*P98</f>
        <v>0</v>
      </c>
      <c r="I98" s="915"/>
      <c r="J98" s="595">
        <f>H98+H98*Q98</f>
        <v>0</v>
      </c>
      <c r="K98" s="915"/>
      <c r="L98" s="595">
        <f>J98+J98*R98</f>
        <v>0</v>
      </c>
      <c r="M98" s="915"/>
      <c r="N98" s="55"/>
      <c r="O98" s="382">
        <v>0.03</v>
      </c>
      <c r="P98" s="382">
        <f>O98</f>
        <v>0.03</v>
      </c>
      <c r="Q98" s="382">
        <f t="shared" si="18"/>
        <v>0.03</v>
      </c>
      <c r="R98" s="382">
        <f t="shared" si="18"/>
        <v>0.03</v>
      </c>
      <c r="S98" s="320"/>
      <c r="T98" s="320"/>
      <c r="U98" s="320"/>
      <c r="V98" s="320"/>
      <c r="W98" s="320"/>
      <c r="X98" s="320"/>
      <c r="Y98" s="320"/>
      <c r="Z98" s="463"/>
      <c r="AA98" s="463"/>
      <c r="AB98" s="464"/>
    </row>
    <row r="99" spans="1:28" s="4" customFormat="1" ht="13.95" customHeight="1">
      <c r="A99"/>
      <c r="B99" s="417"/>
      <c r="C99" s="1054" t="s">
        <v>69</v>
      </c>
      <c r="D99" s="903">
        <f>SUM(D100:D103)</f>
        <v>0</v>
      </c>
      <c r="E99" s="904">
        <f>IF(D$45=0,0,100*D99/D$45)</f>
        <v>0</v>
      </c>
      <c r="F99" s="903">
        <f>SUM(F100:F103)</f>
        <v>0</v>
      </c>
      <c r="G99" s="904">
        <f>IF(F$45=0,0,100*F99/F$45)</f>
        <v>0</v>
      </c>
      <c r="H99" s="903">
        <f>SUM(H100:H103)</f>
        <v>0</v>
      </c>
      <c r="I99" s="904">
        <f>IF(H$45=0,0,100*H99/H$45)</f>
        <v>0</v>
      </c>
      <c r="J99" s="903">
        <f>SUM(J100:J103)</f>
        <v>0</v>
      </c>
      <c r="K99" s="904">
        <f>IF(J$45=0,0,100*J99/J$45)</f>
        <v>0</v>
      </c>
      <c r="L99" s="903">
        <f>SUM(L100:L103)</f>
        <v>0</v>
      </c>
      <c r="M99" s="904">
        <f>IF(L$45=0,0,100*L99/L$45)</f>
        <v>0</v>
      </c>
      <c r="N99" s="29"/>
      <c r="O99" s="1499"/>
      <c r="P99" s="316"/>
      <c r="Q99" s="316"/>
      <c r="R99" s="316"/>
      <c r="S99" s="320"/>
      <c r="T99" s="320"/>
      <c r="U99" s="320"/>
      <c r="V99" s="320"/>
      <c r="W99" s="320"/>
      <c r="X99" s="320"/>
      <c r="Y99" s="320"/>
      <c r="Z99" s="463"/>
      <c r="AA99" s="463"/>
      <c r="AB99" s="464"/>
    </row>
    <row r="100" spans="1:28" s="50" customFormat="1" ht="13.95" customHeight="1">
      <c r="A100"/>
      <c r="B100" s="242"/>
      <c r="C100" s="1053" t="s">
        <v>51</v>
      </c>
      <c r="D100" s="595">
        <v>0</v>
      </c>
      <c r="E100" s="891"/>
      <c r="F100" s="595">
        <f>D100+D100*O100</f>
        <v>0</v>
      </c>
      <c r="G100" s="891"/>
      <c r="H100" s="595">
        <f>F100+F100*P100</f>
        <v>0</v>
      </c>
      <c r="I100" s="891"/>
      <c r="J100" s="595">
        <f>H100+H100*Q100</f>
        <v>0</v>
      </c>
      <c r="K100" s="891"/>
      <c r="L100" s="595">
        <f>J100+J100*R100</f>
        <v>0</v>
      </c>
      <c r="M100" s="891"/>
      <c r="N100" s="55"/>
      <c r="O100" s="382">
        <v>0.03</v>
      </c>
      <c r="P100" s="382">
        <f>O100</f>
        <v>0.03</v>
      </c>
      <c r="Q100" s="382">
        <f t="shared" ref="Q100:R103" si="19">P100</f>
        <v>0.03</v>
      </c>
      <c r="R100" s="382">
        <f t="shared" si="19"/>
        <v>0.03</v>
      </c>
      <c r="S100" s="320"/>
      <c r="T100" s="320"/>
      <c r="U100" s="320"/>
      <c r="V100" s="320"/>
      <c r="W100" s="320"/>
      <c r="X100" s="320"/>
      <c r="Y100" s="320"/>
      <c r="Z100" s="463"/>
      <c r="AA100" s="463"/>
      <c r="AB100" s="464"/>
    </row>
    <row r="101" spans="1:28" s="50" customFormat="1" ht="13.95" customHeight="1">
      <c r="A101"/>
      <c r="B101" s="242"/>
      <c r="C101" s="1053" t="s">
        <v>52</v>
      </c>
      <c r="D101" s="595">
        <v>0</v>
      </c>
      <c r="E101" s="891"/>
      <c r="F101" s="595">
        <f>D101+D101*O101</f>
        <v>0</v>
      </c>
      <c r="G101" s="891"/>
      <c r="H101" s="595">
        <f>F101+F101*P101</f>
        <v>0</v>
      </c>
      <c r="I101" s="891"/>
      <c r="J101" s="595">
        <f>H101+H101*Q101</f>
        <v>0</v>
      </c>
      <c r="K101" s="891"/>
      <c r="L101" s="595">
        <f>J101+J101*R101</f>
        <v>0</v>
      </c>
      <c r="M101" s="891"/>
      <c r="N101" s="55"/>
      <c r="O101" s="382">
        <v>0.03</v>
      </c>
      <c r="P101" s="382">
        <f t="shared" ref="P101" si="20">O101</f>
        <v>0.03</v>
      </c>
      <c r="Q101" s="382">
        <f t="shared" si="19"/>
        <v>0.03</v>
      </c>
      <c r="R101" s="382">
        <f t="shared" si="19"/>
        <v>0.03</v>
      </c>
      <c r="S101" s="320"/>
      <c r="T101" s="320"/>
      <c r="U101" s="320"/>
      <c r="V101" s="320"/>
      <c r="W101" s="320"/>
      <c r="X101" s="320"/>
      <c r="Y101" s="320"/>
      <c r="Z101" s="463"/>
      <c r="AA101" s="463"/>
      <c r="AB101" s="464"/>
    </row>
    <row r="102" spans="1:28" s="50" customFormat="1" ht="13.95" customHeight="1">
      <c r="A102"/>
      <c r="B102" s="242"/>
      <c r="C102" s="1053" t="s">
        <v>53</v>
      </c>
      <c r="D102" s="595">
        <v>0</v>
      </c>
      <c r="E102" s="891"/>
      <c r="F102" s="595">
        <f>D102+D102*O102</f>
        <v>0</v>
      </c>
      <c r="G102" s="891"/>
      <c r="H102" s="595">
        <f>F102+F102*P102</f>
        <v>0</v>
      </c>
      <c r="I102" s="891"/>
      <c r="J102" s="595">
        <f>H102+H102*Q102</f>
        <v>0</v>
      </c>
      <c r="K102" s="891"/>
      <c r="L102" s="595">
        <f>J102+J102*R102</f>
        <v>0</v>
      </c>
      <c r="M102" s="891"/>
      <c r="N102" s="55"/>
      <c r="O102" s="382">
        <v>0.03</v>
      </c>
      <c r="P102" s="382">
        <f>O102</f>
        <v>0.03</v>
      </c>
      <c r="Q102" s="382">
        <f t="shared" si="19"/>
        <v>0.03</v>
      </c>
      <c r="R102" s="382">
        <f t="shared" si="19"/>
        <v>0.03</v>
      </c>
      <c r="S102" s="320"/>
      <c r="T102" s="320"/>
      <c r="U102" s="320"/>
      <c r="V102" s="320"/>
      <c r="W102" s="320"/>
      <c r="X102" s="320"/>
      <c r="Y102" s="320"/>
      <c r="Z102" s="463"/>
      <c r="AA102" s="463"/>
      <c r="AB102" s="464"/>
    </row>
    <row r="103" spans="1:28" s="50" customFormat="1" ht="13.95" customHeight="1" thickBot="1">
      <c r="A103"/>
      <c r="B103" s="242"/>
      <c r="C103" s="1055" t="s">
        <v>181</v>
      </c>
      <c r="D103" s="906">
        <v>0</v>
      </c>
      <c r="E103" s="905"/>
      <c r="F103" s="595">
        <f>D103+D103*O103</f>
        <v>0</v>
      </c>
      <c r="G103" s="905"/>
      <c r="H103" s="595">
        <f>F103+F103*P103</f>
        <v>0</v>
      </c>
      <c r="I103" s="905"/>
      <c r="J103" s="595">
        <f>H103+H103*Q103</f>
        <v>0</v>
      </c>
      <c r="K103" s="905"/>
      <c r="L103" s="595">
        <f>J103+J103*R103</f>
        <v>0</v>
      </c>
      <c r="M103" s="905"/>
      <c r="N103" s="55"/>
      <c r="O103" s="382">
        <v>0.03</v>
      </c>
      <c r="P103" s="382">
        <f t="shared" ref="P103" si="21">O103</f>
        <v>0.03</v>
      </c>
      <c r="Q103" s="382">
        <f t="shared" si="19"/>
        <v>0.03</v>
      </c>
      <c r="R103" s="382">
        <f t="shared" si="19"/>
        <v>0.03</v>
      </c>
      <c r="S103" s="320"/>
      <c r="T103" s="320"/>
      <c r="U103" s="320"/>
      <c r="V103" s="320"/>
      <c r="W103" s="320"/>
      <c r="X103" s="320"/>
      <c r="Y103" s="320"/>
      <c r="Z103" s="463"/>
      <c r="AA103" s="463"/>
      <c r="AB103" s="464"/>
    </row>
    <row r="104" spans="1:28" s="4" customFormat="1" ht="13.95" customHeight="1">
      <c r="A104"/>
      <c r="B104" s="417"/>
      <c r="C104" s="1054" t="s">
        <v>321</v>
      </c>
      <c r="D104" s="903">
        <f>SUM(D105:D106)</f>
        <v>0</v>
      </c>
      <c r="E104" s="904">
        <f>IF(D$45=0,0,100*D104/D$45)</f>
        <v>0</v>
      </c>
      <c r="F104" s="903">
        <f>SUM(F105:F106)</f>
        <v>0</v>
      </c>
      <c r="G104" s="904">
        <f>IF(F$45=0,0,100*F104/F$45)</f>
        <v>0</v>
      </c>
      <c r="H104" s="903">
        <f>SUM(H105:H106)</f>
        <v>0</v>
      </c>
      <c r="I104" s="904">
        <f>IF(H$45=0,0,100*H104/H$45)</f>
        <v>0</v>
      </c>
      <c r="J104" s="903">
        <f>SUM(J105:J106)</f>
        <v>0</v>
      </c>
      <c r="K104" s="904">
        <f>IF(J$45=0,0,100*J104/J$45)</f>
        <v>0</v>
      </c>
      <c r="L104" s="903">
        <f>SUM(L105:L106)</f>
        <v>0</v>
      </c>
      <c r="M104" s="904">
        <f>IF(L$45=0,0,100*L104/L$45)</f>
        <v>0</v>
      </c>
      <c r="N104" s="29"/>
      <c r="O104" s="1499"/>
      <c r="P104" s="316"/>
      <c r="Q104" s="316"/>
      <c r="R104" s="316"/>
      <c r="S104" s="320"/>
      <c r="T104" s="320"/>
      <c r="U104" s="320"/>
      <c r="V104" s="320"/>
      <c r="W104" s="320"/>
      <c r="X104" s="320"/>
      <c r="Y104" s="320"/>
      <c r="Z104" s="463"/>
      <c r="AA104" s="463"/>
      <c r="AB104" s="464"/>
    </row>
    <row r="105" spans="1:28" s="50" customFormat="1" ht="13.95" customHeight="1">
      <c r="A105"/>
      <c r="B105" s="242"/>
      <c r="C105" s="1053" t="s">
        <v>54</v>
      </c>
      <c r="D105" s="595">
        <v>0</v>
      </c>
      <c r="E105" s="891"/>
      <c r="F105" s="595">
        <f>D105+D105*O105</f>
        <v>0</v>
      </c>
      <c r="G105" s="891"/>
      <c r="H105" s="595">
        <f>F105+F105*P105</f>
        <v>0</v>
      </c>
      <c r="I105" s="891"/>
      <c r="J105" s="595">
        <f>H105+H105*Q105</f>
        <v>0</v>
      </c>
      <c r="K105" s="891"/>
      <c r="L105" s="595">
        <f>J105+J105*R105</f>
        <v>0</v>
      </c>
      <c r="M105" s="891"/>
      <c r="N105" s="55"/>
      <c r="O105" s="382">
        <v>0.03</v>
      </c>
      <c r="P105" s="382">
        <f t="shared" ref="P105:R106" si="22">O105</f>
        <v>0.03</v>
      </c>
      <c r="Q105" s="382">
        <f t="shared" si="22"/>
        <v>0.03</v>
      </c>
      <c r="R105" s="382">
        <f t="shared" si="22"/>
        <v>0.03</v>
      </c>
      <c r="S105" s="320"/>
      <c r="T105" s="320"/>
      <c r="U105" s="320"/>
      <c r="V105" s="320"/>
      <c r="W105" s="320"/>
      <c r="X105" s="320"/>
      <c r="Y105" s="320"/>
      <c r="Z105" s="463"/>
      <c r="AA105" s="463"/>
      <c r="AB105" s="464"/>
    </row>
    <row r="106" spans="1:28" s="50" customFormat="1" ht="13.95" customHeight="1" thickBot="1">
      <c r="A106"/>
      <c r="B106" s="242"/>
      <c r="C106" s="1056" t="s">
        <v>15</v>
      </c>
      <c r="D106" s="589">
        <v>0</v>
      </c>
      <c r="E106" s="907"/>
      <c r="F106" s="595">
        <f>D106+D106*O106</f>
        <v>0</v>
      </c>
      <c r="G106" s="907"/>
      <c r="H106" s="595">
        <f>F106+F106*P106</f>
        <v>0</v>
      </c>
      <c r="I106" s="907"/>
      <c r="J106" s="595">
        <f>H106+H106*Q106</f>
        <v>0</v>
      </c>
      <c r="K106" s="907"/>
      <c r="L106" s="595">
        <f>J106+J106*R106</f>
        <v>0</v>
      </c>
      <c r="M106" s="907"/>
      <c r="N106" s="55"/>
      <c r="O106" s="382">
        <v>0.03</v>
      </c>
      <c r="P106" s="382">
        <f t="shared" si="22"/>
        <v>0.03</v>
      </c>
      <c r="Q106" s="382">
        <f t="shared" si="22"/>
        <v>0.03</v>
      </c>
      <c r="R106" s="382">
        <f t="shared" si="22"/>
        <v>0.03</v>
      </c>
      <c r="S106" s="320"/>
      <c r="T106" s="320"/>
      <c r="U106" s="320"/>
      <c r="V106" s="320"/>
      <c r="W106" s="320"/>
      <c r="X106" s="320"/>
      <c r="Y106" s="320"/>
      <c r="Z106" s="463"/>
      <c r="AA106" s="463"/>
      <c r="AB106" s="464"/>
    </row>
    <row r="107" spans="1:28" s="4" customFormat="1" ht="13.95" customHeight="1">
      <c r="A107"/>
      <c r="B107" s="417"/>
      <c r="C107" s="1054" t="s">
        <v>70</v>
      </c>
      <c r="D107" s="903">
        <f>SUM(D108:D111)</f>
        <v>0</v>
      </c>
      <c r="E107" s="904">
        <f>IF(D$45=0,0,100*D107/D$45)</f>
        <v>0</v>
      </c>
      <c r="F107" s="903">
        <f>SUM(F108:F111)</f>
        <v>0</v>
      </c>
      <c r="G107" s="904">
        <f>IF(F$45=0,0,100*F107/F$45)</f>
        <v>0</v>
      </c>
      <c r="H107" s="903">
        <f>SUM(H108:H111)</f>
        <v>0</v>
      </c>
      <c r="I107" s="904">
        <f>IF(H$45=0,0,100*H107/H$45)</f>
        <v>0</v>
      </c>
      <c r="J107" s="903">
        <f>SUM(J108:J111)</f>
        <v>0</v>
      </c>
      <c r="K107" s="904">
        <f>IF(J$45=0,0,100*J107/J$45)</f>
        <v>0</v>
      </c>
      <c r="L107" s="903">
        <f>SUM(L108:L111)</f>
        <v>0</v>
      </c>
      <c r="M107" s="904">
        <f>IF(L$45=0,0,100*L107/L$45)</f>
        <v>0</v>
      </c>
      <c r="N107" s="29"/>
      <c r="O107" s="1499"/>
      <c r="P107" s="316"/>
      <c r="Q107" s="316"/>
      <c r="R107" s="316"/>
      <c r="S107" s="320"/>
      <c r="T107" s="320"/>
      <c r="U107" s="320"/>
      <c r="V107" s="320"/>
      <c r="W107" s="320"/>
      <c r="X107" s="320"/>
      <c r="Y107" s="320"/>
      <c r="Z107" s="463"/>
      <c r="AA107" s="463"/>
      <c r="AB107" s="464"/>
    </row>
    <row r="108" spans="1:28" s="50" customFormat="1" ht="13.95" customHeight="1">
      <c r="A108"/>
      <c r="B108" s="242"/>
      <c r="C108" s="1053" t="s">
        <v>55</v>
      </c>
      <c r="D108" s="595">
        <v>0</v>
      </c>
      <c r="E108" s="891"/>
      <c r="F108" s="595">
        <f>D108+D108*O108</f>
        <v>0</v>
      </c>
      <c r="G108" s="891"/>
      <c r="H108" s="595">
        <f>F108+F108*P108</f>
        <v>0</v>
      </c>
      <c r="I108" s="891"/>
      <c r="J108" s="595">
        <f>H108+H108*Q108</f>
        <v>0</v>
      </c>
      <c r="K108" s="891"/>
      <c r="L108" s="595">
        <f>J108+J108*R108</f>
        <v>0</v>
      </c>
      <c r="M108" s="891"/>
      <c r="N108" s="53"/>
      <c r="O108" s="382">
        <v>0.03</v>
      </c>
      <c r="P108" s="382">
        <f>O108</f>
        <v>0.03</v>
      </c>
      <c r="Q108" s="382">
        <f t="shared" ref="Q108:R111" si="23">P108</f>
        <v>0.03</v>
      </c>
      <c r="R108" s="382">
        <f t="shared" si="23"/>
        <v>0.03</v>
      </c>
      <c r="S108" s="320"/>
      <c r="T108" s="320"/>
      <c r="U108" s="320"/>
      <c r="V108" s="320"/>
      <c r="W108" s="320"/>
      <c r="X108" s="320"/>
      <c r="Y108" s="320"/>
      <c r="Z108" s="463"/>
      <c r="AA108" s="463"/>
      <c r="AB108" s="464"/>
    </row>
    <row r="109" spans="1:28" s="50" customFormat="1" ht="13.95" customHeight="1">
      <c r="A109" s="51"/>
      <c r="B109" s="242"/>
      <c r="C109" s="1053" t="s">
        <v>56</v>
      </c>
      <c r="D109" s="595">
        <v>0</v>
      </c>
      <c r="E109" s="891"/>
      <c r="F109" s="595">
        <f>D109+D109*O109</f>
        <v>0</v>
      </c>
      <c r="G109" s="891"/>
      <c r="H109" s="595">
        <f>F109+F109*P109</f>
        <v>0</v>
      </c>
      <c r="I109" s="891"/>
      <c r="J109" s="595">
        <f>H109+H109*Q109</f>
        <v>0</v>
      </c>
      <c r="K109" s="891"/>
      <c r="L109" s="595">
        <f>J109+J109*R109</f>
        <v>0</v>
      </c>
      <c r="M109" s="891"/>
      <c r="N109" s="53"/>
      <c r="O109" s="382">
        <v>0.03</v>
      </c>
      <c r="P109" s="382">
        <f>O109</f>
        <v>0.03</v>
      </c>
      <c r="Q109" s="382">
        <f t="shared" si="23"/>
        <v>0.03</v>
      </c>
      <c r="R109" s="382">
        <f t="shared" si="23"/>
        <v>0.03</v>
      </c>
      <c r="S109" s="320"/>
      <c r="T109" s="320"/>
      <c r="U109" s="320"/>
      <c r="V109" s="320"/>
      <c r="W109" s="320"/>
      <c r="X109" s="320"/>
      <c r="Y109" s="320"/>
      <c r="Z109" s="463"/>
      <c r="AA109" s="463"/>
      <c r="AB109" s="464"/>
    </row>
    <row r="110" spans="1:28" s="50" customFormat="1" ht="13.95" customHeight="1">
      <c r="A110" s="2"/>
      <c r="B110" s="242"/>
      <c r="C110" s="1053" t="s">
        <v>57</v>
      </c>
      <c r="D110" s="595">
        <v>0</v>
      </c>
      <c r="E110" s="891"/>
      <c r="F110" s="595">
        <f>D110+D110*O110</f>
        <v>0</v>
      </c>
      <c r="G110" s="891"/>
      <c r="H110" s="595">
        <f>F110+F110*P110</f>
        <v>0</v>
      </c>
      <c r="I110" s="891"/>
      <c r="J110" s="595">
        <f>H110+H110*Q110</f>
        <v>0</v>
      </c>
      <c r="K110" s="891"/>
      <c r="L110" s="595">
        <f>J110+J110*R110</f>
        <v>0</v>
      </c>
      <c r="M110" s="891"/>
      <c r="N110" s="55"/>
      <c r="O110" s="382">
        <v>0.03</v>
      </c>
      <c r="P110" s="382">
        <f>O110</f>
        <v>0.03</v>
      </c>
      <c r="Q110" s="382">
        <f t="shared" si="23"/>
        <v>0.03</v>
      </c>
      <c r="R110" s="382">
        <f t="shared" si="23"/>
        <v>0.03</v>
      </c>
      <c r="S110" s="320"/>
      <c r="T110" s="320"/>
      <c r="U110" s="320"/>
      <c r="V110" s="320"/>
      <c r="W110" s="320"/>
      <c r="X110" s="320"/>
      <c r="Y110" s="320"/>
      <c r="Z110" s="463"/>
      <c r="AA110" s="463"/>
      <c r="AB110" s="464"/>
    </row>
    <row r="111" spans="1:28" s="50" customFormat="1" ht="13.95" customHeight="1" thickBot="1">
      <c r="A111"/>
      <c r="B111" s="242"/>
      <c r="C111" s="1056" t="s">
        <v>58</v>
      </c>
      <c r="D111" s="595">
        <v>0</v>
      </c>
      <c r="E111" s="905"/>
      <c r="F111" s="595">
        <f>D111+D111*O111</f>
        <v>0</v>
      </c>
      <c r="G111" s="905"/>
      <c r="H111" s="595">
        <f>F111+F111*P111</f>
        <v>0</v>
      </c>
      <c r="I111" s="905"/>
      <c r="J111" s="906">
        <f>H111+H111*Q111</f>
        <v>0</v>
      </c>
      <c r="K111" s="905"/>
      <c r="L111" s="906">
        <f>J111+J111*R111</f>
        <v>0</v>
      </c>
      <c r="M111" s="905"/>
      <c r="N111" s="55"/>
      <c r="O111" s="382">
        <v>0.03</v>
      </c>
      <c r="P111" s="382">
        <f>O111</f>
        <v>0.03</v>
      </c>
      <c r="Q111" s="382">
        <f t="shared" si="23"/>
        <v>0.03</v>
      </c>
      <c r="R111" s="382">
        <f t="shared" si="23"/>
        <v>0.03</v>
      </c>
      <c r="S111" s="320"/>
      <c r="T111" s="320"/>
      <c r="U111" s="320"/>
      <c r="V111" s="320"/>
      <c r="W111" s="320"/>
      <c r="X111" s="320"/>
      <c r="Y111" s="320"/>
      <c r="Z111" s="463"/>
      <c r="AA111" s="463"/>
      <c r="AB111" s="464"/>
    </row>
    <row r="112" spans="1:28" s="4" customFormat="1" ht="13.95" customHeight="1">
      <c r="A112"/>
      <c r="B112" s="417"/>
      <c r="C112" s="1057" t="s">
        <v>501</v>
      </c>
      <c r="D112" s="916">
        <f>SUM(D113:D115)</f>
        <v>0</v>
      </c>
      <c r="E112" s="904">
        <f>IF(D$45=0,0,100*D112/D$45)</f>
        <v>0</v>
      </c>
      <c r="F112" s="916">
        <f>SUM(F113:F115)</f>
        <v>0</v>
      </c>
      <c r="G112" s="904">
        <f>IF(F$45=0,0,100*F112/F$45)</f>
        <v>0</v>
      </c>
      <c r="H112" s="916">
        <f>SUM(H113:H115)</f>
        <v>0</v>
      </c>
      <c r="I112" s="904">
        <f>IF(H$45=0,0,100*H112/H$45)</f>
        <v>0</v>
      </c>
      <c r="J112" s="916">
        <f>SUM(J113:J115)</f>
        <v>0</v>
      </c>
      <c r="K112" s="904">
        <f>IF(J$45=0,0,100*J112/J$45)</f>
        <v>0</v>
      </c>
      <c r="L112" s="916">
        <f>SUM(L113:L115)</f>
        <v>0</v>
      </c>
      <c r="M112" s="904">
        <f>IF(L$45=0,0,100*L112/L$45)</f>
        <v>0</v>
      </c>
      <c r="N112" s="29"/>
      <c r="O112" s="1483"/>
      <c r="P112" s="1482"/>
      <c r="Q112" s="1482"/>
      <c r="R112" s="1482"/>
      <c r="S112" s="320"/>
      <c r="T112" s="320"/>
      <c r="U112" s="320"/>
      <c r="V112" s="320"/>
      <c r="W112" s="320"/>
      <c r="X112" s="320"/>
      <c r="Y112" s="320"/>
      <c r="Z112" s="463"/>
      <c r="AA112" s="463"/>
      <c r="AB112" s="464"/>
    </row>
    <row r="113" spans="1:28" s="50" customFormat="1" ht="13.95" customHeight="1">
      <c r="A113"/>
      <c r="B113" s="242"/>
      <c r="C113" s="1053" t="s">
        <v>502</v>
      </c>
      <c r="D113" s="595">
        <v>0</v>
      </c>
      <c r="E113" s="891"/>
      <c r="F113" s="595">
        <f>D113+D113*O113</f>
        <v>0</v>
      </c>
      <c r="G113" s="891"/>
      <c r="H113" s="595">
        <f t="shared" ref="H113:H123" si="24">F113+F113*P113</f>
        <v>0</v>
      </c>
      <c r="I113" s="891"/>
      <c r="J113" s="595">
        <f>H113+H113*Q113</f>
        <v>0</v>
      </c>
      <c r="K113" s="891"/>
      <c r="L113" s="595">
        <f t="shared" ref="L113:L123" si="25">J113+J113*R113</f>
        <v>0</v>
      </c>
      <c r="M113" s="891"/>
      <c r="N113" s="53"/>
      <c r="O113" s="382">
        <v>0.03</v>
      </c>
      <c r="P113" s="382">
        <f t="shared" ref="P113:P121" si="26">O113</f>
        <v>0.03</v>
      </c>
      <c r="Q113" s="382">
        <f t="shared" ref="Q113:R121" si="27">P113</f>
        <v>0.03</v>
      </c>
      <c r="R113" s="382">
        <f t="shared" si="27"/>
        <v>0.03</v>
      </c>
      <c r="S113" s="320"/>
      <c r="T113" s="320"/>
      <c r="U113" s="320"/>
      <c r="V113" s="320"/>
      <c r="W113" s="320"/>
      <c r="X113" s="320"/>
      <c r="Y113" s="463"/>
      <c r="Z113" s="463"/>
      <c r="AA113" s="320"/>
      <c r="AB113" s="464"/>
    </row>
    <row r="114" spans="1:28" s="50" customFormat="1" ht="13.95" customHeight="1">
      <c r="A114"/>
      <c r="B114" s="242"/>
      <c r="C114" s="1053" t="s">
        <v>182</v>
      </c>
      <c r="D114" s="595">
        <v>0</v>
      </c>
      <c r="E114" s="891"/>
      <c r="F114" s="595">
        <f t="shared" ref="F114:F123" si="28">D114+D114*O114</f>
        <v>0</v>
      </c>
      <c r="G114" s="891"/>
      <c r="H114" s="595">
        <f t="shared" si="24"/>
        <v>0</v>
      </c>
      <c r="I114" s="891"/>
      <c r="J114" s="595">
        <f t="shared" ref="J114:J123" si="29">H114+H114*Q114</f>
        <v>0</v>
      </c>
      <c r="K114" s="891"/>
      <c r="L114" s="595">
        <f t="shared" si="25"/>
        <v>0</v>
      </c>
      <c r="M114" s="891"/>
      <c r="N114" s="53"/>
      <c r="O114" s="382">
        <v>0.03</v>
      </c>
      <c r="P114" s="382">
        <f t="shared" si="26"/>
        <v>0.03</v>
      </c>
      <c r="Q114" s="382">
        <f t="shared" si="27"/>
        <v>0.03</v>
      </c>
      <c r="R114" s="382">
        <f t="shared" si="27"/>
        <v>0.03</v>
      </c>
      <c r="S114" s="320"/>
      <c r="T114" s="320"/>
      <c r="U114" s="320"/>
      <c r="V114" s="463"/>
      <c r="W114" s="463"/>
      <c r="X114" s="463"/>
      <c r="Y114" s="463"/>
      <c r="Z114" s="320"/>
      <c r="AA114" s="320"/>
      <c r="AB114" s="464"/>
    </row>
    <row r="115" spans="1:28" s="50" customFormat="1" ht="13.95" customHeight="1" thickBot="1">
      <c r="B115" s="242"/>
      <c r="C115" s="1055" t="s">
        <v>59</v>
      </c>
      <c r="D115" s="906">
        <v>0</v>
      </c>
      <c r="E115" s="905"/>
      <c r="F115" s="595">
        <f t="shared" si="28"/>
        <v>0</v>
      </c>
      <c r="G115" s="905"/>
      <c r="H115" s="906">
        <f t="shared" si="24"/>
        <v>0</v>
      </c>
      <c r="I115" s="905"/>
      <c r="J115" s="906">
        <f t="shared" si="29"/>
        <v>0</v>
      </c>
      <c r="K115" s="905"/>
      <c r="L115" s="906">
        <f t="shared" si="25"/>
        <v>0</v>
      </c>
      <c r="M115" s="905"/>
      <c r="N115" s="55"/>
      <c r="O115" s="382">
        <v>0.03</v>
      </c>
      <c r="P115" s="382">
        <f t="shared" si="26"/>
        <v>0.03</v>
      </c>
      <c r="Q115" s="382">
        <f t="shared" si="27"/>
        <v>0.03</v>
      </c>
      <c r="R115" s="382">
        <f t="shared" si="27"/>
        <v>0.03</v>
      </c>
      <c r="S115" s="320"/>
      <c r="T115" s="320"/>
      <c r="U115" s="320"/>
      <c r="V115" s="463"/>
      <c r="W115" s="463"/>
      <c r="X115" s="463"/>
      <c r="Y115" s="463"/>
      <c r="Z115" s="463"/>
      <c r="AA115" s="463"/>
      <c r="AB115" s="468"/>
    </row>
    <row r="116" spans="1:28" s="4" customFormat="1" ht="13.95" customHeight="1" thickBot="1">
      <c r="B116" s="417"/>
      <c r="C116" s="1058" t="s">
        <v>71</v>
      </c>
      <c r="D116" s="909">
        <v>0</v>
      </c>
      <c r="E116" s="912">
        <f>IF(D$45=0,0,100*D116/D$45)</f>
        <v>0</v>
      </c>
      <c r="F116" s="909">
        <f>D116+D116*O116</f>
        <v>0</v>
      </c>
      <c r="G116" s="912">
        <f>IF(F$45=0,0,100*F116/F$45)</f>
        <v>0</v>
      </c>
      <c r="H116" s="909">
        <f t="shared" si="24"/>
        <v>0</v>
      </c>
      <c r="I116" s="912">
        <f>IF(H$45=0,0,100*H116/H$45)</f>
        <v>0</v>
      </c>
      <c r="J116" s="909">
        <f t="shared" si="29"/>
        <v>0</v>
      </c>
      <c r="K116" s="904">
        <f>IF(J$45=0,0,100*J116/J$45)</f>
        <v>0</v>
      </c>
      <c r="L116" s="909">
        <f t="shared" si="25"/>
        <v>0</v>
      </c>
      <c r="M116" s="904">
        <f>IF(L$45=0,0,100*L116/L$45)</f>
        <v>0</v>
      </c>
      <c r="N116" s="29"/>
      <c r="O116" s="382">
        <v>0.03</v>
      </c>
      <c r="P116" s="382">
        <f t="shared" si="26"/>
        <v>0.03</v>
      </c>
      <c r="Q116" s="382">
        <f t="shared" si="27"/>
        <v>0.03</v>
      </c>
      <c r="R116" s="382">
        <f t="shared" si="27"/>
        <v>0.03</v>
      </c>
      <c r="S116" s="320"/>
      <c r="T116" s="320"/>
      <c r="U116" s="320"/>
      <c r="V116" s="463"/>
      <c r="W116" s="463"/>
      <c r="X116" s="463"/>
      <c r="Y116" s="463"/>
      <c r="Z116" s="463"/>
      <c r="AA116" s="463"/>
      <c r="AB116" s="468"/>
    </row>
    <row r="117" spans="1:28" s="4" customFormat="1" ht="13.95" customHeight="1" thickBot="1">
      <c r="B117" s="417"/>
      <c r="C117" s="1058" t="s">
        <v>72</v>
      </c>
      <c r="D117" s="909">
        <v>0</v>
      </c>
      <c r="E117" s="912">
        <f>IF(D$45=0,0,100*D117/D$45)</f>
        <v>0</v>
      </c>
      <c r="F117" s="909">
        <f t="shared" si="28"/>
        <v>0</v>
      </c>
      <c r="G117" s="912">
        <f>IF(F$45=0,0,100*F117/F$45)</f>
        <v>0</v>
      </c>
      <c r="H117" s="909">
        <f t="shared" si="24"/>
        <v>0</v>
      </c>
      <c r="I117" s="912">
        <f>IF(H$45=0,0,100*H117/H$45)</f>
        <v>0</v>
      </c>
      <c r="J117" s="909">
        <f t="shared" si="29"/>
        <v>0</v>
      </c>
      <c r="K117" s="904">
        <f>IF(J$45=0,0,100*J117/J$45)</f>
        <v>0</v>
      </c>
      <c r="L117" s="909">
        <f t="shared" si="25"/>
        <v>0</v>
      </c>
      <c r="M117" s="904">
        <f>IF(L$45=0,0,100*L117/L$45)</f>
        <v>0</v>
      </c>
      <c r="N117" s="29"/>
      <c r="O117" s="382">
        <v>0.03</v>
      </c>
      <c r="P117" s="382">
        <f t="shared" si="26"/>
        <v>0.03</v>
      </c>
      <c r="Q117" s="382">
        <f t="shared" si="27"/>
        <v>0.03</v>
      </c>
      <c r="R117" s="382">
        <f t="shared" si="27"/>
        <v>0.03</v>
      </c>
      <c r="S117" s="320"/>
      <c r="T117" s="320"/>
      <c r="U117" s="320"/>
      <c r="V117" s="463"/>
      <c r="W117" s="463"/>
      <c r="X117" s="463"/>
      <c r="Y117" s="463"/>
      <c r="Z117" s="463"/>
      <c r="AA117" s="463"/>
      <c r="AB117" s="468"/>
    </row>
    <row r="118" spans="1:28" s="4" customFormat="1" ht="13.95" customHeight="1" thickBot="1">
      <c r="B118" s="1062"/>
      <c r="C118" s="1059" t="s">
        <v>481</v>
      </c>
      <c r="D118" s="909">
        <v>0</v>
      </c>
      <c r="E118" s="912">
        <f t="shared" ref="E118:E123" si="30">IF(D$124=0,0,100*D118/D$124)</f>
        <v>0</v>
      </c>
      <c r="F118" s="909">
        <f t="shared" si="28"/>
        <v>0</v>
      </c>
      <c r="G118" s="912">
        <f>IF(F$45=0,0,100*F118/F$45)</f>
        <v>0</v>
      </c>
      <c r="H118" s="909">
        <f t="shared" si="24"/>
        <v>0</v>
      </c>
      <c r="I118" s="912">
        <f>IF(H$45=0,0,100*H118/H$45)</f>
        <v>0</v>
      </c>
      <c r="J118" s="909">
        <f t="shared" si="29"/>
        <v>0</v>
      </c>
      <c r="K118" s="912">
        <f>IF(J$45=0,0,100*J118/J$45)</f>
        <v>0</v>
      </c>
      <c r="L118" s="909">
        <f t="shared" si="25"/>
        <v>0</v>
      </c>
      <c r="M118" s="912">
        <f>IF(L$45=0,0,100*L118/L$45)</f>
        <v>0</v>
      </c>
      <c r="N118" s="30"/>
      <c r="O118" s="382">
        <v>0.03</v>
      </c>
      <c r="P118" s="382">
        <f t="shared" si="26"/>
        <v>0.03</v>
      </c>
      <c r="Q118" s="382">
        <f t="shared" si="27"/>
        <v>0.03</v>
      </c>
      <c r="R118" s="382">
        <f t="shared" si="27"/>
        <v>0.03</v>
      </c>
      <c r="S118" s="320"/>
      <c r="T118" s="320"/>
      <c r="U118" s="320"/>
      <c r="V118" s="320"/>
      <c r="W118" s="320"/>
      <c r="X118" s="320"/>
      <c r="Y118" s="463"/>
      <c r="Z118" s="463"/>
      <c r="AA118" s="463"/>
      <c r="AB118" s="468"/>
    </row>
    <row r="119" spans="1:28" s="4" customFormat="1" ht="13.95" customHeight="1" thickBot="1">
      <c r="A119"/>
      <c r="B119" s="1062"/>
      <c r="C119" s="1059" t="s">
        <v>498</v>
      </c>
      <c r="D119" s="909">
        <v>0</v>
      </c>
      <c r="E119" s="912">
        <f t="shared" si="30"/>
        <v>0</v>
      </c>
      <c r="F119" s="909">
        <f>D119</f>
        <v>0</v>
      </c>
      <c r="G119" s="912">
        <f t="shared" ref="G119:M120" si="31">IF(F$45=0,0,100*F119/F$45)</f>
        <v>0</v>
      </c>
      <c r="H119" s="909">
        <f>F119</f>
        <v>0</v>
      </c>
      <c r="I119" s="912">
        <f t="shared" ref="I119" si="32">IF(H$45=0,0,100*H119/H$45)</f>
        <v>0</v>
      </c>
      <c r="J119" s="909">
        <f>H119</f>
        <v>0</v>
      </c>
      <c r="K119" s="912">
        <f>IF(J$45=0,0,100*J119/J$45)</f>
        <v>0</v>
      </c>
      <c r="L119" s="909">
        <f>J119</f>
        <v>0</v>
      </c>
      <c r="M119" s="912">
        <f>IF(L$45=0,0,100*L119/L$45)</f>
        <v>0</v>
      </c>
      <c r="N119" s="30"/>
      <c r="O119" s="529">
        <f>IF(F119&gt;0,"MERKITSE MENO KOKO SOPIMUSKAUDELLE!",0)</f>
        <v>0</v>
      </c>
      <c r="P119" s="539"/>
      <c r="Q119" s="539"/>
      <c r="R119" s="539"/>
      <c r="S119" s="151"/>
      <c r="T119" s="320"/>
      <c r="U119" s="320"/>
      <c r="V119" s="320"/>
      <c r="W119" s="320"/>
      <c r="X119" s="320"/>
      <c r="Y119" s="463"/>
      <c r="Z119" s="463"/>
      <c r="AA119" s="463"/>
      <c r="AB119" s="468"/>
    </row>
    <row r="120" spans="1:28" s="4" customFormat="1" ht="13.95" customHeight="1" thickBot="1">
      <c r="B120" s="1062"/>
      <c r="C120" s="1060" t="s">
        <v>482</v>
      </c>
      <c r="D120" s="909">
        <v>0</v>
      </c>
      <c r="E120" s="912">
        <f t="shared" si="30"/>
        <v>0</v>
      </c>
      <c r="F120" s="909">
        <f t="shared" si="28"/>
        <v>0</v>
      </c>
      <c r="G120" s="912">
        <f t="shared" si="31"/>
        <v>0</v>
      </c>
      <c r="H120" s="909">
        <f t="shared" ref="H120" si="33">F120+F120*P120</f>
        <v>0</v>
      </c>
      <c r="I120" s="912">
        <f t="shared" si="31"/>
        <v>0</v>
      </c>
      <c r="J120" s="909">
        <f t="shared" ref="J120" si="34">H120+H120*Q120</f>
        <v>0</v>
      </c>
      <c r="K120" s="912">
        <f t="shared" si="31"/>
        <v>0</v>
      </c>
      <c r="L120" s="909">
        <f t="shared" ref="L120" si="35">J120+J120*R120</f>
        <v>0</v>
      </c>
      <c r="M120" s="912">
        <f t="shared" si="31"/>
        <v>0</v>
      </c>
      <c r="N120" s="30"/>
      <c r="O120" s="382">
        <v>0.03</v>
      </c>
      <c r="P120" s="382">
        <f t="shared" ref="P120:R120" si="36">O120</f>
        <v>0.03</v>
      </c>
      <c r="Q120" s="382">
        <f t="shared" si="36"/>
        <v>0.03</v>
      </c>
      <c r="R120" s="382">
        <f t="shared" si="36"/>
        <v>0.03</v>
      </c>
      <c r="S120" s="320"/>
      <c r="T120" s="320"/>
      <c r="U120" s="320"/>
      <c r="V120" s="320"/>
      <c r="W120" s="320"/>
      <c r="X120" s="320"/>
      <c r="Y120" s="320"/>
      <c r="Z120" s="320"/>
      <c r="AA120" s="320"/>
      <c r="AB120" s="464"/>
    </row>
    <row r="121" spans="1:28" s="4" customFormat="1" ht="13.95" customHeight="1" thickBot="1">
      <c r="A121"/>
      <c r="B121" s="1062"/>
      <c r="C121" s="1180" t="s">
        <v>705</v>
      </c>
      <c r="D121" s="909">
        <v>0</v>
      </c>
      <c r="E121" s="912">
        <f t="shared" si="30"/>
        <v>0</v>
      </c>
      <c r="F121" s="909">
        <f t="shared" si="28"/>
        <v>0</v>
      </c>
      <c r="G121" s="912">
        <f>IF(F$45=0,0,100*F121/F$45)</f>
        <v>0</v>
      </c>
      <c r="H121" s="909">
        <f t="shared" si="24"/>
        <v>0</v>
      </c>
      <c r="I121" s="912">
        <f>IF(H$45=0,0,100*H121/H$45)</f>
        <v>0</v>
      </c>
      <c r="J121" s="909">
        <f t="shared" si="29"/>
        <v>0</v>
      </c>
      <c r="K121" s="912">
        <f>IF(J$45=0,0,100*J121/J$45)</f>
        <v>0</v>
      </c>
      <c r="L121" s="909">
        <f t="shared" si="25"/>
        <v>0</v>
      </c>
      <c r="M121" s="912">
        <f>IF(L$45=0,0,100*L121/L$45)</f>
        <v>0</v>
      </c>
      <c r="N121" s="30"/>
      <c r="O121" s="382">
        <v>0.03</v>
      </c>
      <c r="P121" s="382">
        <f t="shared" si="26"/>
        <v>0.03</v>
      </c>
      <c r="Q121" s="382">
        <f t="shared" si="27"/>
        <v>0.03</v>
      </c>
      <c r="R121" s="382">
        <f t="shared" si="27"/>
        <v>0.03</v>
      </c>
      <c r="S121" s="320"/>
      <c r="T121" s="320"/>
      <c r="U121" s="320"/>
      <c r="V121" s="320"/>
      <c r="W121" s="320"/>
      <c r="X121" s="320"/>
      <c r="Y121" s="320"/>
      <c r="Z121" s="320"/>
      <c r="AA121" s="320"/>
      <c r="AB121" s="464"/>
    </row>
    <row r="122" spans="1:28" s="4" customFormat="1" ht="13.95" customHeight="1" thickBot="1">
      <c r="A122"/>
      <c r="B122" s="1062"/>
      <c r="C122" s="1060" t="s">
        <v>499</v>
      </c>
      <c r="D122" s="909">
        <v>0</v>
      </c>
      <c r="E122" s="912">
        <f t="shared" si="30"/>
        <v>0</v>
      </c>
      <c r="F122" s="909">
        <f t="shared" si="28"/>
        <v>0</v>
      </c>
      <c r="G122" s="912">
        <f t="shared" ref="G122:G123" si="37">IF(F$45=0,0,100*F122/F$45)</f>
        <v>0</v>
      </c>
      <c r="H122" s="909">
        <f t="shared" si="24"/>
        <v>0</v>
      </c>
      <c r="I122" s="912">
        <f t="shared" ref="I122:I123" si="38">IF(H$45=0,0,100*H122/H$45)</f>
        <v>0</v>
      </c>
      <c r="J122" s="909">
        <f t="shared" si="29"/>
        <v>0</v>
      </c>
      <c r="K122" s="912">
        <f t="shared" ref="K122:K123" si="39">IF(J$45=0,0,100*J122/J$45)</f>
        <v>0</v>
      </c>
      <c r="L122" s="909">
        <f t="shared" si="25"/>
        <v>0</v>
      </c>
      <c r="M122" s="912">
        <f t="shared" ref="M122:M123" si="40">IF(L$45=0,0,100*L122/L$45)</f>
        <v>0</v>
      </c>
      <c r="N122" s="30"/>
      <c r="O122" s="382">
        <v>0.03</v>
      </c>
      <c r="P122" s="382">
        <f t="shared" ref="P122:P123" si="41">O122</f>
        <v>0.03</v>
      </c>
      <c r="Q122" s="382">
        <f t="shared" ref="Q122:Q123" si="42">P122</f>
        <v>0.03</v>
      </c>
      <c r="R122" s="382">
        <f t="shared" ref="R122:R123" si="43">Q122</f>
        <v>0.03</v>
      </c>
      <c r="S122" s="378"/>
      <c r="T122" s="320"/>
      <c r="U122" s="320"/>
      <c r="V122" s="320"/>
      <c r="W122" s="320"/>
      <c r="X122" s="320"/>
      <c r="Y122" s="320"/>
      <c r="Z122" s="320"/>
      <c r="AA122" s="320"/>
      <c r="AB122" s="464"/>
    </row>
    <row r="123" spans="1:28" s="4" customFormat="1" ht="13.95" customHeight="1" thickBot="1">
      <c r="A123"/>
      <c r="B123" s="1062"/>
      <c r="C123" s="1060" t="s">
        <v>500</v>
      </c>
      <c r="D123" s="978">
        <v>0</v>
      </c>
      <c r="E123" s="912">
        <f t="shared" si="30"/>
        <v>0</v>
      </c>
      <c r="F123" s="909">
        <f t="shared" si="28"/>
        <v>0</v>
      </c>
      <c r="G123" s="912">
        <f t="shared" si="37"/>
        <v>0</v>
      </c>
      <c r="H123" s="909">
        <f t="shared" si="24"/>
        <v>0</v>
      </c>
      <c r="I123" s="912">
        <f t="shared" si="38"/>
        <v>0</v>
      </c>
      <c r="J123" s="909">
        <f t="shared" si="29"/>
        <v>0</v>
      </c>
      <c r="K123" s="912">
        <f t="shared" si="39"/>
        <v>0</v>
      </c>
      <c r="L123" s="909">
        <f t="shared" si="25"/>
        <v>0</v>
      </c>
      <c r="M123" s="912">
        <f t="shared" si="40"/>
        <v>0</v>
      </c>
      <c r="N123" s="30"/>
      <c r="O123" s="382">
        <v>0.03</v>
      </c>
      <c r="P123" s="382">
        <f t="shared" si="41"/>
        <v>0.03</v>
      </c>
      <c r="Q123" s="382">
        <f t="shared" si="42"/>
        <v>0.03</v>
      </c>
      <c r="R123" s="382">
        <f t="shared" si="43"/>
        <v>0.03</v>
      </c>
      <c r="S123" s="541"/>
      <c r="T123" s="465"/>
      <c r="U123" s="465"/>
      <c r="V123" s="465"/>
      <c r="W123" s="465"/>
      <c r="X123" s="465"/>
      <c r="Y123" s="465"/>
      <c r="Z123" s="465"/>
      <c r="AA123" s="465"/>
      <c r="AB123" s="467"/>
    </row>
    <row r="124" spans="1:28" ht="17.7" customHeight="1" thickBot="1">
      <c r="B124" s="1232" t="s">
        <v>5</v>
      </c>
      <c r="C124" s="1233" t="s">
        <v>18</v>
      </c>
      <c r="D124" s="1234">
        <f>D45+D44</f>
        <v>0</v>
      </c>
      <c r="E124" s="1235">
        <v>0</v>
      </c>
      <c r="F124" s="1234">
        <f>F45+F44</f>
        <v>0</v>
      </c>
      <c r="G124" s="1236">
        <v>0</v>
      </c>
      <c r="H124" s="1234">
        <f>H45+H44</f>
        <v>0</v>
      </c>
      <c r="I124" s="1237">
        <v>0</v>
      </c>
      <c r="J124" s="1234">
        <f>J45+J44</f>
        <v>0</v>
      </c>
      <c r="K124" s="1235"/>
      <c r="L124" s="1234">
        <f>L45+L44</f>
        <v>0</v>
      </c>
      <c r="M124" s="1235"/>
      <c r="N124" s="7"/>
      <c r="O124" s="41"/>
      <c r="P124" s="41"/>
      <c r="Q124" s="41"/>
      <c r="R124" s="41"/>
      <c r="S124" s="42"/>
      <c r="T124" s="42"/>
      <c r="U124" s="42"/>
      <c r="V124" s="42"/>
      <c r="W124" s="42"/>
      <c r="X124" s="42"/>
      <c r="Y124" s="42"/>
      <c r="Z124" s="26"/>
      <c r="AA124" s="26"/>
    </row>
    <row r="125" spans="1:28" ht="17.25" customHeight="1">
      <c r="B125" s="1638" t="str">
        <f>IF(D46+D52&lt;0,"VIRHE! KORJAA LUVUT + MERKKISIKSI!","")</f>
        <v/>
      </c>
      <c r="D125" s="1072" t="str">
        <f>IF(D124&lt;0,"MUUTA KAIKKI TAULUKON LUVUT +MERKKISIKSI!","")</f>
        <v/>
      </c>
      <c r="N125" s="3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26"/>
      <c r="AA125" s="26"/>
    </row>
    <row r="126" spans="1:28" s="2" customFormat="1">
      <c r="A126" s="4"/>
      <c r="D126" s="221"/>
      <c r="E126" s="398"/>
      <c r="F126" s="398"/>
      <c r="G126" s="398"/>
      <c r="H126" s="398"/>
      <c r="I126" s="1819" t="str">
        <f>OHJE!I5</f>
        <v>Yritystulkin tarjoaa</v>
      </c>
      <c r="J126" s="1819"/>
      <c r="K126" s="1819"/>
      <c r="L126" s="1819"/>
      <c r="M126" s="1819"/>
      <c r="N126" s="3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6"/>
      <c r="AA126" s="26"/>
    </row>
    <row r="127" spans="1:28" s="2" customFormat="1">
      <c r="B127" s="1919" t="str">
        <f>OHJE!G24</f>
        <v>YT22 Toimivan yrityksen tulossuunnitelma</v>
      </c>
      <c r="C127" s="1919"/>
      <c r="D127" s="398"/>
      <c r="E127" s="398"/>
      <c r="F127" s="1928" t="str">
        <f>OHJE!H7</f>
        <v>Alavuden Kehitys Oy</v>
      </c>
      <c r="G127" s="1928"/>
      <c r="H127" s="1928"/>
      <c r="I127" s="1928"/>
      <c r="J127" s="1928"/>
      <c r="K127" s="1928"/>
      <c r="L127" s="1928"/>
      <c r="M127" s="1928"/>
      <c r="N127" s="3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6"/>
      <c r="AA127" s="26"/>
    </row>
    <row r="128" spans="1:28" s="2" customFormat="1">
      <c r="B128" s="4"/>
      <c r="N128" s="3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6"/>
      <c r="AA128" s="26"/>
    </row>
    <row r="129" spans="1:27" ht="6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6"/>
      <c r="AA129" s="26"/>
    </row>
    <row r="130" spans="1:27">
      <c r="B130" s="31"/>
      <c r="C130" s="396" t="s">
        <v>332</v>
      </c>
      <c r="D130" s="17"/>
      <c r="E130" s="17"/>
      <c r="F130" s="9"/>
      <c r="G130" s="17"/>
      <c r="H130" s="9"/>
      <c r="I130" s="17"/>
      <c r="J130" s="9"/>
      <c r="K130" s="17"/>
      <c r="L130" s="9"/>
      <c r="M130" s="17"/>
      <c r="N130" s="9"/>
      <c r="O130" s="9"/>
      <c r="P130" s="9"/>
      <c r="Q130" s="8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s="2" customFormat="1">
      <c r="B131" s="34"/>
      <c r="C131" s="50" t="s">
        <v>333</v>
      </c>
      <c r="D131" s="33"/>
      <c r="E131" s="33"/>
      <c r="F131" s="20"/>
      <c r="G131" s="33"/>
      <c r="H131" s="9"/>
      <c r="I131" s="33"/>
      <c r="J131" s="9"/>
      <c r="K131" s="33"/>
      <c r="L131" s="9"/>
      <c r="M131" s="33"/>
      <c r="N131" s="9"/>
      <c r="O131" s="9"/>
      <c r="P131" s="9"/>
      <c r="Q131" s="8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s="2" customFormat="1" ht="12.75" customHeight="1">
      <c r="B132" s="34"/>
      <c r="C132" s="50" t="s">
        <v>334</v>
      </c>
      <c r="D132" s="33"/>
      <c r="E132" s="33"/>
      <c r="F132" s="9"/>
      <c r="G132" s="33"/>
      <c r="H132" s="9"/>
      <c r="I132" s="33"/>
      <c r="J132" s="9"/>
      <c r="K132" s="33"/>
      <c r="L132" s="9"/>
      <c r="M132" s="33"/>
      <c r="N132" s="9"/>
      <c r="O132" s="9"/>
      <c r="P132" s="9"/>
      <c r="Q132" s="8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s="476" customFormat="1">
      <c r="B133" s="1632"/>
      <c r="N133" s="469"/>
      <c r="O133" s="469"/>
      <c r="P133" s="469"/>
      <c r="Q133" s="1633"/>
      <c r="R133" s="33"/>
      <c r="S133" s="1633"/>
      <c r="T133" s="1633"/>
      <c r="U133" s="1633"/>
      <c r="V133" s="1633"/>
      <c r="W133" s="1633"/>
      <c r="X133" s="1633"/>
      <c r="Y133" s="1633"/>
      <c r="Z133" s="1633"/>
      <c r="AA133" s="1633"/>
    </row>
    <row r="134" spans="1:27" s="2" customFormat="1">
      <c r="B134" s="1632"/>
      <c r="N134" s="1634"/>
      <c r="O134" s="1634"/>
      <c r="P134" s="1634"/>
      <c r="Q134" s="1633"/>
      <c r="R134" s="33"/>
      <c r="S134" s="1633"/>
      <c r="T134" s="1633"/>
      <c r="U134" s="1633"/>
      <c r="V134" s="1633"/>
      <c r="W134" s="1633"/>
      <c r="X134" s="1633"/>
      <c r="Y134" s="1633"/>
      <c r="Z134" s="1633"/>
      <c r="AA134" s="1633"/>
    </row>
    <row r="135" spans="1:27" s="476" customFormat="1">
      <c r="B135" s="34"/>
      <c r="N135" s="9"/>
      <c r="O135" s="9"/>
      <c r="P135" s="9"/>
      <c r="Q135" s="1633"/>
      <c r="R135" s="1633"/>
      <c r="S135" s="1633"/>
      <c r="T135" s="1633"/>
      <c r="U135" s="1633"/>
      <c r="V135" s="1633"/>
      <c r="W135" s="1633"/>
      <c r="X135" s="1633"/>
      <c r="Y135" s="1633"/>
      <c r="Z135" s="1633"/>
      <c r="AA135" s="1633"/>
    </row>
    <row r="136" spans="1:27" s="476" customFormat="1">
      <c r="B136" s="1632"/>
      <c r="N136" s="469"/>
      <c r="O136" s="469"/>
      <c r="P136" s="469"/>
      <c r="Q136" s="1633"/>
      <c r="R136" s="1633"/>
      <c r="S136" s="1633"/>
      <c r="T136" s="1633"/>
      <c r="U136" s="1633"/>
      <c r="V136" s="1633"/>
      <c r="W136" s="1633"/>
      <c r="X136" s="1633"/>
      <c r="Y136" s="1633"/>
      <c r="Z136" s="1633"/>
      <c r="AA136" s="1633"/>
    </row>
    <row r="137" spans="1:27" s="476" customFormat="1">
      <c r="B137" s="34"/>
      <c r="N137" s="9"/>
      <c r="O137" s="9"/>
      <c r="P137" s="9"/>
      <c r="Q137" s="1633"/>
      <c r="R137" s="1633"/>
      <c r="S137" s="1633"/>
      <c r="T137" s="1633"/>
      <c r="U137" s="1633"/>
      <c r="V137" s="1633"/>
      <c r="W137" s="1633"/>
      <c r="X137" s="1633"/>
      <c r="Y137" s="1633"/>
      <c r="Z137" s="1633"/>
      <c r="AA137" s="1633"/>
    </row>
    <row r="138" spans="1:27" s="476" customFormat="1" ht="12.75" customHeight="1">
      <c r="B138" s="1633"/>
      <c r="N138" s="1635"/>
      <c r="O138" s="1635"/>
      <c r="P138" s="1635"/>
      <c r="Q138" s="1633"/>
      <c r="R138" s="1633"/>
      <c r="S138" s="1633"/>
      <c r="T138" s="1633"/>
      <c r="U138" s="1633"/>
      <c r="V138" s="1633"/>
      <c r="W138" s="1633"/>
      <c r="X138" s="1633"/>
      <c r="Y138" s="1633"/>
      <c r="Z138" s="1633"/>
      <c r="AA138" s="1633"/>
    </row>
    <row r="139" spans="1:27" s="476" customFormat="1" ht="12.75" customHeight="1">
      <c r="B139" s="1633"/>
      <c r="C139" s="1636"/>
      <c r="D139" s="10"/>
      <c r="E139" s="10"/>
      <c r="F139" s="1635"/>
      <c r="G139" s="10"/>
      <c r="H139" s="469"/>
      <c r="I139" s="10"/>
      <c r="J139" s="469"/>
      <c r="K139" s="10"/>
      <c r="L139" s="469"/>
      <c r="M139" s="10"/>
      <c r="N139" s="469"/>
      <c r="O139" s="469"/>
      <c r="P139" s="469"/>
      <c r="Q139" s="1633"/>
      <c r="R139" s="1633"/>
      <c r="S139" s="1633"/>
      <c r="T139" s="1633"/>
      <c r="U139" s="1633"/>
      <c r="V139" s="1633"/>
      <c r="W139" s="1633"/>
      <c r="X139" s="1633"/>
      <c r="Y139" s="1633"/>
      <c r="Z139" s="1633"/>
      <c r="AA139" s="1633"/>
    </row>
    <row r="140" spans="1:27" s="476" customFormat="1" ht="12.75" customHeight="1">
      <c r="B140" s="1633"/>
      <c r="C140" s="1636"/>
      <c r="D140" s="1633"/>
      <c r="E140" s="1633"/>
      <c r="F140" s="1635"/>
      <c r="G140" s="1633"/>
      <c r="H140" s="1635"/>
      <c r="I140" s="1633"/>
      <c r="J140" s="1635"/>
      <c r="K140" s="1633"/>
      <c r="L140" s="1635"/>
      <c r="M140" s="1633"/>
      <c r="N140" s="1635"/>
      <c r="O140" s="1635"/>
      <c r="P140" s="1635"/>
      <c r="Q140" s="1633"/>
      <c r="R140" s="1633"/>
      <c r="S140" s="1633"/>
      <c r="T140" s="1633"/>
      <c r="U140" s="1633"/>
      <c r="V140" s="1633"/>
      <c r="W140" s="1633"/>
      <c r="X140" s="1633"/>
      <c r="Y140" s="1633"/>
      <c r="Z140" s="1633"/>
      <c r="AA140" s="1633"/>
    </row>
    <row r="141" spans="1:27" s="476" customFormat="1" ht="12.75" customHeight="1">
      <c r="B141" s="1633"/>
      <c r="C141" s="1636"/>
      <c r="D141" s="33"/>
      <c r="E141" s="33"/>
      <c r="F141" s="1635"/>
      <c r="G141" s="33"/>
      <c r="H141" s="1637"/>
      <c r="I141" s="33"/>
      <c r="J141" s="1637"/>
      <c r="K141" s="33"/>
      <c r="L141" s="1637"/>
      <c r="M141" s="33"/>
      <c r="N141" s="1637"/>
      <c r="O141" s="1637"/>
      <c r="P141" s="1637"/>
      <c r="Q141" s="1633"/>
      <c r="R141" s="1633"/>
      <c r="S141" s="1633"/>
      <c r="T141" s="1633"/>
      <c r="U141" s="1633"/>
      <c r="V141" s="1633"/>
      <c r="W141" s="1633"/>
      <c r="X141" s="1633"/>
      <c r="Y141" s="1633"/>
      <c r="Z141" s="1633"/>
      <c r="AA141" s="1633"/>
    </row>
    <row r="142" spans="1:27" s="476" customFormat="1" ht="12.75" customHeight="1">
      <c r="A142" s="1504"/>
      <c r="B142" s="33"/>
      <c r="C142" s="1636"/>
      <c r="D142" s="33"/>
      <c r="E142" s="33"/>
      <c r="F142" s="1635"/>
      <c r="G142" s="33"/>
      <c r="H142" s="1637"/>
      <c r="I142" s="33"/>
      <c r="J142" s="1637"/>
      <c r="K142" s="33"/>
      <c r="L142" s="1637"/>
      <c r="M142" s="33"/>
      <c r="N142" s="1637"/>
      <c r="O142" s="1637"/>
      <c r="P142" s="1637"/>
      <c r="Q142" s="1633"/>
      <c r="R142" s="1633"/>
      <c r="S142" s="1633"/>
      <c r="T142" s="1633"/>
      <c r="U142" s="1633"/>
      <c r="V142" s="1633"/>
      <c r="W142" s="1633"/>
      <c r="X142" s="1633"/>
      <c r="Y142" s="1633"/>
      <c r="Z142" s="1633"/>
      <c r="AA142" s="1633"/>
    </row>
    <row r="143" spans="1:27" s="476" customFormat="1" ht="12.75" customHeight="1">
      <c r="B143" s="1633"/>
      <c r="C143" s="1636"/>
      <c r="D143" s="36"/>
      <c r="E143" s="36"/>
      <c r="F143" s="1635"/>
      <c r="G143" s="36"/>
      <c r="H143" s="1637"/>
      <c r="I143" s="36"/>
      <c r="J143" s="1637"/>
      <c r="K143" s="36"/>
      <c r="L143" s="1637"/>
      <c r="M143" s="36"/>
      <c r="N143" s="1637"/>
      <c r="O143" s="1637"/>
      <c r="P143" s="1637"/>
      <c r="Q143" s="1633"/>
      <c r="R143" s="1633"/>
      <c r="S143" s="1633"/>
      <c r="T143" s="1633"/>
      <c r="U143" s="1633"/>
      <c r="V143" s="1633"/>
      <c r="W143" s="1633"/>
      <c r="X143" s="1633"/>
      <c r="Y143" s="1633"/>
      <c r="Z143" s="1633"/>
      <c r="AA143" s="1633"/>
    </row>
    <row r="144" spans="1:27" s="476" customFormat="1" ht="12.75" customHeight="1">
      <c r="A144" s="1504"/>
      <c r="B144" s="1633"/>
      <c r="C144" s="1633"/>
      <c r="D144" s="33"/>
      <c r="E144" s="33"/>
      <c r="F144" s="1633"/>
      <c r="G144" s="33"/>
      <c r="H144" s="1633"/>
      <c r="I144" s="33"/>
      <c r="J144" s="1633"/>
      <c r="K144" s="33"/>
      <c r="L144" s="1633"/>
      <c r="M144" s="33"/>
      <c r="N144" s="1633"/>
      <c r="O144" s="1633"/>
      <c r="P144" s="1633"/>
      <c r="Q144" s="1633"/>
      <c r="R144" s="1633"/>
      <c r="S144" s="1633"/>
      <c r="T144" s="1633"/>
      <c r="U144" s="1633"/>
      <c r="V144" s="1633"/>
      <c r="W144" s="1633"/>
      <c r="X144" s="1633"/>
      <c r="Y144" s="1633"/>
      <c r="Z144" s="1633"/>
      <c r="AA144" s="1633"/>
    </row>
    <row r="145" spans="1:27" s="476" customFormat="1" ht="12.75" customHeight="1">
      <c r="A145" s="1504"/>
      <c r="B145" s="1633"/>
      <c r="C145" s="1633"/>
      <c r="D145" s="1633"/>
      <c r="E145" s="1633"/>
      <c r="F145" s="34"/>
      <c r="G145" s="1633"/>
      <c r="H145" s="13"/>
      <c r="I145" s="1633"/>
      <c r="J145" s="13"/>
      <c r="K145" s="1633"/>
      <c r="L145" s="13"/>
      <c r="M145" s="1633"/>
      <c r="N145" s="13"/>
      <c r="O145" s="13"/>
      <c r="P145" s="13"/>
      <c r="Q145" s="1633"/>
      <c r="R145" s="1633"/>
      <c r="S145" s="1633"/>
      <c r="T145" s="1633"/>
      <c r="U145" s="1633"/>
      <c r="V145" s="1633"/>
      <c r="W145" s="1633"/>
      <c r="X145" s="1633"/>
      <c r="Y145" s="1633"/>
      <c r="Z145" s="1633"/>
      <c r="AA145" s="1633"/>
    </row>
    <row r="146" spans="1:27" s="476" customFormat="1" ht="12.75" customHeight="1">
      <c r="A146" s="2"/>
      <c r="B146" s="1633"/>
      <c r="C146" s="1633"/>
      <c r="D146" s="1633"/>
      <c r="E146" s="1633"/>
      <c r="F146" s="34"/>
      <c r="G146" s="1633"/>
      <c r="H146" s="9"/>
      <c r="I146" s="1633"/>
      <c r="J146" s="9"/>
      <c r="K146" s="1633"/>
      <c r="L146" s="9"/>
      <c r="M146" s="1633"/>
      <c r="N146" s="9"/>
      <c r="O146" s="9"/>
      <c r="P146" s="9"/>
      <c r="Q146" s="1633"/>
      <c r="R146" s="1633"/>
      <c r="S146" s="1633"/>
      <c r="T146" s="1633"/>
      <c r="U146" s="1633"/>
      <c r="V146" s="1633"/>
      <c r="W146" s="1633"/>
      <c r="X146" s="1633"/>
      <c r="Y146" s="1633"/>
      <c r="Z146" s="1633"/>
      <c r="AA146" s="1633"/>
    </row>
    <row r="147" spans="1:27" s="476" customFormat="1" ht="12.75" customHeight="1">
      <c r="A147" s="1504"/>
      <c r="B147" s="1633"/>
      <c r="C147" s="1633"/>
      <c r="D147" s="1633"/>
      <c r="E147" s="1633"/>
      <c r="F147" s="1633"/>
      <c r="G147" s="1633"/>
      <c r="H147" s="1633"/>
      <c r="I147" s="1633"/>
      <c r="J147" s="1633"/>
      <c r="K147" s="1633"/>
      <c r="L147" s="1633"/>
      <c r="M147" s="1633"/>
      <c r="N147" s="1633"/>
      <c r="O147" s="1633"/>
      <c r="P147" s="1633"/>
      <c r="Q147" s="1633"/>
      <c r="R147" s="1633"/>
      <c r="S147" s="1633"/>
      <c r="T147" s="1633"/>
      <c r="U147" s="1633"/>
      <c r="V147" s="1633"/>
      <c r="W147" s="1633"/>
      <c r="X147" s="1633"/>
      <c r="Y147" s="1633"/>
      <c r="Z147" s="1633"/>
      <c r="AA147" s="1633"/>
    </row>
    <row r="148" spans="1:27" s="476" customFormat="1" ht="12.75" customHeight="1">
      <c r="B148" s="1633"/>
      <c r="C148" s="1633"/>
      <c r="D148" s="33"/>
      <c r="E148" s="33"/>
      <c r="F148" s="34"/>
      <c r="G148" s="33"/>
      <c r="H148" s="14"/>
      <c r="I148" s="33"/>
      <c r="J148" s="14"/>
      <c r="K148" s="33"/>
      <c r="L148" s="14"/>
      <c r="M148" s="33"/>
      <c r="N148" s="14"/>
      <c r="O148" s="14"/>
      <c r="P148" s="14"/>
      <c r="Q148" s="1633"/>
      <c r="R148" s="1633"/>
      <c r="S148" s="1633"/>
      <c r="T148" s="1633"/>
      <c r="U148" s="1633"/>
      <c r="V148" s="1633"/>
      <c r="W148" s="1633"/>
      <c r="X148" s="1633"/>
      <c r="Y148" s="1633"/>
      <c r="Z148" s="1633"/>
      <c r="AA148" s="1633"/>
    </row>
    <row r="149" spans="1:27" s="476" customFormat="1" ht="12.75" customHeight="1">
      <c r="A149" s="1504"/>
    </row>
    <row r="150" spans="1:27" s="476" customFormat="1" ht="12.75" customHeight="1"/>
    <row r="151" spans="1:27" s="476" customFormat="1" ht="12.75" customHeight="1">
      <c r="A151" s="1504"/>
    </row>
    <row r="152" spans="1:27" s="476" customFormat="1" ht="12.75" customHeight="1">
      <c r="A152" s="2"/>
    </row>
    <row r="153" spans="1:27" s="476" customFormat="1" ht="12.75" customHeight="1">
      <c r="A153" s="1504"/>
    </row>
    <row r="154" spans="1:27" s="476" customFormat="1" ht="12.75" customHeight="1"/>
    <row r="155" spans="1:27" s="476" customFormat="1" ht="12.75" customHeight="1">
      <c r="A155" s="1504"/>
    </row>
    <row r="156" spans="1:27" s="476" customFormat="1" ht="12.75" customHeight="1"/>
    <row r="157" spans="1:27" s="476" customFormat="1" ht="12.75" customHeight="1">
      <c r="A157" s="1504"/>
    </row>
    <row r="158" spans="1:27" s="476" customFormat="1" ht="12.75" customHeight="1">
      <c r="A158" s="2"/>
    </row>
    <row r="159" spans="1:27" s="476" customFormat="1" ht="12.75" customHeight="1">
      <c r="A159" s="1504"/>
    </row>
    <row r="160" spans="1:27" s="476" customFormat="1" ht="12.75" customHeight="1"/>
    <row r="161" spans="1:1" s="476" customFormat="1">
      <c r="A161" s="1504"/>
    </row>
    <row r="162" spans="1:1" s="476" customFormat="1"/>
    <row r="163" spans="1:1" s="476" customFormat="1">
      <c r="A163" s="1504"/>
    </row>
    <row r="164" spans="1:1" s="476" customFormat="1">
      <c r="A164" s="2"/>
    </row>
    <row r="165" spans="1:1" s="476" customFormat="1">
      <c r="A165" s="1504"/>
    </row>
    <row r="166" spans="1:1" s="476" customFormat="1">
      <c r="A166" s="4"/>
    </row>
    <row r="167" spans="1:1" s="476" customFormat="1"/>
    <row r="168" spans="1:1" s="476" customFormat="1"/>
    <row r="169" spans="1:1" s="476" customFormat="1"/>
    <row r="170" spans="1:1" s="476" customFormat="1"/>
    <row r="171" spans="1:1" s="476" customFormat="1"/>
    <row r="172" spans="1:1" s="476" customFormat="1"/>
    <row r="173" spans="1:1" s="476" customFormat="1"/>
    <row r="174" spans="1:1" s="476" customFormat="1"/>
    <row r="175" spans="1:1" s="476" customFormat="1"/>
    <row r="176" spans="1:1" s="476" customFormat="1"/>
    <row r="177" s="476" customFormat="1"/>
    <row r="178" s="476" customFormat="1"/>
    <row r="179" s="476" customFormat="1"/>
    <row r="180" s="476" customFormat="1"/>
    <row r="181" s="476" customFormat="1"/>
    <row r="182" s="476" customFormat="1"/>
    <row r="183" s="476" customFormat="1"/>
    <row r="184" s="476" customFormat="1"/>
    <row r="185" s="476" customFormat="1"/>
    <row r="186" s="476" customFormat="1"/>
    <row r="187" s="476" customFormat="1"/>
    <row r="188" s="476" customFormat="1"/>
    <row r="189" s="476" customFormat="1"/>
    <row r="190" s="476" customFormat="1"/>
    <row r="191" s="476" customFormat="1"/>
    <row r="192" s="476" customFormat="1"/>
    <row r="193" s="476" customFormat="1"/>
    <row r="194" s="476" customFormat="1"/>
    <row r="195" s="476" customFormat="1"/>
    <row r="196" s="476" customFormat="1"/>
    <row r="197" s="476" customFormat="1"/>
    <row r="198" s="476" customFormat="1"/>
    <row r="199" s="476" customFormat="1"/>
    <row r="200" s="476" customFormat="1"/>
    <row r="201" s="476" customFormat="1"/>
    <row r="202" s="476" customFormat="1"/>
    <row r="203" s="476" customFormat="1"/>
    <row r="204" s="476" customFormat="1"/>
    <row r="205" s="476" customFormat="1"/>
    <row r="206" s="476" customFormat="1"/>
    <row r="207" s="476" customFormat="1"/>
    <row r="208" s="476" customFormat="1"/>
    <row r="209" s="476" customFormat="1"/>
    <row r="210" s="476" customFormat="1"/>
    <row r="211" s="476" customFormat="1"/>
    <row r="212" s="476" customFormat="1"/>
    <row r="213" s="476" customFormat="1"/>
    <row r="214" s="476" customFormat="1"/>
    <row r="215" s="476" customFormat="1"/>
    <row r="216" s="476" customFormat="1"/>
    <row r="217" s="476" customFormat="1"/>
    <row r="218" s="476" customFormat="1"/>
    <row r="219" s="476" customFormat="1"/>
    <row r="220" s="476" customFormat="1"/>
    <row r="221" s="476" customFormat="1"/>
    <row r="222" s="476" customFormat="1"/>
    <row r="223" s="476" customFormat="1"/>
    <row r="224" s="476" customFormat="1"/>
    <row r="225" s="476" customFormat="1"/>
    <row r="226" s="476" customFormat="1"/>
    <row r="227" s="476" customFormat="1"/>
    <row r="228" s="476" customFormat="1"/>
    <row r="229" s="476" customFormat="1"/>
    <row r="230" s="476" customFormat="1"/>
    <row r="231" s="476" customFormat="1"/>
    <row r="232" s="476" customFormat="1"/>
    <row r="233" s="476" customFormat="1"/>
    <row r="234" s="476" customFormat="1"/>
  </sheetData>
  <sheetProtection algorithmName="SHA-512" hashValue="JbIFxwTV8v+vASFh7PO8wAiV2m6skBrxw4s3CloiKWyfSbxnqZykirjy0h/FKRsnb4nPLwe9Wgivw3TIH3xLnw==" saltValue="H+1rBZTsSnJbKP6Ya+tXmQ==" spinCount="100000" sheet="1" objects="1" scenarios="1"/>
  <mergeCells count="27"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1"/>
  <sheetViews>
    <sheetView showGridLines="0" showZeros="0" defaultGridColor="0" colorId="55" zoomScaleNormal="100" workbookViewId="0">
      <pane ySplit="14" topLeftCell="A15" activePane="bottomLeft" state="frozen"/>
      <selection pane="bottomLeft" activeCell="B17" sqref="B17"/>
    </sheetView>
  </sheetViews>
  <sheetFormatPr defaultRowHeight="12.45"/>
  <cols>
    <col min="1" max="1" width="9.53515625" customWidth="1"/>
    <col min="2" max="2" width="29.53515625" customWidth="1"/>
    <col min="3" max="3" width="5.3046875" style="38" customWidth="1"/>
    <col min="4" max="8" width="13.3046875" customWidth="1"/>
    <col min="9" max="9" width="5.3046875" customWidth="1"/>
    <col min="14" max="21" width="8.84375" customWidth="1"/>
  </cols>
  <sheetData>
    <row r="2" spans="1:24" ht="15.45">
      <c r="B2" s="22" t="s">
        <v>108</v>
      </c>
      <c r="C2"/>
      <c r="D2" s="22"/>
      <c r="F2" s="22"/>
      <c r="J2" s="2" t="str">
        <f>B2</f>
        <v>E2  LIIKEVAIHDON MUODOSTUMINEN</v>
      </c>
      <c r="N2" s="385"/>
    </row>
    <row r="3" spans="1:24" ht="13.5" customHeight="1">
      <c r="A3" s="1527" t="s">
        <v>740</v>
      </c>
      <c r="B3" s="415">
        <f>'3. T3 TASE '!D12</f>
        <v>0</v>
      </c>
      <c r="C3" s="6"/>
      <c r="D3" s="5"/>
      <c r="F3" s="6"/>
      <c r="G3" s="6"/>
      <c r="H3" s="6"/>
      <c r="N3" s="386"/>
    </row>
    <row r="4" spans="1:24" ht="17.25" customHeight="1">
      <c r="B4" s="43" t="s">
        <v>685</v>
      </c>
      <c r="C4" s="52"/>
      <c r="D4" s="16" t="s">
        <v>0</v>
      </c>
      <c r="E4" s="43" t="s">
        <v>520</v>
      </c>
      <c r="G4" s="16" t="s">
        <v>0</v>
      </c>
      <c r="H4" s="46" t="s">
        <v>93</v>
      </c>
      <c r="I4" s="27" t="s">
        <v>0</v>
      </c>
      <c r="J4" s="27" t="s">
        <v>0</v>
      </c>
      <c r="K4" s="27" t="s">
        <v>0</v>
      </c>
    </row>
    <row r="5" spans="1:24" ht="14.25" customHeight="1">
      <c r="B5" s="1859">
        <f>'2. &amp; 7. T2 TULOSSUUN. '!B5:D5</f>
        <v>0</v>
      </c>
      <c r="C5" s="1859"/>
      <c r="D5" s="1859"/>
      <c r="E5" s="1943">
        <f>'1. T1 INVESTOINTISUUN.'!B9</f>
        <v>0</v>
      </c>
      <c r="F5" s="1943"/>
      <c r="G5" s="1943"/>
      <c r="H5" s="555" cm="1">
        <f t="array" ref="H5:I5">'2. &amp; 7. T2 TULOSSUUN. '!O5:P5</f>
        <v>0</v>
      </c>
      <c r="I5" s="19">
        <v>0</v>
      </c>
      <c r="J5" s="1767"/>
      <c r="K5" s="1767"/>
      <c r="W5" s="8"/>
      <c r="X5" s="8"/>
    </row>
    <row r="6" spans="1:24" ht="6" customHeight="1">
      <c r="F6" s="15"/>
      <c r="G6" s="15"/>
      <c r="H6" s="15"/>
      <c r="L6" s="387"/>
      <c r="M6" s="140"/>
      <c r="N6" s="140"/>
      <c r="O6" s="140"/>
      <c r="P6" s="1"/>
      <c r="Q6" s="1"/>
      <c r="R6" s="1"/>
      <c r="S6" s="1"/>
      <c r="T6" s="1"/>
      <c r="U6" s="1"/>
      <c r="V6" s="1"/>
      <c r="W6" s="8"/>
      <c r="X6" s="8"/>
    </row>
    <row r="7" spans="1:24">
      <c r="B7" s="1939" t="s">
        <v>260</v>
      </c>
      <c r="C7" s="1940"/>
      <c r="D7" s="1469" t="s">
        <v>107</v>
      </c>
      <c r="E7" s="1469" t="str">
        <f>'1. T1 INVESTOINTISUUN.'!D15</f>
        <v>Ennuste 1</v>
      </c>
      <c r="F7" s="1469" t="s">
        <v>98</v>
      </c>
      <c r="G7" s="1469" t="s">
        <v>100</v>
      </c>
      <c r="H7" s="1384" t="s">
        <v>257</v>
      </c>
    </row>
    <row r="8" spans="1:24">
      <c r="B8" s="1940"/>
      <c r="C8" s="1940"/>
      <c r="D8" s="1239">
        <f>'5. E1 KUSTANNUKSET '!D$8</f>
        <v>2024</v>
      </c>
      <c r="E8" s="1239">
        <f>'5. E1 KUSTANNUKSET '!F$8</f>
        <v>2025</v>
      </c>
      <c r="F8" s="1239">
        <f>'5. E1 KUSTANNUKSET '!H$8</f>
        <v>2026</v>
      </c>
      <c r="G8" s="1239">
        <f>'5. E1 KUSTANNUKSET '!J$8</f>
        <v>2027</v>
      </c>
      <c r="H8" s="1468">
        <f>'2. &amp; 7. T2 TULOSSUUN. '!O8</f>
        <v>2028</v>
      </c>
      <c r="I8" s="39"/>
      <c r="J8" s="317"/>
      <c r="K8" s="317"/>
      <c r="L8" s="317"/>
      <c r="M8" s="317"/>
      <c r="N8" s="167"/>
      <c r="O8" s="167"/>
      <c r="P8" s="167"/>
      <c r="Q8" s="167"/>
      <c r="R8" s="167"/>
      <c r="S8" s="167"/>
      <c r="T8" s="167"/>
      <c r="U8" s="167"/>
    </row>
    <row r="9" spans="1:24">
      <c r="B9" s="1941" t="s">
        <v>392</v>
      </c>
      <c r="C9" s="1941"/>
      <c r="D9" s="1470" t="str">
        <f>'5. E1 KUSTANNUKSET '!D10</f>
        <v>12</v>
      </c>
      <c r="E9" s="1470">
        <f>'5. E1 KUSTANNUKSET '!F10</f>
        <v>12</v>
      </c>
      <c r="F9" s="1470" t="str">
        <f>'5. E1 KUSTANNUKSET '!H10</f>
        <v>12</v>
      </c>
      <c r="G9" s="1470" t="str">
        <f>'5. E1 KUSTANNUKSET '!J10</f>
        <v>12</v>
      </c>
      <c r="H9" s="1468" t="str">
        <f>'5. E1 KUSTANNUKSET '!L10</f>
        <v>12</v>
      </c>
      <c r="I9" s="39"/>
      <c r="J9" s="317"/>
      <c r="K9" s="317"/>
      <c r="L9" s="317"/>
      <c r="M9" s="317"/>
      <c r="N9" s="167"/>
      <c r="O9" s="167"/>
      <c r="P9" s="167"/>
      <c r="Q9" s="167"/>
      <c r="R9" s="167"/>
      <c r="S9" s="167"/>
      <c r="T9" s="167"/>
      <c r="U9" s="167"/>
    </row>
    <row r="10" spans="1:24" ht="12.65" customHeight="1">
      <c r="B10" s="1473" t="s">
        <v>77</v>
      </c>
      <c r="C10" s="400" t="s">
        <v>704</v>
      </c>
      <c r="D10" s="755">
        <f>(D17+D24+D31+D38+D45+D52+D59+D66+D73+D80)</f>
        <v>0</v>
      </c>
      <c r="E10" s="756">
        <f>(E17+E24+E31+E38+E45+E52+E59+E66+E73+E80)</f>
        <v>0</v>
      </c>
      <c r="F10" s="756">
        <f>(F17+F24+F31+F38+F45+F52+F59+F66+F73+F80)</f>
        <v>0</v>
      </c>
      <c r="G10" s="756">
        <f>(G17+G24+G31+G38+G45+G52+G59+G66+G73+G80)</f>
        <v>0</v>
      </c>
      <c r="H10" s="756">
        <f>(H17+H24+H31+H38+H45+H52+H59+H66+H73+H80)</f>
        <v>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1:24" ht="12.65" customHeight="1">
      <c r="B11" s="1473" t="s">
        <v>78</v>
      </c>
      <c r="C11" s="400" t="s">
        <v>704</v>
      </c>
      <c r="D11" s="755">
        <f>(D21+D28+D35+D42+D49+D56+D63+D70+D77+D84)</f>
        <v>0</v>
      </c>
      <c r="E11" s="756">
        <f>(E21+E28+E35+E42+E49+E56+E63+E70+E77+E84)</f>
        <v>0</v>
      </c>
      <c r="F11" s="756">
        <f>(F21+F28+F35+F42+F49+F56+F63+F70+F77+F84)</f>
        <v>0</v>
      </c>
      <c r="G11" s="756">
        <f>(G21+G28+G35+G42+G49+G56+G63+G70+G77+G84)</f>
        <v>0</v>
      </c>
      <c r="H11" s="756">
        <f>(H21+H28+H35+H42+H49+H56+H63+H70+H77+H84)</f>
        <v>0</v>
      </c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1:24" ht="12.65" customHeight="1">
      <c r="B12" s="1473" t="s">
        <v>79</v>
      </c>
      <c r="C12" s="400"/>
      <c r="D12" s="757">
        <f>IF(D11=0,0,D11/D10)</f>
        <v>0</v>
      </c>
      <c r="E12" s="758">
        <f>IF(E11=0,0,E11/E10)</f>
        <v>0</v>
      </c>
      <c r="F12" s="758">
        <f>IF(F11=0,0,F11/F10)</f>
        <v>0</v>
      </c>
      <c r="G12" s="758">
        <f>IF(G11=0,0,G11/G10)</f>
        <v>0</v>
      </c>
      <c r="H12" s="758">
        <f>IF(H11=0,0,H11/H10)</f>
        <v>0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4" ht="12.65" customHeight="1">
      <c r="B13" s="1473" t="s">
        <v>352</v>
      </c>
      <c r="C13" s="400" t="s">
        <v>704</v>
      </c>
      <c r="D13" s="759"/>
      <c r="E13" s="756">
        <f>(E16*E17+E23*E24+E30*E31+E37*E38+E44*E45+E51*E52+E58*E59+E65*E66+E72*E73+E79*E80)</f>
        <v>0</v>
      </c>
      <c r="F13" s="756">
        <f>(F16*F17+F23*F24+F30*F31+F37*F38+F44*F45+F51*F52+F58*F59+F65*F66+F72*F73+F79*F80)</f>
        <v>0</v>
      </c>
      <c r="G13" s="756">
        <f>(G16*G17+G23*G24+G30*G31+G37*G38+G44*G45+G51*G52+G58*G59+G65*G66+G72*G73+G79*G80)</f>
        <v>0</v>
      </c>
      <c r="H13" s="756">
        <f>(H16*H17+H23*H24+H30*H31+H37*H38+H44*H45+H51*H52+H58*H59+H65*H66+H72*H73+H79*H80)</f>
        <v>0</v>
      </c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</row>
    <row r="14" spans="1:24" ht="12.65" customHeight="1">
      <c r="B14" s="1473" t="s">
        <v>391</v>
      </c>
      <c r="C14" s="400" t="s">
        <v>704</v>
      </c>
      <c r="D14" s="759"/>
      <c r="E14" s="756">
        <f>E12*E13</f>
        <v>0</v>
      </c>
      <c r="F14" s="756">
        <f>F12*F13</f>
        <v>0</v>
      </c>
      <c r="G14" s="756">
        <f>G12*G13</f>
        <v>0</v>
      </c>
      <c r="H14" s="756">
        <f>H12*H13</f>
        <v>0</v>
      </c>
      <c r="J14" s="1487" t="s">
        <v>408</v>
      </c>
      <c r="K14" s="1488"/>
      <c r="L14" s="1341"/>
      <c r="M14" s="1341"/>
      <c r="N14" s="1341"/>
      <c r="O14" s="1341"/>
      <c r="P14" s="1489"/>
      <c r="Q14" s="1489"/>
      <c r="R14" s="1489"/>
      <c r="S14" s="1489"/>
      <c r="T14" s="1489"/>
      <c r="U14" s="1490"/>
    </row>
    <row r="15" spans="1:24" ht="6" customHeight="1">
      <c r="B15" s="1669"/>
      <c r="C15" s="1670"/>
      <c r="D15" s="1671"/>
      <c r="E15" s="1672"/>
      <c r="F15" s="1672"/>
      <c r="G15" s="1672"/>
      <c r="H15" s="1672"/>
      <c r="J15" s="1491"/>
      <c r="K15" s="317"/>
      <c r="L15" s="317"/>
      <c r="M15" s="317"/>
      <c r="N15" s="167"/>
      <c r="O15" s="167"/>
      <c r="P15" s="167"/>
      <c r="Q15" s="167"/>
      <c r="R15" s="167"/>
      <c r="S15" s="167"/>
      <c r="T15" s="167"/>
      <c r="U15" s="341"/>
    </row>
    <row r="16" spans="1:24" ht="12" customHeight="1">
      <c r="A16" s="51"/>
      <c r="B16" s="1466"/>
      <c r="C16" s="1467"/>
      <c r="D16" s="1459" t="s">
        <v>166</v>
      </c>
      <c r="E16" s="636">
        <v>0.24</v>
      </c>
      <c r="F16" s="636">
        <f>E16</f>
        <v>0.24</v>
      </c>
      <c r="G16" s="636">
        <f>F16</f>
        <v>0.24</v>
      </c>
      <c r="H16" s="1465">
        <f>G16</f>
        <v>0.24</v>
      </c>
      <c r="I16" s="39"/>
      <c r="J16" s="1922" t="s">
        <v>515</v>
      </c>
      <c r="K16" s="1923"/>
      <c r="L16" s="1923"/>
      <c r="M16" s="1923"/>
      <c r="N16" s="320"/>
      <c r="O16" s="320"/>
      <c r="P16" s="320"/>
      <c r="Q16" s="320"/>
      <c r="R16" s="320"/>
      <c r="S16" s="320"/>
      <c r="T16" s="320"/>
      <c r="U16" s="464"/>
    </row>
    <row r="17" spans="1:21" ht="12.75" customHeight="1">
      <c r="B17" s="1463" t="s">
        <v>701</v>
      </c>
      <c r="C17" s="346" t="s">
        <v>704</v>
      </c>
      <c r="D17" s="569">
        <v>0</v>
      </c>
      <c r="E17" s="744">
        <f>E18*E19</f>
        <v>0</v>
      </c>
      <c r="F17" s="744">
        <f>F18*F19</f>
        <v>0</v>
      </c>
      <c r="G17" s="577">
        <f>G18*G19</f>
        <v>0</v>
      </c>
      <c r="H17" s="744">
        <f>H18*H19</f>
        <v>0</v>
      </c>
      <c r="J17" s="288">
        <f>E$8</f>
        <v>2025</v>
      </c>
      <c r="K17" s="288">
        <f>F$8</f>
        <v>2026</v>
      </c>
      <c r="L17" s="288">
        <f>G$8</f>
        <v>2027</v>
      </c>
      <c r="M17" s="288">
        <f>H$8</f>
        <v>2028</v>
      </c>
      <c r="N17" s="320"/>
      <c r="O17" s="320"/>
      <c r="P17" s="320"/>
      <c r="Q17" s="320"/>
      <c r="R17" s="320"/>
      <c r="S17" s="320"/>
      <c r="T17" s="320"/>
      <c r="U17" s="464"/>
    </row>
    <row r="18" spans="1:21" ht="12" customHeight="1">
      <c r="A18" s="51"/>
      <c r="B18" s="1464" t="s">
        <v>75</v>
      </c>
      <c r="C18" s="1474">
        <v>0</v>
      </c>
      <c r="D18" s="569">
        <v>0</v>
      </c>
      <c r="E18" s="569">
        <f>D18+D18*J18</f>
        <v>0</v>
      </c>
      <c r="F18" s="569">
        <f>E18+E18*K18</f>
        <v>0</v>
      </c>
      <c r="G18" s="569">
        <f t="shared" ref="G18:G19" si="0">F18+F18*L18</f>
        <v>0</v>
      </c>
      <c r="H18" s="569">
        <f t="shared" ref="H18:H19" si="1">G18+G18*M18</f>
        <v>0</v>
      </c>
      <c r="J18" s="382">
        <v>0</v>
      </c>
      <c r="K18" s="382">
        <f t="shared" ref="K18:K19" si="2">J18</f>
        <v>0</v>
      </c>
      <c r="L18" s="382">
        <f t="shared" ref="L18:L19" si="3">K18</f>
        <v>0</v>
      </c>
      <c r="M18" s="382">
        <f t="shared" ref="M18:M19" si="4">L18</f>
        <v>0</v>
      </c>
      <c r="N18" s="320"/>
      <c r="O18" s="1492"/>
      <c r="P18" s="320"/>
      <c r="Q18" s="320"/>
      <c r="R18" s="320"/>
      <c r="S18" s="320"/>
      <c r="T18" s="320"/>
      <c r="U18" s="464"/>
    </row>
    <row r="19" spans="1:21" ht="12" customHeight="1">
      <c r="A19" s="2"/>
      <c r="B19" s="1464" t="s">
        <v>76</v>
      </c>
      <c r="C19" s="1474">
        <v>0</v>
      </c>
      <c r="D19" s="745">
        <f>IF(D18=0,0,D17/D18)</f>
        <v>0</v>
      </c>
      <c r="E19" s="746">
        <f t="shared" ref="E19" si="5">D19+D19*J19</f>
        <v>0</v>
      </c>
      <c r="F19" s="746">
        <f t="shared" ref="F19" si="6">E19+E19*K19</f>
        <v>0</v>
      </c>
      <c r="G19" s="746">
        <f t="shared" si="0"/>
        <v>0</v>
      </c>
      <c r="H19" s="746">
        <f t="shared" si="1"/>
        <v>0</v>
      </c>
      <c r="J19" s="382">
        <v>0.03</v>
      </c>
      <c r="K19" s="382">
        <f t="shared" si="2"/>
        <v>0.03</v>
      </c>
      <c r="L19" s="382">
        <f t="shared" si="3"/>
        <v>0.03</v>
      </c>
      <c r="M19" s="382">
        <f t="shared" si="4"/>
        <v>0.03</v>
      </c>
      <c r="N19" s="320"/>
      <c r="O19" s="320"/>
      <c r="P19" s="320"/>
      <c r="Q19" s="320"/>
      <c r="R19" s="320"/>
      <c r="S19" s="320"/>
      <c r="T19" s="320"/>
      <c r="U19" s="464"/>
    </row>
    <row r="20" spans="1:21" ht="12" customHeight="1">
      <c r="A20" s="51"/>
      <c r="B20" s="1464" t="s">
        <v>493</v>
      </c>
      <c r="C20" s="347"/>
      <c r="D20" s="747">
        <f>IF(D17=0,0,D21/D17)</f>
        <v>0</v>
      </c>
      <c r="E20" s="748">
        <f>D20</f>
        <v>0</v>
      </c>
      <c r="F20" s="748">
        <f>E20</f>
        <v>0</v>
      </c>
      <c r="G20" s="748">
        <f>F20</f>
        <v>0</v>
      </c>
      <c r="H20" s="748">
        <f>G20</f>
        <v>0</v>
      </c>
      <c r="J20" s="378"/>
      <c r="K20" s="496"/>
      <c r="L20" s="320"/>
      <c r="M20" s="320"/>
      <c r="N20" s="320"/>
      <c r="O20" s="320"/>
      <c r="P20" s="320"/>
      <c r="Q20" s="320"/>
      <c r="R20" s="320"/>
      <c r="S20" s="320"/>
      <c r="T20" s="320"/>
      <c r="U20" s="464"/>
    </row>
    <row r="21" spans="1:21" ht="12" customHeight="1">
      <c r="B21" s="1464" t="s">
        <v>494</v>
      </c>
      <c r="C21" s="347" t="s">
        <v>704</v>
      </c>
      <c r="D21" s="569">
        <v>0</v>
      </c>
      <c r="E21" s="1145">
        <f>IF(E20=0,0,E17*E20)</f>
        <v>0</v>
      </c>
      <c r="F21" s="1145">
        <f>IF(F20=0,0,F17*F20)</f>
        <v>0</v>
      </c>
      <c r="G21" s="1145">
        <f>IF(G20=0,0,G17*G20)</f>
        <v>0</v>
      </c>
      <c r="H21" s="1145">
        <f>IF(H20=0,0,H17*H20)</f>
        <v>0</v>
      </c>
      <c r="J21" s="378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464"/>
    </row>
    <row r="22" spans="1:21" ht="12" customHeight="1">
      <c r="B22" s="47"/>
      <c r="C22" s="71"/>
      <c r="D22" s="1447"/>
      <c r="E22" s="1444"/>
      <c r="F22" s="1444"/>
      <c r="G22" s="1444"/>
      <c r="H22" s="1444"/>
      <c r="J22" s="378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464"/>
    </row>
    <row r="23" spans="1:21" ht="12" customHeight="1">
      <c r="B23" s="47"/>
      <c r="C23" s="71"/>
      <c r="D23" s="1459" t="s">
        <v>166</v>
      </c>
      <c r="E23" s="748">
        <v>0.24</v>
      </c>
      <c r="F23" s="1471">
        <f>E23</f>
        <v>0.24</v>
      </c>
      <c r="G23" s="1471">
        <f>F23</f>
        <v>0.24</v>
      </c>
      <c r="H23" s="1472">
        <f>G23</f>
        <v>0.24</v>
      </c>
      <c r="J23" s="378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464"/>
    </row>
    <row r="24" spans="1:21" ht="12" customHeight="1">
      <c r="B24" s="1463">
        <v>0</v>
      </c>
      <c r="C24" s="347" t="s">
        <v>704</v>
      </c>
      <c r="D24" s="569">
        <v>0</v>
      </c>
      <c r="E24" s="744">
        <f>E25*E26</f>
        <v>0</v>
      </c>
      <c r="F24" s="1145">
        <f>F25*F26</f>
        <v>0</v>
      </c>
      <c r="G24" s="1145">
        <f>G25*G26</f>
        <v>0</v>
      </c>
      <c r="H24" s="1145">
        <f>H25*H26</f>
        <v>0</v>
      </c>
      <c r="J24" s="1502"/>
      <c r="K24" s="1494"/>
      <c r="L24" s="1494"/>
      <c r="M24" s="1494"/>
      <c r="N24" s="320"/>
      <c r="O24" s="320"/>
      <c r="P24" s="320"/>
      <c r="Q24" s="320"/>
      <c r="R24" s="320"/>
      <c r="S24" s="320"/>
      <c r="T24" s="320"/>
      <c r="U24" s="464"/>
    </row>
    <row r="25" spans="1:21" ht="12" customHeight="1">
      <c r="B25" s="1464" t="s">
        <v>75</v>
      </c>
      <c r="C25" s="419"/>
      <c r="D25" s="569">
        <v>0</v>
      </c>
      <c r="E25" s="569">
        <f>D25+D25*J25</f>
        <v>0</v>
      </c>
      <c r="F25" s="569">
        <f>E25+E25*K25</f>
        <v>0</v>
      </c>
      <c r="G25" s="569">
        <f t="shared" ref="G25:G26" si="7">F25+F25*L25</f>
        <v>0</v>
      </c>
      <c r="H25" s="569">
        <f t="shared" ref="H25:H26" si="8">G25+G25*M25</f>
        <v>0</v>
      </c>
      <c r="J25" s="1481">
        <v>0</v>
      </c>
      <c r="K25" s="1481">
        <f t="shared" ref="K25:K26" si="9">J25</f>
        <v>0</v>
      </c>
      <c r="L25" s="1481">
        <f t="shared" ref="L25:L26" si="10">K25</f>
        <v>0</v>
      </c>
      <c r="M25" s="1481">
        <f t="shared" ref="M25:M26" si="11">L25</f>
        <v>0</v>
      </c>
      <c r="N25" s="320"/>
      <c r="O25" s="320"/>
      <c r="P25" s="320"/>
      <c r="Q25" s="320"/>
      <c r="R25" s="320"/>
      <c r="S25" s="320"/>
      <c r="T25" s="320"/>
      <c r="U25" s="464"/>
    </row>
    <row r="26" spans="1:21" ht="12" customHeight="1">
      <c r="B26" s="1464" t="s">
        <v>76</v>
      </c>
      <c r="C26" s="419"/>
      <c r="D26" s="745">
        <f>IF(D25=0,0,D24/D25)</f>
        <v>0</v>
      </c>
      <c r="E26" s="746">
        <f t="shared" ref="E26:F26" si="12">D26+D26*J26</f>
        <v>0</v>
      </c>
      <c r="F26" s="746">
        <f t="shared" si="12"/>
        <v>0</v>
      </c>
      <c r="G26" s="746">
        <f t="shared" si="7"/>
        <v>0</v>
      </c>
      <c r="H26" s="746">
        <f t="shared" si="8"/>
        <v>0</v>
      </c>
      <c r="J26" s="382">
        <v>0.03</v>
      </c>
      <c r="K26" s="382">
        <f t="shared" si="9"/>
        <v>0.03</v>
      </c>
      <c r="L26" s="382">
        <f t="shared" si="10"/>
        <v>0.03</v>
      </c>
      <c r="M26" s="382">
        <f t="shared" si="11"/>
        <v>0.03</v>
      </c>
      <c r="N26" s="320"/>
      <c r="O26" s="320"/>
      <c r="P26" s="320"/>
      <c r="Q26" s="320"/>
      <c r="R26" s="320"/>
      <c r="S26" s="320"/>
      <c r="T26" s="320"/>
      <c r="U26" s="464"/>
    </row>
    <row r="27" spans="1:21" ht="12" customHeight="1">
      <c r="B27" s="1464" t="s">
        <v>493</v>
      </c>
      <c r="C27" s="347"/>
      <c r="D27" s="747">
        <f>IF(D24=0,0,D28/D24)</f>
        <v>0</v>
      </c>
      <c r="E27" s="748">
        <f>D27</f>
        <v>0</v>
      </c>
      <c r="F27" s="748">
        <f>E27</f>
        <v>0</v>
      </c>
      <c r="G27" s="748">
        <f>F27</f>
        <v>0</v>
      </c>
      <c r="H27" s="748">
        <f>G27</f>
        <v>0</v>
      </c>
      <c r="J27" s="378"/>
      <c r="K27" s="496"/>
      <c r="L27" s="320"/>
      <c r="M27" s="320"/>
      <c r="N27" s="320"/>
      <c r="O27" s="320"/>
      <c r="P27" s="320"/>
      <c r="Q27" s="320"/>
      <c r="R27" s="320"/>
      <c r="S27" s="320"/>
      <c r="T27" s="320"/>
      <c r="U27" s="464"/>
    </row>
    <row r="28" spans="1:21" ht="12" customHeight="1">
      <c r="B28" s="1464" t="s">
        <v>494</v>
      </c>
      <c r="C28" s="347" t="s">
        <v>704</v>
      </c>
      <c r="D28" s="569">
        <v>0</v>
      </c>
      <c r="E28" s="1145">
        <f>IF(E27=0,0,E24*E27)</f>
        <v>0</v>
      </c>
      <c r="F28" s="1145">
        <f>IF(F27=0,0,F24*F27)</f>
        <v>0</v>
      </c>
      <c r="G28" s="1145">
        <f>IF(G27=0,0,G24*G27)</f>
        <v>0</v>
      </c>
      <c r="H28" s="1145">
        <f>IF(H27=0,0,H24*H27)</f>
        <v>0</v>
      </c>
      <c r="J28" s="378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464"/>
    </row>
    <row r="29" spans="1:21" ht="12" customHeight="1">
      <c r="B29" s="47"/>
      <c r="C29" s="71"/>
      <c r="D29" s="1447"/>
      <c r="E29" s="1444"/>
      <c r="F29" s="1444"/>
      <c r="G29" s="1444"/>
      <c r="H29" s="1444"/>
      <c r="J29" s="378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464"/>
    </row>
    <row r="30" spans="1:21" ht="12" customHeight="1">
      <c r="A30" s="51"/>
      <c r="B30" s="47"/>
      <c r="C30" s="71"/>
      <c r="D30" s="1459" t="s">
        <v>166</v>
      </c>
      <c r="E30" s="1471">
        <v>0.24</v>
      </c>
      <c r="F30" s="1471">
        <f>E30</f>
        <v>0.24</v>
      </c>
      <c r="G30" s="1471">
        <f>F30</f>
        <v>0.24</v>
      </c>
      <c r="H30" s="1472">
        <f>G30</f>
        <v>0.24</v>
      </c>
      <c r="J30" s="378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464"/>
    </row>
    <row r="31" spans="1:21" ht="12" customHeight="1">
      <c r="B31" s="1463">
        <v>0</v>
      </c>
      <c r="C31" s="347" t="s">
        <v>704</v>
      </c>
      <c r="D31" s="569">
        <v>0</v>
      </c>
      <c r="E31" s="1145">
        <f>E32*E33</f>
        <v>0</v>
      </c>
      <c r="F31" s="1145">
        <f>F32*F33</f>
        <v>0</v>
      </c>
      <c r="G31" s="1145">
        <f>G32*G33</f>
        <v>0</v>
      </c>
      <c r="H31" s="1145">
        <f>H32*H33</f>
        <v>0</v>
      </c>
      <c r="J31" s="1500"/>
      <c r="K31" s="1501"/>
      <c r="L31" s="1501"/>
      <c r="M31" s="1501"/>
      <c r="N31" s="320"/>
      <c r="O31" s="320"/>
      <c r="P31" s="320"/>
      <c r="Q31" s="320"/>
      <c r="R31" s="320"/>
      <c r="S31" s="320"/>
      <c r="T31" s="320"/>
      <c r="U31" s="464"/>
    </row>
    <row r="32" spans="1:21" ht="12" customHeight="1">
      <c r="B32" s="1464" t="s">
        <v>75</v>
      </c>
      <c r="C32" s="419"/>
      <c r="D32" s="569">
        <v>0</v>
      </c>
      <c r="E32" s="569">
        <f>D32+D32*J32</f>
        <v>0</v>
      </c>
      <c r="F32" s="569">
        <f>E32+E32*K32</f>
        <v>0</v>
      </c>
      <c r="G32" s="569">
        <f t="shared" ref="G32:G33" si="13">F32+F32*L32</f>
        <v>0</v>
      </c>
      <c r="H32" s="569">
        <f t="shared" ref="H32:H33" si="14">G32+G32*M32</f>
        <v>0</v>
      </c>
      <c r="J32" s="382">
        <v>0</v>
      </c>
      <c r="K32" s="382">
        <f t="shared" ref="K32:K33" si="15">J32</f>
        <v>0</v>
      </c>
      <c r="L32" s="382">
        <f t="shared" ref="L32:L33" si="16">K32</f>
        <v>0</v>
      </c>
      <c r="M32" s="382">
        <f t="shared" ref="M32:M33" si="17">L32</f>
        <v>0</v>
      </c>
      <c r="N32" s="320"/>
      <c r="O32" s="320"/>
      <c r="P32" s="320"/>
      <c r="Q32" s="320"/>
      <c r="R32" s="320"/>
      <c r="S32" s="320"/>
      <c r="T32" s="320"/>
      <c r="U32" s="464"/>
    </row>
    <row r="33" spans="2:21" ht="12" customHeight="1">
      <c r="B33" s="1464" t="s">
        <v>76</v>
      </c>
      <c r="C33" s="419"/>
      <c r="D33" s="745">
        <f>IF(D32=0,0,D31/D32)</f>
        <v>0</v>
      </c>
      <c r="E33" s="746">
        <f t="shared" ref="E33:F33" si="18">D33+D33*J33</f>
        <v>0</v>
      </c>
      <c r="F33" s="746">
        <f t="shared" si="18"/>
        <v>0</v>
      </c>
      <c r="G33" s="746">
        <f t="shared" si="13"/>
        <v>0</v>
      </c>
      <c r="H33" s="746">
        <f t="shared" si="14"/>
        <v>0</v>
      </c>
      <c r="J33" s="382">
        <v>0.03</v>
      </c>
      <c r="K33" s="382">
        <f t="shared" si="15"/>
        <v>0.03</v>
      </c>
      <c r="L33" s="382">
        <f t="shared" si="16"/>
        <v>0.03</v>
      </c>
      <c r="M33" s="382">
        <f t="shared" si="17"/>
        <v>0.03</v>
      </c>
      <c r="N33" s="320"/>
      <c r="O33" s="320"/>
      <c r="P33" s="320"/>
      <c r="Q33" s="320"/>
      <c r="R33" s="320"/>
      <c r="S33" s="320"/>
      <c r="T33" s="320"/>
      <c r="U33" s="464"/>
    </row>
    <row r="34" spans="2:21" ht="12" customHeight="1">
      <c r="B34" s="1464" t="s">
        <v>493</v>
      </c>
      <c r="C34" s="347"/>
      <c r="D34" s="747">
        <f>IF(D31=0,0,D35/D31)</f>
        <v>0</v>
      </c>
      <c r="E34" s="748">
        <f>D34</f>
        <v>0</v>
      </c>
      <c r="F34" s="748">
        <f>E34</f>
        <v>0</v>
      </c>
      <c r="G34" s="748">
        <f>F34</f>
        <v>0</v>
      </c>
      <c r="H34" s="748">
        <f>G34</f>
        <v>0</v>
      </c>
      <c r="J34" s="1347"/>
      <c r="K34" s="376"/>
      <c r="L34" s="316"/>
      <c r="M34" s="316"/>
      <c r="N34" s="320"/>
      <c r="O34" s="320"/>
      <c r="P34" s="320"/>
      <c r="Q34" s="320"/>
      <c r="R34" s="320"/>
      <c r="S34" s="320"/>
      <c r="T34" s="320"/>
      <c r="U34" s="464"/>
    </row>
    <row r="35" spans="2:21" ht="12" customHeight="1">
      <c r="B35" s="1464" t="s">
        <v>494</v>
      </c>
      <c r="C35" s="347" t="s">
        <v>704</v>
      </c>
      <c r="D35" s="569">
        <v>0</v>
      </c>
      <c r="E35" s="1145">
        <f>IF(E34=0,0,E31*E34)</f>
        <v>0</v>
      </c>
      <c r="F35" s="1145">
        <f>IF(F34=0,0,F31*F34)</f>
        <v>0</v>
      </c>
      <c r="G35" s="1145">
        <f>IF(G34=0,0,G31*G34)</f>
        <v>0</v>
      </c>
      <c r="H35" s="1145">
        <f>IF(H34=0,0,H31*H34)</f>
        <v>0</v>
      </c>
      <c r="J35" s="1347"/>
      <c r="K35" s="316"/>
      <c r="L35" s="316"/>
      <c r="M35" s="316"/>
      <c r="N35" s="320"/>
      <c r="O35" s="320"/>
      <c r="P35" s="320"/>
      <c r="Q35" s="320"/>
      <c r="R35" s="320"/>
      <c r="S35" s="320"/>
      <c r="T35" s="320"/>
      <c r="U35" s="464"/>
    </row>
    <row r="36" spans="2:21" ht="12" customHeight="1">
      <c r="B36" s="47"/>
      <c r="C36" s="71"/>
      <c r="D36" s="1447"/>
      <c r="E36" s="1444"/>
      <c r="F36" s="1444"/>
      <c r="G36" s="1444"/>
      <c r="H36" s="1444"/>
      <c r="J36" s="1347"/>
      <c r="K36" s="316"/>
      <c r="L36" s="316"/>
      <c r="M36" s="316"/>
      <c r="N36" s="320"/>
      <c r="O36" s="320"/>
      <c r="P36" s="320"/>
      <c r="Q36" s="320"/>
      <c r="R36" s="320"/>
      <c r="S36" s="320"/>
      <c r="T36" s="320"/>
      <c r="U36" s="464"/>
    </row>
    <row r="37" spans="2:21" ht="12" customHeight="1">
      <c r="B37" s="47"/>
      <c r="C37" s="71"/>
      <c r="D37" s="1459" t="s">
        <v>166</v>
      </c>
      <c r="E37" s="641">
        <v>0.24</v>
      </c>
      <c r="F37" s="641">
        <f>E37</f>
        <v>0.24</v>
      </c>
      <c r="G37" s="641">
        <f>F37</f>
        <v>0.24</v>
      </c>
      <c r="H37" s="748">
        <f>G37</f>
        <v>0.24</v>
      </c>
      <c r="J37" s="1347"/>
      <c r="K37" s="316"/>
      <c r="L37" s="316"/>
      <c r="M37" s="316"/>
      <c r="N37" s="320"/>
      <c r="O37" s="320"/>
      <c r="P37" s="320"/>
      <c r="Q37" s="320"/>
      <c r="R37" s="320"/>
      <c r="S37" s="320"/>
      <c r="T37" s="320"/>
      <c r="U37" s="464"/>
    </row>
    <row r="38" spans="2:21" ht="12" customHeight="1">
      <c r="B38" s="1463">
        <v>0</v>
      </c>
      <c r="C38" s="346" t="s">
        <v>704</v>
      </c>
      <c r="D38" s="569">
        <v>0</v>
      </c>
      <c r="E38" s="744">
        <f>E39*E40</f>
        <v>0</v>
      </c>
      <c r="F38" s="744">
        <f>F39*F40</f>
        <v>0</v>
      </c>
      <c r="G38" s="577">
        <f>G39*G40</f>
        <v>0</v>
      </c>
      <c r="H38" s="1145">
        <f>H39*H40</f>
        <v>0</v>
      </c>
      <c r="J38" s="1500"/>
      <c r="K38" s="1501"/>
      <c r="L38" s="1501"/>
      <c r="M38" s="1501"/>
      <c r="N38" s="320"/>
      <c r="O38" s="320"/>
      <c r="P38" s="320"/>
      <c r="Q38" s="320"/>
      <c r="R38" s="320"/>
      <c r="S38" s="320"/>
      <c r="T38" s="320"/>
      <c r="U38" s="464"/>
    </row>
    <row r="39" spans="2:21" ht="12" customHeight="1">
      <c r="B39" s="1464" t="s">
        <v>75</v>
      </c>
      <c r="C39" s="1474"/>
      <c r="D39" s="569">
        <v>0</v>
      </c>
      <c r="E39" s="569">
        <f>D39+D39*J39</f>
        <v>0</v>
      </c>
      <c r="F39" s="569">
        <f>E39+E39*K39</f>
        <v>0</v>
      </c>
      <c r="G39" s="569">
        <f t="shared" ref="F39:H40" si="19">F39+F39*L39</f>
        <v>0</v>
      </c>
      <c r="H39" s="567">
        <f t="shared" si="19"/>
        <v>0</v>
      </c>
      <c r="J39" s="382">
        <v>0</v>
      </c>
      <c r="K39" s="382">
        <f t="shared" ref="K39" si="20">J39</f>
        <v>0</v>
      </c>
      <c r="L39" s="382">
        <f t="shared" ref="L39" si="21">K39</f>
        <v>0</v>
      </c>
      <c r="M39" s="382">
        <f t="shared" ref="M39" si="22">L39</f>
        <v>0</v>
      </c>
      <c r="N39" s="320"/>
      <c r="O39" s="320"/>
      <c r="P39" s="320"/>
      <c r="Q39" s="320"/>
      <c r="R39" s="320"/>
      <c r="S39" s="320"/>
      <c r="T39" s="320"/>
      <c r="U39" s="464"/>
    </row>
    <row r="40" spans="2:21" ht="12" customHeight="1">
      <c r="B40" s="1464" t="s">
        <v>76</v>
      </c>
      <c r="C40" s="1474"/>
      <c r="D40" s="745">
        <f>IF(D39=0,0,D38/D39)</f>
        <v>0</v>
      </c>
      <c r="E40" s="746">
        <f>D40+D40*J40</f>
        <v>0</v>
      </c>
      <c r="F40" s="746">
        <f t="shared" si="19"/>
        <v>0</v>
      </c>
      <c r="G40" s="750">
        <f t="shared" si="19"/>
        <v>0</v>
      </c>
      <c r="H40" s="746">
        <f t="shared" si="19"/>
        <v>0</v>
      </c>
      <c r="J40" s="382">
        <v>0.03</v>
      </c>
      <c r="K40" s="382">
        <f t="shared" ref="K40:M40" si="23">J40</f>
        <v>0.03</v>
      </c>
      <c r="L40" s="382">
        <f t="shared" si="23"/>
        <v>0.03</v>
      </c>
      <c r="M40" s="382">
        <f t="shared" si="23"/>
        <v>0.03</v>
      </c>
      <c r="N40" s="320"/>
      <c r="O40" s="320"/>
      <c r="P40" s="320"/>
      <c r="Q40" s="320"/>
      <c r="R40" s="320"/>
      <c r="S40" s="320"/>
      <c r="T40" s="320"/>
      <c r="U40" s="464"/>
    </row>
    <row r="41" spans="2:21" ht="12" customHeight="1">
      <c r="B41" s="1464" t="s">
        <v>493</v>
      </c>
      <c r="C41" s="347"/>
      <c r="D41" s="747">
        <f>IF(D38=0,0,D42/D38)</f>
        <v>0</v>
      </c>
      <c r="E41" s="748">
        <f>D41</f>
        <v>0</v>
      </c>
      <c r="F41" s="748">
        <f>E41</f>
        <v>0</v>
      </c>
      <c r="G41" s="748">
        <f>F41</f>
        <v>0</v>
      </c>
      <c r="H41" s="748">
        <f>G41</f>
        <v>0</v>
      </c>
      <c r="J41" s="378"/>
      <c r="K41" s="496"/>
      <c r="L41" s="320"/>
      <c r="M41" s="320"/>
      <c r="N41" s="320"/>
      <c r="O41" s="320"/>
      <c r="P41" s="320"/>
      <c r="Q41" s="320"/>
      <c r="R41" s="320"/>
      <c r="S41" s="320"/>
      <c r="T41" s="320"/>
      <c r="U41" s="464"/>
    </row>
    <row r="42" spans="2:21" ht="12" customHeight="1">
      <c r="B42" s="1464" t="s">
        <v>494</v>
      </c>
      <c r="C42" s="347" t="s">
        <v>704</v>
      </c>
      <c r="D42" s="569">
        <v>0</v>
      </c>
      <c r="E42" s="1145">
        <f>IF(E41=0,0,E38*E41)</f>
        <v>0</v>
      </c>
      <c r="F42" s="1145">
        <f>IF(F41=0,0,F38*F41)</f>
        <v>0</v>
      </c>
      <c r="G42" s="752">
        <f>IF(G41=0,0,G38*G41)</f>
        <v>0</v>
      </c>
      <c r="H42" s="1145">
        <f>IF(H41=0,0,H38*H41)</f>
        <v>0</v>
      </c>
      <c r="J42" s="378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464"/>
    </row>
    <row r="43" spans="2:21" ht="12" customHeight="1">
      <c r="B43" s="47"/>
      <c r="C43" s="71"/>
      <c r="D43" s="1447"/>
      <c r="E43" s="1444"/>
      <c r="F43" s="1444"/>
      <c r="G43" s="1444"/>
      <c r="H43" s="1444"/>
      <c r="J43" s="378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464"/>
    </row>
    <row r="44" spans="2:21" ht="12" customHeight="1">
      <c r="B44" s="47"/>
      <c r="C44" s="71"/>
      <c r="D44" s="1459" t="s">
        <v>166</v>
      </c>
      <c r="E44" s="641">
        <v>0.24</v>
      </c>
      <c r="F44" s="641">
        <f>E44</f>
        <v>0.24</v>
      </c>
      <c r="G44" s="641">
        <f>F44</f>
        <v>0.24</v>
      </c>
      <c r="H44" s="748">
        <f>G44</f>
        <v>0.24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464"/>
    </row>
    <row r="45" spans="2:21" ht="12" customHeight="1">
      <c r="B45" s="1463">
        <v>0</v>
      </c>
      <c r="C45" s="346" t="s">
        <v>704</v>
      </c>
      <c r="D45" s="569">
        <v>0</v>
      </c>
      <c r="E45" s="744">
        <f>E46*E47</f>
        <v>0</v>
      </c>
      <c r="F45" s="744">
        <f>F46*F47</f>
        <v>0</v>
      </c>
      <c r="G45" s="752">
        <f>G46*G47</f>
        <v>0</v>
      </c>
      <c r="H45" s="1145">
        <f>H46*H47</f>
        <v>0</v>
      </c>
      <c r="J45" s="1500"/>
      <c r="K45" s="1501"/>
      <c r="L45" s="1501"/>
      <c r="M45" s="1501"/>
      <c r="N45" s="320"/>
      <c r="O45" s="320"/>
      <c r="P45" s="320"/>
      <c r="Q45" s="320"/>
      <c r="R45" s="320"/>
      <c r="S45" s="320"/>
      <c r="T45" s="320"/>
      <c r="U45" s="464"/>
    </row>
    <row r="46" spans="2:21" ht="12" customHeight="1">
      <c r="B46" s="1464" t="s">
        <v>75</v>
      </c>
      <c r="C46" s="1474"/>
      <c r="D46" s="569">
        <v>0</v>
      </c>
      <c r="E46" s="569">
        <f t="shared" ref="E46:E47" si="24">D46+D46*J46</f>
        <v>0</v>
      </c>
      <c r="F46" s="569">
        <f>E46+E46*K46</f>
        <v>0</v>
      </c>
      <c r="G46" s="751">
        <f t="shared" ref="F46:H47" si="25">F46+F46*L46</f>
        <v>0</v>
      </c>
      <c r="H46" s="569">
        <f t="shared" si="25"/>
        <v>0</v>
      </c>
      <c r="J46" s="382">
        <v>0</v>
      </c>
      <c r="K46" s="382">
        <f t="shared" ref="K46:M47" si="26">J46</f>
        <v>0</v>
      </c>
      <c r="L46" s="382">
        <f t="shared" si="26"/>
        <v>0</v>
      </c>
      <c r="M46" s="382">
        <f t="shared" si="26"/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2:21" ht="12" customHeight="1">
      <c r="B47" s="1464" t="s">
        <v>76</v>
      </c>
      <c r="C47" s="1474"/>
      <c r="D47" s="745">
        <f>IF(D46=0,0,D45/D46)</f>
        <v>0</v>
      </c>
      <c r="E47" s="746">
        <f t="shared" si="24"/>
        <v>0</v>
      </c>
      <c r="F47" s="746">
        <f t="shared" si="25"/>
        <v>0</v>
      </c>
      <c r="G47" s="750">
        <f t="shared" si="25"/>
        <v>0</v>
      </c>
      <c r="H47" s="746">
        <f t="shared" si="25"/>
        <v>0</v>
      </c>
      <c r="J47" s="382">
        <v>0.03</v>
      </c>
      <c r="K47" s="382">
        <f t="shared" si="26"/>
        <v>0.03</v>
      </c>
      <c r="L47" s="382">
        <f t="shared" si="26"/>
        <v>0.03</v>
      </c>
      <c r="M47" s="382">
        <f t="shared" si="26"/>
        <v>0.03</v>
      </c>
      <c r="N47" s="320"/>
      <c r="O47" s="320"/>
      <c r="P47" s="320"/>
      <c r="Q47" s="320"/>
      <c r="R47" s="320"/>
      <c r="S47" s="320"/>
      <c r="T47" s="320"/>
      <c r="U47" s="464"/>
    </row>
    <row r="48" spans="2:21" ht="12" customHeight="1">
      <c r="B48" s="1464" t="s">
        <v>493</v>
      </c>
      <c r="C48" s="347"/>
      <c r="D48" s="747">
        <f>IF(D45=0,0,D49/D45)</f>
        <v>0</v>
      </c>
      <c r="E48" s="748">
        <f>D48</f>
        <v>0</v>
      </c>
      <c r="F48" s="748">
        <f>E48</f>
        <v>0</v>
      </c>
      <c r="G48" s="748">
        <f>F48</f>
        <v>0</v>
      </c>
      <c r="H48" s="748">
        <f>G48</f>
        <v>0</v>
      </c>
      <c r="J48" s="378"/>
      <c r="K48" s="496"/>
      <c r="L48" s="320"/>
      <c r="M48" s="320"/>
      <c r="N48" s="320"/>
      <c r="O48" s="320"/>
      <c r="P48" s="320"/>
      <c r="Q48" s="320"/>
      <c r="R48" s="320"/>
      <c r="S48" s="320"/>
      <c r="T48" s="320"/>
      <c r="U48" s="464"/>
    </row>
    <row r="49" spans="2:21" ht="12" customHeight="1">
      <c r="B49" s="1464" t="s">
        <v>494</v>
      </c>
      <c r="C49" s="347" t="s">
        <v>704</v>
      </c>
      <c r="D49" s="569">
        <v>0</v>
      </c>
      <c r="E49" s="1145">
        <f>IF(E48=0,0,E45*E48)</f>
        <v>0</v>
      </c>
      <c r="F49" s="1145">
        <f>IF(F48=0,0,F45*F48)</f>
        <v>0</v>
      </c>
      <c r="G49" s="752">
        <f>IF(G48=0,0,G45*G48)</f>
        <v>0</v>
      </c>
      <c r="H49" s="1145">
        <f>IF(H48=0,0,H45*H48)</f>
        <v>0</v>
      </c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464"/>
    </row>
    <row r="50" spans="2:21" ht="12" customHeight="1">
      <c r="B50" s="47"/>
      <c r="C50" s="71"/>
      <c r="D50" s="1447"/>
      <c r="E50" s="1444"/>
      <c r="F50" s="1444"/>
      <c r="G50" s="1444"/>
      <c r="H50" s="1444"/>
      <c r="J50" s="378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464"/>
    </row>
    <row r="51" spans="2:21" ht="12" customHeight="1">
      <c r="B51" s="47"/>
      <c r="C51" s="71"/>
      <c r="D51" s="1459" t="s">
        <v>166</v>
      </c>
      <c r="E51" s="641">
        <v>0.24</v>
      </c>
      <c r="F51" s="641">
        <f>E51</f>
        <v>0.24</v>
      </c>
      <c r="G51" s="641">
        <f>F51</f>
        <v>0.24</v>
      </c>
      <c r="H51" s="748">
        <f>G51</f>
        <v>0.24</v>
      </c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464"/>
    </row>
    <row r="52" spans="2:21" ht="12" customHeight="1">
      <c r="B52" s="1463">
        <v>0</v>
      </c>
      <c r="C52" s="346" t="s">
        <v>704</v>
      </c>
      <c r="D52" s="569">
        <v>0</v>
      </c>
      <c r="E52" s="744">
        <f>E53*E54</f>
        <v>0</v>
      </c>
      <c r="F52" s="744">
        <f>F53*F54</f>
        <v>0</v>
      </c>
      <c r="G52" s="577">
        <f>G53*G54</f>
        <v>0</v>
      </c>
      <c r="H52" s="744">
        <f>H53*H54</f>
        <v>0</v>
      </c>
      <c r="J52" s="1500"/>
      <c r="K52" s="1501"/>
      <c r="L52" s="1501"/>
      <c r="M52" s="1501"/>
      <c r="N52" s="320"/>
      <c r="O52" s="320"/>
      <c r="P52" s="320"/>
      <c r="Q52" s="320"/>
      <c r="R52" s="320"/>
      <c r="S52" s="320"/>
      <c r="T52" s="320"/>
      <c r="U52" s="464"/>
    </row>
    <row r="53" spans="2:21" ht="12" customHeight="1">
      <c r="B53" s="1464" t="s">
        <v>75</v>
      </c>
      <c r="C53" s="1474"/>
      <c r="D53" s="569">
        <v>0</v>
      </c>
      <c r="E53" s="569">
        <f t="shared" ref="E53:H54" si="27">D53+D53*J53</f>
        <v>0</v>
      </c>
      <c r="F53" s="569">
        <f t="shared" si="27"/>
        <v>0</v>
      </c>
      <c r="G53" s="751">
        <f t="shared" si="27"/>
        <v>0</v>
      </c>
      <c r="H53" s="569">
        <f t="shared" si="27"/>
        <v>0</v>
      </c>
      <c r="J53" s="382">
        <v>0</v>
      </c>
      <c r="K53" s="382">
        <f t="shared" ref="K53:M54" si="28">J53</f>
        <v>0</v>
      </c>
      <c r="L53" s="382">
        <f t="shared" si="28"/>
        <v>0</v>
      </c>
      <c r="M53" s="382">
        <f t="shared" si="28"/>
        <v>0</v>
      </c>
      <c r="N53" s="320"/>
      <c r="O53" s="320"/>
      <c r="P53" s="320"/>
      <c r="Q53" s="320"/>
      <c r="R53" s="320"/>
      <c r="S53" s="320"/>
      <c r="T53" s="320"/>
      <c r="U53" s="464"/>
    </row>
    <row r="54" spans="2:21" ht="12" customHeight="1">
      <c r="B54" s="1464" t="s">
        <v>76</v>
      </c>
      <c r="C54" s="1474"/>
      <c r="D54" s="745">
        <f>IF(D53=0,0,D52/D53)</f>
        <v>0</v>
      </c>
      <c r="E54" s="746">
        <f t="shared" si="27"/>
        <v>0</v>
      </c>
      <c r="F54" s="746">
        <f t="shared" si="27"/>
        <v>0</v>
      </c>
      <c r="G54" s="750">
        <f t="shared" si="27"/>
        <v>0</v>
      </c>
      <c r="H54" s="746">
        <f t="shared" si="27"/>
        <v>0</v>
      </c>
      <c r="J54" s="382">
        <v>0.03</v>
      </c>
      <c r="K54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     <c r="O54" s="320"/>
      <c r="P54" s="320"/>
      <c r="Q54" s="320"/>
      <c r="R54" s="320"/>
      <c r="S54" s="320"/>
      <c r="T54" s="320"/>
      <c r="U54" s="464"/>
    </row>
    <row r="55" spans="2:21" ht="12" customHeight="1">
      <c r="B55" s="1464" t="s">
        <v>493</v>
      </c>
      <c r="C55" s="347"/>
      <c r="D55" s="747">
        <f>IF(D52=0,0,D56/D52)</f>
        <v>0</v>
      </c>
      <c r="E55" s="748">
        <f>D55</f>
        <v>0</v>
      </c>
      <c r="F55" s="748">
        <f>E55</f>
        <v>0</v>
      </c>
      <c r="G55" s="748">
        <f>F55</f>
        <v>0</v>
      </c>
      <c r="H55" s="748">
        <f>G55</f>
        <v>0</v>
      </c>
      <c r="J55" s="378"/>
      <c r="K55" s="496"/>
      <c r="L55" s="320"/>
      <c r="M55" s="320"/>
      <c r="N55" s="320"/>
      <c r="O55" s="320"/>
      <c r="P55" s="320"/>
      <c r="Q55" s="320"/>
      <c r="R55" s="320"/>
      <c r="S55" s="320"/>
      <c r="T55" s="320"/>
      <c r="U55" s="464"/>
    </row>
    <row r="56" spans="2:21" ht="12" customHeight="1">
      <c r="B56" s="1464" t="s">
        <v>494</v>
      </c>
      <c r="C56" s="347" t="s">
        <v>704</v>
      </c>
      <c r="D56" s="569">
        <v>0</v>
      </c>
      <c r="E56" s="1145">
        <f>IF(E55=0,0,E52*E55)</f>
        <v>0</v>
      </c>
      <c r="F56" s="1145">
        <f>IF(F55=0,0,F52*F55)</f>
        <v>0</v>
      </c>
      <c r="G56" s="752">
        <f>IF(G55=0,0,G52*G55)</f>
        <v>0</v>
      </c>
      <c r="H56" s="1145">
        <f>IF(H55=0,0,H52*H55)</f>
        <v>0</v>
      </c>
      <c r="J56" s="378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464"/>
    </row>
    <row r="57" spans="2:21" ht="12" customHeight="1">
      <c r="B57" s="47"/>
      <c r="C57" s="71"/>
      <c r="D57" s="1447"/>
      <c r="E57" s="1444"/>
      <c r="F57" s="1444"/>
      <c r="G57" s="1444"/>
      <c r="H57" s="1444"/>
      <c r="J57" s="378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464"/>
    </row>
    <row r="58" spans="2:21" ht="12" customHeight="1">
      <c r="B58" s="47"/>
      <c r="C58" s="1460"/>
      <c r="D58" s="1459" t="s">
        <v>166</v>
      </c>
      <c r="E58" s="641">
        <v>0.24</v>
      </c>
      <c r="F58" s="641">
        <f>E58</f>
        <v>0.24</v>
      </c>
      <c r="G58" s="641">
        <f>F58</f>
        <v>0.24</v>
      </c>
      <c r="H58" s="748">
        <f>G58</f>
        <v>0.24</v>
      </c>
      <c r="J58" s="378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464"/>
    </row>
    <row r="59" spans="2:21" ht="12" customHeight="1">
      <c r="B59" s="1463">
        <v>0</v>
      </c>
      <c r="C59" s="346" t="s">
        <v>704</v>
      </c>
      <c r="D59" s="569">
        <v>0</v>
      </c>
      <c r="E59" s="744">
        <f>E60*E61</f>
        <v>0</v>
      </c>
      <c r="F59" s="744">
        <f>F60*F61</f>
        <v>0</v>
      </c>
      <c r="G59" s="577">
        <f>G60*G61</f>
        <v>0</v>
      </c>
      <c r="H59" s="744">
        <f>H60*H61</f>
        <v>0</v>
      </c>
      <c r="J59" s="1500"/>
      <c r="K59" s="1501"/>
      <c r="L59" s="1501"/>
      <c r="M59" s="1501"/>
      <c r="N59" s="320"/>
      <c r="O59" s="320"/>
      <c r="P59" s="320"/>
      <c r="Q59" s="320"/>
      <c r="R59" s="320"/>
      <c r="S59" s="320"/>
      <c r="T59" s="320"/>
      <c r="U59" s="464"/>
    </row>
    <row r="60" spans="2:21" ht="12.75" customHeight="1">
      <c r="B60" s="1464" t="s">
        <v>75</v>
      </c>
      <c r="C60" s="1474"/>
      <c r="D60" s="569">
        <v>0</v>
      </c>
      <c r="E60" s="569">
        <f t="shared" ref="E60:H61" si="29">D60+D60*J60</f>
        <v>0</v>
      </c>
      <c r="F60" s="569">
        <f t="shared" si="29"/>
        <v>0</v>
      </c>
      <c r="G60" s="751">
        <f t="shared" si="29"/>
        <v>0</v>
      </c>
      <c r="H60" s="569">
        <f t="shared" si="29"/>
        <v>0</v>
      </c>
      <c r="J60" s="382">
        <v>0</v>
      </c>
      <c r="K60" s="382">
        <f t="shared" ref="K60:M61" si="30">J60</f>
        <v>0</v>
      </c>
      <c r="L60" s="382">
        <f t="shared" si="30"/>
        <v>0</v>
      </c>
      <c r="M60" s="382">
        <f t="shared" si="30"/>
        <v>0</v>
      </c>
      <c r="N60" s="320"/>
      <c r="O60" s="320"/>
      <c r="P60" s="320"/>
      <c r="Q60" s="320"/>
      <c r="R60" s="320"/>
      <c r="S60" s="320"/>
      <c r="T60" s="320"/>
      <c r="U60" s="464"/>
    </row>
    <row r="61" spans="2:21" ht="12.75" customHeight="1">
      <c r="B61" s="1464" t="s">
        <v>76</v>
      </c>
      <c r="C61" s="1474"/>
      <c r="D61" s="745">
        <f>IF(D60=0,0,D59/D60)</f>
        <v>0</v>
      </c>
      <c r="E61" s="746">
        <f t="shared" si="29"/>
        <v>0</v>
      </c>
      <c r="F61" s="746">
        <f t="shared" si="29"/>
        <v>0</v>
      </c>
      <c r="G61" s="746">
        <f t="shared" si="29"/>
        <v>0</v>
      </c>
      <c r="H61" s="746">
        <f t="shared" si="29"/>
        <v>0</v>
      </c>
      <c r="J61" s="382">
        <v>0.03</v>
      </c>
      <c r="K61" s="382">
        <f t="shared" si="30"/>
        <v>0.03</v>
      </c>
      <c r="L61" s="382">
        <f t="shared" si="30"/>
        <v>0.03</v>
      </c>
      <c r="M61" s="382">
        <f t="shared" si="30"/>
        <v>0.03</v>
      </c>
      <c r="N61" s="320"/>
      <c r="O61" s="320"/>
      <c r="P61" s="320"/>
      <c r="Q61" s="320"/>
      <c r="R61" s="320"/>
      <c r="S61" s="320"/>
      <c r="T61" s="320"/>
      <c r="U61" s="464"/>
    </row>
    <row r="62" spans="2:21">
      <c r="B62" s="1464" t="s">
        <v>493</v>
      </c>
      <c r="C62" s="347"/>
      <c r="D62" s="747">
        <f>IF(D59=0,0,D63/D59)</f>
        <v>0</v>
      </c>
      <c r="E62" s="748">
        <f>D62</f>
        <v>0</v>
      </c>
      <c r="F62" s="748">
        <f>E62</f>
        <v>0</v>
      </c>
      <c r="G62" s="748">
        <f>F62</f>
        <v>0</v>
      </c>
      <c r="H62" s="748">
        <f>G62</f>
        <v>0</v>
      </c>
      <c r="J62" s="1493"/>
      <c r="K62" s="167"/>
      <c r="L62" s="167"/>
      <c r="M62" s="167"/>
      <c r="N62" s="320"/>
      <c r="O62" s="320"/>
      <c r="P62" s="320"/>
      <c r="Q62" s="320"/>
      <c r="R62" s="320"/>
      <c r="S62" s="320"/>
      <c r="T62" s="320"/>
      <c r="U62" s="464"/>
    </row>
    <row r="63" spans="2:21">
      <c r="B63" s="1464" t="s">
        <v>494</v>
      </c>
      <c r="C63" s="347" t="s">
        <v>704</v>
      </c>
      <c r="D63" s="569">
        <v>0</v>
      </c>
      <c r="E63" s="1145">
        <f>IF(E62=0,0,E59*E62)</f>
        <v>0</v>
      </c>
      <c r="F63" s="1145">
        <f>IF(F62=0,0,F59*F62)</f>
        <v>0</v>
      </c>
      <c r="G63" s="752">
        <f>IF(G62=0,0,G59*G62)</f>
        <v>0</v>
      </c>
      <c r="H63" s="1145">
        <f>IF(H62=0,0,H59*H62)</f>
        <v>0</v>
      </c>
      <c r="J63" s="417"/>
      <c r="K63" s="167"/>
      <c r="L63" s="167"/>
      <c r="M63" s="167"/>
      <c r="N63" s="320"/>
      <c r="O63" s="320"/>
      <c r="P63" s="320"/>
      <c r="Q63" s="320"/>
      <c r="R63" s="320"/>
      <c r="S63" s="320"/>
      <c r="T63" s="320"/>
      <c r="U63" s="464"/>
    </row>
    <row r="64" spans="2:21">
      <c r="B64" s="47"/>
      <c r="C64" s="71"/>
      <c r="D64" s="1447"/>
      <c r="E64" s="1444"/>
      <c r="F64" s="1444"/>
      <c r="G64" s="1444"/>
      <c r="H64" s="1444"/>
      <c r="J64" s="417"/>
      <c r="K64" s="167"/>
      <c r="L64" s="167"/>
      <c r="M64" s="167"/>
      <c r="N64" s="320"/>
      <c r="O64" s="320"/>
      <c r="P64" s="320"/>
      <c r="Q64" s="320"/>
      <c r="R64" s="320"/>
      <c r="S64" s="320"/>
      <c r="T64" s="320"/>
      <c r="U64" s="464"/>
    </row>
    <row r="65" spans="2:21" ht="12" customHeight="1">
      <c r="B65" s="167"/>
      <c r="C65" s="1461"/>
      <c r="D65" s="1459" t="s">
        <v>166</v>
      </c>
      <c r="E65" s="641">
        <v>0.24</v>
      </c>
      <c r="F65" s="641">
        <f>E65</f>
        <v>0.24</v>
      </c>
      <c r="G65" s="641">
        <f>F65</f>
        <v>0.24</v>
      </c>
      <c r="H65" s="748">
        <f>G65</f>
        <v>0.24</v>
      </c>
      <c r="J65" s="417"/>
      <c r="K65" s="167"/>
      <c r="L65" s="167"/>
      <c r="M65" s="167"/>
      <c r="N65" s="320"/>
      <c r="O65" s="320"/>
      <c r="P65" s="320"/>
      <c r="Q65" s="320"/>
      <c r="R65" s="320"/>
      <c r="S65" s="320"/>
      <c r="T65" s="320"/>
      <c r="U65" s="464"/>
    </row>
    <row r="66" spans="2:21" ht="12" customHeight="1">
      <c r="B66" s="1463">
        <v>0</v>
      </c>
      <c r="C66" s="346" t="s">
        <v>704</v>
      </c>
      <c r="D66" s="569">
        <v>0</v>
      </c>
      <c r="E66" s="744">
        <f>E67*E68</f>
        <v>0</v>
      </c>
      <c r="F66" s="744">
        <f>F67*F68</f>
        <v>0</v>
      </c>
      <c r="G66" s="744">
        <f>G67*G68</f>
        <v>0</v>
      </c>
      <c r="H66" s="1145">
        <f>H67*H68</f>
        <v>0</v>
      </c>
      <c r="J66" s="1500"/>
      <c r="K66" s="1501"/>
      <c r="L66" s="1501"/>
      <c r="M66" s="1501"/>
      <c r="N66" s="320"/>
      <c r="O66" s="320"/>
      <c r="P66" s="320"/>
      <c r="Q66" s="320"/>
      <c r="R66" s="320"/>
      <c r="S66" s="320"/>
      <c r="T66" s="320"/>
      <c r="U66" s="464"/>
    </row>
    <row r="67" spans="2:21" ht="12" customHeight="1">
      <c r="B67" s="1464" t="s">
        <v>75</v>
      </c>
      <c r="C67" s="1474"/>
      <c r="D67" s="569">
        <v>0</v>
      </c>
      <c r="E67" s="569">
        <f t="shared" ref="E67:H68" si="31">D67+D67*J67</f>
        <v>0</v>
      </c>
      <c r="F67" s="569">
        <f t="shared" si="31"/>
        <v>0</v>
      </c>
      <c r="G67" s="751">
        <f t="shared" si="31"/>
        <v>0</v>
      </c>
      <c r="H67" s="569">
        <f>G67+G67*M67</f>
        <v>0</v>
      </c>
      <c r="J67" s="382">
        <v>0</v>
      </c>
      <c r="K67" s="382">
        <f t="shared" ref="K67:M68" si="32">J67</f>
        <v>0</v>
      </c>
      <c r="L67" s="382">
        <f t="shared" si="32"/>
        <v>0</v>
      </c>
      <c r="M67" s="382">
        <f t="shared" si="32"/>
        <v>0</v>
      </c>
      <c r="N67" s="320"/>
      <c r="O67" s="320"/>
      <c r="P67" s="320"/>
      <c r="Q67" s="320"/>
      <c r="R67" s="320"/>
      <c r="S67" s="320"/>
      <c r="T67" s="320"/>
      <c r="U67" s="464"/>
    </row>
    <row r="68" spans="2:21" ht="12" customHeight="1">
      <c r="B68" s="1464" t="s">
        <v>76</v>
      </c>
      <c r="C68" s="1474"/>
      <c r="D68" s="745">
        <f>IF(D67=0,0,D66/D67)</f>
        <v>0</v>
      </c>
      <c r="E68" s="746">
        <f t="shared" si="31"/>
        <v>0</v>
      </c>
      <c r="F68" s="746">
        <f t="shared" si="31"/>
        <v>0</v>
      </c>
      <c r="G68" s="746">
        <f t="shared" si="31"/>
        <v>0</v>
      </c>
      <c r="H68" s="746">
        <f t="shared" si="31"/>
        <v>0</v>
      </c>
      <c r="J68" s="382">
        <v>0.03</v>
      </c>
      <c r="K68" s="382">
        <f t="shared" si="32"/>
        <v>0.03</v>
      </c>
      <c r="L68" s="382">
        <f t="shared" si="32"/>
        <v>0.03</v>
      </c>
      <c r="M68" s="382">
        <f t="shared" si="32"/>
        <v>0.03</v>
      </c>
      <c r="N68" s="320"/>
      <c r="O68" s="320"/>
      <c r="P68" s="320"/>
      <c r="Q68" s="320"/>
      <c r="R68" s="320"/>
      <c r="S68" s="320"/>
      <c r="T68" s="320"/>
      <c r="U68" s="464"/>
    </row>
    <row r="69" spans="2:21" ht="12" customHeight="1">
      <c r="B69" s="1464" t="s">
        <v>493</v>
      </c>
      <c r="C69" s="347"/>
      <c r="D69" s="747">
        <f>IF(D66=0,0,D70/D66)</f>
        <v>0</v>
      </c>
      <c r="E69" s="748">
        <f>D69</f>
        <v>0</v>
      </c>
      <c r="F69" s="748">
        <f>E69</f>
        <v>0</v>
      </c>
      <c r="G69" s="748">
        <f>F69</f>
        <v>0</v>
      </c>
      <c r="H69" s="748">
        <f>G69</f>
        <v>0</v>
      </c>
      <c r="J69" s="378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464"/>
    </row>
    <row r="70" spans="2:21" ht="12" customHeight="1">
      <c r="B70" s="1464" t="s">
        <v>494</v>
      </c>
      <c r="C70" s="347" t="s">
        <v>704</v>
      </c>
      <c r="D70" s="569">
        <v>0</v>
      </c>
      <c r="E70" s="1145">
        <f>IF(E69=0,0,E66*E69)</f>
        <v>0</v>
      </c>
      <c r="F70" s="1145">
        <f>IF(F69=0,0,F66*F69)</f>
        <v>0</v>
      </c>
      <c r="G70" s="752">
        <f>IF(G69=0,0,G66*G69)</f>
        <v>0</v>
      </c>
      <c r="H70" s="1145">
        <f>IF(H69=0,0,H66*H69)</f>
        <v>0</v>
      </c>
      <c r="J70" s="378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464"/>
    </row>
    <row r="71" spans="2:21" ht="12" customHeight="1">
      <c r="B71" s="47"/>
      <c r="C71" s="71"/>
      <c r="D71" s="1447"/>
      <c r="E71" s="1444"/>
      <c r="F71" s="1444"/>
      <c r="G71" s="1444"/>
      <c r="H71" s="1444"/>
      <c r="J71" s="378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464"/>
    </row>
    <row r="72" spans="2:21" ht="12" customHeight="1">
      <c r="B72" s="51"/>
      <c r="C72" s="1462"/>
      <c r="D72" s="1459" t="s">
        <v>166</v>
      </c>
      <c r="E72" s="641">
        <v>0.24</v>
      </c>
      <c r="F72" s="641">
        <f>E72</f>
        <v>0.24</v>
      </c>
      <c r="G72" s="641">
        <f>F72</f>
        <v>0.24</v>
      </c>
      <c r="H72" s="748">
        <f>G72</f>
        <v>0.24</v>
      </c>
      <c r="J72" s="378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464"/>
    </row>
    <row r="73" spans="2:21" ht="12" customHeight="1">
      <c r="B73" s="1463">
        <v>0</v>
      </c>
      <c r="C73" s="399" t="s">
        <v>704</v>
      </c>
      <c r="D73" s="569">
        <v>0</v>
      </c>
      <c r="E73" s="744">
        <f>E74*E75</f>
        <v>0</v>
      </c>
      <c r="F73" s="744">
        <f>F74*F75</f>
        <v>0</v>
      </c>
      <c r="G73" s="577">
        <f>G74*G75</f>
        <v>0</v>
      </c>
      <c r="H73" s="744">
        <f>H74*H75</f>
        <v>0</v>
      </c>
      <c r="J73" s="1500"/>
      <c r="K73" s="1501"/>
      <c r="L73" s="1501"/>
      <c r="M73" s="1501"/>
      <c r="N73" s="320"/>
      <c r="O73" s="320"/>
      <c r="P73" s="320"/>
      <c r="Q73" s="320"/>
      <c r="R73" s="320"/>
      <c r="S73" s="320"/>
      <c r="T73" s="320"/>
      <c r="U73" s="464"/>
    </row>
    <row r="74" spans="2:21" ht="12" customHeight="1">
      <c r="B74" s="1464" t="s">
        <v>75</v>
      </c>
      <c r="C74" s="1474"/>
      <c r="D74" s="569">
        <v>0</v>
      </c>
      <c r="E74" s="569">
        <f t="shared" ref="E74:H75" si="33">D74+D74*J74</f>
        <v>0</v>
      </c>
      <c r="F74" s="569">
        <f t="shared" si="33"/>
        <v>0</v>
      </c>
      <c r="G74" s="751">
        <f t="shared" si="33"/>
        <v>0</v>
      </c>
      <c r="H74" s="569">
        <f t="shared" si="33"/>
        <v>0</v>
      </c>
      <c r="J74" s="382">
        <v>0</v>
      </c>
      <c r="K74" s="382">
        <f t="shared" ref="K74:M75" si="34">J74</f>
        <v>0</v>
      </c>
      <c r="L74" s="382">
        <f t="shared" si="34"/>
        <v>0</v>
      </c>
      <c r="M74" s="382">
        <f t="shared" si="34"/>
        <v>0</v>
      </c>
      <c r="N74" s="320"/>
      <c r="O74" s="320"/>
      <c r="P74" s="320"/>
      <c r="Q74" s="320"/>
      <c r="R74" s="320"/>
      <c r="S74" s="320"/>
      <c r="T74" s="320"/>
      <c r="U74" s="464"/>
    </row>
    <row r="75" spans="2:21" ht="12" customHeight="1">
      <c r="B75" s="1464" t="s">
        <v>76</v>
      </c>
      <c r="C75" s="1474"/>
      <c r="D75" s="745">
        <f>IF(D74=0,0,D73/D74)</f>
        <v>0</v>
      </c>
      <c r="E75" s="746">
        <f t="shared" si="33"/>
        <v>0</v>
      </c>
      <c r="F75" s="746">
        <f t="shared" si="33"/>
        <v>0</v>
      </c>
      <c r="G75" s="746">
        <f t="shared" si="33"/>
        <v>0</v>
      </c>
      <c r="H75" s="746">
        <f t="shared" si="33"/>
        <v>0</v>
      </c>
      <c r="J75" s="382">
        <v>0.03</v>
      </c>
      <c r="K75" s="382">
        <f t="shared" si="34"/>
        <v>0.03</v>
      </c>
      <c r="L75" s="382">
        <f t="shared" si="34"/>
        <v>0.03</v>
      </c>
      <c r="M75" s="382">
        <f t="shared" si="34"/>
        <v>0.03</v>
      </c>
      <c r="N75" s="320"/>
      <c r="O75" s="320"/>
      <c r="P75" s="320"/>
      <c r="Q75" s="320"/>
      <c r="R75" s="320"/>
      <c r="S75" s="320"/>
      <c r="T75" s="320"/>
      <c r="U75" s="464"/>
    </row>
    <row r="76" spans="2:21" ht="12" customHeight="1">
      <c r="B76" s="1464" t="s">
        <v>493</v>
      </c>
      <c r="C76" s="347"/>
      <c r="D76" s="747">
        <f>IF(D73=0,0,D77/D73)</f>
        <v>0</v>
      </c>
      <c r="E76" s="748">
        <f>D76</f>
        <v>0</v>
      </c>
      <c r="F76" s="748">
        <f>E76</f>
        <v>0</v>
      </c>
      <c r="G76" s="748">
        <f>F76</f>
        <v>0</v>
      </c>
      <c r="H76" s="748">
        <f>G76</f>
        <v>0</v>
      </c>
      <c r="J76" s="378">
        <v>0</v>
      </c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464"/>
    </row>
    <row r="77" spans="2:21" ht="12" customHeight="1">
      <c r="B77" s="1464" t="s">
        <v>494</v>
      </c>
      <c r="C77" s="347" t="s">
        <v>704</v>
      </c>
      <c r="D77" s="569">
        <v>0</v>
      </c>
      <c r="E77" s="1145">
        <f>IF(E76=0,0,E73*E76)</f>
        <v>0</v>
      </c>
      <c r="F77" s="1145">
        <f>IF(F76=0,0,F73*F76)</f>
        <v>0</v>
      </c>
      <c r="G77" s="752">
        <f>IF(G76=0,0,G73*G76)</f>
        <v>0</v>
      </c>
      <c r="H77" s="1145">
        <f>IF(H76=0,0,H73*H76)</f>
        <v>0</v>
      </c>
      <c r="J77" s="378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464"/>
    </row>
    <row r="78" spans="2:21" ht="12" customHeight="1">
      <c r="B78" s="47"/>
      <c r="C78" s="71"/>
      <c r="D78" s="1447"/>
      <c r="E78" s="1444"/>
      <c r="F78" s="1444"/>
      <c r="G78" s="1444"/>
      <c r="H78" s="1444"/>
      <c r="J78" s="378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464"/>
    </row>
    <row r="79" spans="2:21" ht="12" customHeight="1">
      <c r="B79" s="51"/>
      <c r="C79" s="79"/>
      <c r="D79" s="1459" t="s">
        <v>166</v>
      </c>
      <c r="E79" s="641">
        <v>0.24</v>
      </c>
      <c r="F79" s="641">
        <f>E79</f>
        <v>0.24</v>
      </c>
      <c r="G79" s="641">
        <f>F79</f>
        <v>0.24</v>
      </c>
      <c r="H79" s="748">
        <f>G79</f>
        <v>0.24</v>
      </c>
      <c r="J79" s="378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464"/>
    </row>
    <row r="80" spans="2:21" ht="12" customHeight="1">
      <c r="B80" s="1463" t="s">
        <v>561</v>
      </c>
      <c r="C80" s="346" t="s">
        <v>704</v>
      </c>
      <c r="D80" s="569">
        <v>0</v>
      </c>
      <c r="E80" s="753">
        <f>E81*E82</f>
        <v>0</v>
      </c>
      <c r="F80" s="753">
        <f>F81*F82</f>
        <v>0</v>
      </c>
      <c r="G80" s="754">
        <f>G81*G82</f>
        <v>0</v>
      </c>
      <c r="H80" s="753">
        <f>H81*H82</f>
        <v>0</v>
      </c>
      <c r="J80" s="1485"/>
      <c r="K80" s="1486"/>
      <c r="L80" s="1486"/>
      <c r="M80" s="1486"/>
      <c r="N80" s="320"/>
      <c r="O80" s="320"/>
      <c r="P80" s="320"/>
      <c r="Q80" s="320"/>
      <c r="R80" s="320"/>
      <c r="S80" s="320"/>
      <c r="T80" s="320"/>
      <c r="U80" s="464"/>
    </row>
    <row r="81" spans="2:21" ht="12" customHeight="1">
      <c r="B81" s="1464" t="s">
        <v>75</v>
      </c>
      <c r="C81" s="1474">
        <v>0</v>
      </c>
      <c r="D81" s="569">
        <v>0</v>
      </c>
      <c r="E81" s="569">
        <f t="shared" ref="E81" si="35">D81+D81*J81</f>
        <v>0</v>
      </c>
      <c r="F81" s="569">
        <f t="shared" ref="E81:H82" si="36">E81+E81*K81</f>
        <v>0</v>
      </c>
      <c r="G81" s="751">
        <f t="shared" si="36"/>
        <v>0</v>
      </c>
      <c r="H81" s="569">
        <f t="shared" si="36"/>
        <v>0</v>
      </c>
      <c r="J81" s="382">
        <v>0</v>
      </c>
      <c r="K81" s="382">
        <f t="shared" ref="K81:M82" si="37">J81</f>
        <v>0</v>
      </c>
      <c r="L81" s="382">
        <f t="shared" si="37"/>
        <v>0</v>
      </c>
      <c r="M81" s="382">
        <f t="shared" si="37"/>
        <v>0</v>
      </c>
      <c r="N81" s="320"/>
      <c r="O81" s="320"/>
      <c r="P81" s="320"/>
      <c r="Q81" s="320"/>
      <c r="R81" s="320"/>
      <c r="S81" s="320"/>
      <c r="T81" s="320"/>
      <c r="U81" s="464"/>
    </row>
    <row r="82" spans="2:21" ht="12" customHeight="1">
      <c r="B82" s="1464" t="s">
        <v>76</v>
      </c>
      <c r="C82" s="1474">
        <v>0</v>
      </c>
      <c r="D82" s="745">
        <f>IF(D81=0,0,D80/D81)</f>
        <v>0</v>
      </c>
      <c r="E82" s="746">
        <f t="shared" si="36"/>
        <v>0</v>
      </c>
      <c r="F82" s="746">
        <f t="shared" si="36"/>
        <v>0</v>
      </c>
      <c r="G82" s="746">
        <f t="shared" si="36"/>
        <v>0</v>
      </c>
      <c r="H82" s="746">
        <f t="shared" si="36"/>
        <v>0</v>
      </c>
      <c r="J82" s="1675">
        <v>0.03</v>
      </c>
      <c r="K82" s="1675">
        <f t="shared" si="37"/>
        <v>0.03</v>
      </c>
      <c r="L82" s="1675">
        <f t="shared" si="37"/>
        <v>0.03</v>
      </c>
      <c r="M82" s="1675">
        <f t="shared" si="37"/>
        <v>0.03</v>
      </c>
      <c r="N82" s="378"/>
      <c r="O82" s="320"/>
      <c r="P82" s="320"/>
      <c r="Q82" s="320"/>
      <c r="R82" s="320"/>
      <c r="S82" s="320"/>
      <c r="T82" s="320"/>
      <c r="U82" s="464"/>
    </row>
    <row r="83" spans="2:21" ht="12" customHeight="1">
      <c r="B83" s="1464" t="s">
        <v>493</v>
      </c>
      <c r="C83" s="347"/>
      <c r="D83" s="747">
        <f>IF(D80=0,0,D84/D80)</f>
        <v>0</v>
      </c>
      <c r="E83" s="748">
        <f>D83</f>
        <v>0</v>
      </c>
      <c r="F83" s="748">
        <f>E83</f>
        <v>0</v>
      </c>
      <c r="G83" s="748">
        <f>F83</f>
        <v>0</v>
      </c>
      <c r="H83" s="748">
        <f>G83</f>
        <v>0</v>
      </c>
      <c r="J83" s="1339"/>
      <c r="K83" s="496"/>
      <c r="L83" s="496"/>
      <c r="M83" s="496"/>
      <c r="N83" s="320"/>
      <c r="O83" s="320"/>
      <c r="P83" s="320"/>
      <c r="Q83" s="320"/>
      <c r="R83" s="320"/>
      <c r="S83" s="320"/>
      <c r="T83" s="320"/>
      <c r="U83" s="464"/>
    </row>
    <row r="84" spans="2:21" ht="12" customHeight="1">
      <c r="B84" s="1464" t="s">
        <v>494</v>
      </c>
      <c r="C84" s="347" t="s">
        <v>704</v>
      </c>
      <c r="D84" s="569">
        <v>0</v>
      </c>
      <c r="E84" s="1673">
        <f>IF(E83=0,0,E80*E83)</f>
        <v>0</v>
      </c>
      <c r="F84" s="1673">
        <f>IF(F83=0,0,F80*F83)</f>
        <v>0</v>
      </c>
      <c r="G84" s="1674">
        <f>IF(G83=0,0,G80*G83)</f>
        <v>0</v>
      </c>
      <c r="H84" s="1673">
        <f>IF(H83=0,0,H80*H83)</f>
        <v>0</v>
      </c>
      <c r="J84" s="541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7"/>
    </row>
    <row r="85" spans="2:21" ht="4.2" customHeight="1"/>
    <row r="86" spans="2:21">
      <c r="B86" s="439" t="str">
        <f>IF(D20&lt;0,"VIRHE! MERKITSE AINEKÄYTTÖ + MERKKISENÄ!","")</f>
        <v/>
      </c>
      <c r="C86" s="398"/>
      <c r="D86" s="128"/>
      <c r="E86" s="128"/>
      <c r="F86" s="1942" t="str">
        <f>OHJE!I5</f>
        <v>Yritystulkin tarjoaa</v>
      </c>
      <c r="G86" s="1942"/>
      <c r="H86" s="1942"/>
    </row>
    <row r="87" spans="2:21">
      <c r="B87" s="397" t="str">
        <f>'5. E1 KUSTANNUKSET '!B127</f>
        <v>YT22 Toimivan yrityksen tulossuunnitelma</v>
      </c>
      <c r="D87" s="128"/>
      <c r="E87" s="1937" t="str">
        <f>OHJE!H7</f>
        <v>Alavuden Kehitys Oy</v>
      </c>
      <c r="F87" s="1938"/>
      <c r="G87" s="1938"/>
      <c r="H87" s="1938"/>
    </row>
    <row r="88" spans="2:21">
      <c r="B88" s="221"/>
    </row>
    <row r="89" spans="2:21">
      <c r="B89" s="396" t="s">
        <v>332</v>
      </c>
    </row>
    <row r="90" spans="2:21">
      <c r="B90" s="50" t="s">
        <v>333</v>
      </c>
    </row>
    <row r="91" spans="2:21">
      <c r="B91" s="50" t="s">
        <v>334</v>
      </c>
    </row>
  </sheetData>
  <sheetProtection algorithmName="SHA-512" hashValue="TLnDCrI6tntO82ftFCGD2jKnG8hEPaU+5Vr5HrNd9rYapeekhVH1EKQUisROphRwuVjxYHMX1t4qpnf1UnjtlA==" saltValue="75ylYAWznCrci5mWarw5Hg==" spinCount="100000" sheet="1" objects="1" scenarios="1"/>
  <mergeCells count="8">
    <mergeCell ref="E87:H87"/>
    <mergeCell ref="B7:C8"/>
    <mergeCell ref="J16:M16"/>
    <mergeCell ref="J5:K5"/>
    <mergeCell ref="B9:C9"/>
    <mergeCell ref="F86:H86"/>
    <mergeCell ref="E5:G5"/>
    <mergeCell ref="B5:D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93"/>
  <sheetViews>
    <sheetView showGridLines="0" showZeros="0" defaultGridColor="0" colorId="55" zoomScaleNormal="100" workbookViewId="0">
      <selection activeCell="H35" sqref="H35"/>
    </sheetView>
  </sheetViews>
  <sheetFormatPr defaultRowHeight="12.45"/>
  <cols>
    <col min="1" max="1" width="10" customWidth="1"/>
    <col min="2" max="2" width="3.07421875" style="38" customWidth="1"/>
    <col min="3" max="3" width="23.3046875" customWidth="1"/>
    <col min="4" max="4" width="8" customWidth="1"/>
    <col min="5" max="5" width="3.07421875" customWidth="1"/>
    <col min="6" max="11" width="11.3046875" customWidth="1"/>
    <col min="12" max="12" width="1.53515625" customWidth="1"/>
    <col min="13" max="14" width="10.69140625" customWidth="1"/>
    <col min="15" max="15" width="16.3046875" customWidth="1"/>
    <col min="16" max="21" width="11.3046875" customWidth="1"/>
    <col min="22" max="22" width="3.84375" customWidth="1"/>
  </cols>
  <sheetData>
    <row r="1" spans="1:23">
      <c r="P1" s="388"/>
    </row>
    <row r="2" spans="1:23" ht="15.45">
      <c r="C2" s="89" t="s">
        <v>112</v>
      </c>
      <c r="G2" s="46"/>
      <c r="J2" s="58"/>
      <c r="K2" s="58"/>
      <c r="M2" s="89" t="s">
        <v>112</v>
      </c>
      <c r="N2" s="22"/>
      <c r="P2" s="389"/>
    </row>
    <row r="3" spans="1:23" ht="4.5" customHeight="1">
      <c r="B3" s="2003"/>
      <c r="C3" s="2003"/>
      <c r="G3" s="548">
        <f>'2. &amp; 7. T2 TULOSSUUN. '!G3</f>
        <v>0</v>
      </c>
      <c r="M3" s="415"/>
      <c r="N3" s="415"/>
      <c r="P3" s="389"/>
    </row>
    <row r="4" spans="1:23" ht="7.5" customHeight="1">
      <c r="B4" s="2003"/>
      <c r="C4" s="2003"/>
      <c r="H4" s="83">
        <v>0</v>
      </c>
      <c r="M4" s="1767"/>
      <c r="N4" s="1767"/>
      <c r="P4" s="390"/>
    </row>
    <row r="5" spans="1:23" s="43" customFormat="1" ht="10.199999999999999" customHeight="1">
      <c r="B5" s="46" t="s">
        <v>685</v>
      </c>
      <c r="C5" s="161"/>
      <c r="D5" s="161"/>
      <c r="E5" s="161"/>
      <c r="F5" s="161"/>
      <c r="G5" s="161"/>
      <c r="H5" s="1997"/>
      <c r="I5" s="1997"/>
      <c r="J5" s="1997"/>
      <c r="K5" s="1997"/>
      <c r="M5" s="46" t="s">
        <v>685</v>
      </c>
      <c r="N5" s="161"/>
      <c r="O5" s="161"/>
      <c r="P5" s="161"/>
      <c r="Q5" s="161"/>
      <c r="R5" s="1997"/>
      <c r="S5" s="1997"/>
      <c r="T5" s="1997"/>
      <c r="U5" s="1997"/>
    </row>
    <row r="6" spans="1:23" ht="15.75" customHeight="1">
      <c r="B6" s="1943">
        <f>'2. &amp; 7. T2 TULOSSUUN. '!B5:D5</f>
        <v>0</v>
      </c>
      <c r="C6" s="1943"/>
      <c r="D6" s="1943"/>
      <c r="E6" s="1943"/>
      <c r="F6" s="1943"/>
      <c r="G6" s="556"/>
      <c r="H6" s="1998"/>
      <c r="I6" s="1998"/>
      <c r="J6" s="1998"/>
      <c r="K6" s="1998"/>
      <c r="M6" s="1943">
        <f>B6</f>
        <v>0</v>
      </c>
      <c r="N6" s="1943"/>
      <c r="O6" s="1943"/>
      <c r="P6" s="1943"/>
      <c r="Q6" s="556"/>
      <c r="R6" s="1998"/>
      <c r="S6" s="1998"/>
      <c r="T6" s="1998"/>
      <c r="U6" s="1998"/>
    </row>
    <row r="7" spans="1:23" s="43" customFormat="1" ht="14.25" customHeight="1">
      <c r="B7" s="557" t="s">
        <v>520</v>
      </c>
      <c r="C7" s="558"/>
      <c r="D7" s="558"/>
      <c r="E7" s="558"/>
      <c r="F7" s="558"/>
      <c r="G7" s="558"/>
      <c r="H7" s="558"/>
      <c r="I7" s="558"/>
      <c r="J7" s="1999" t="s">
        <v>93</v>
      </c>
      <c r="K7" s="1999"/>
      <c r="M7" s="557" t="s">
        <v>520</v>
      </c>
      <c r="N7" s="558"/>
      <c r="O7" s="558"/>
      <c r="P7" s="558"/>
      <c r="Q7" s="558"/>
      <c r="R7" s="558"/>
      <c r="S7" s="558"/>
      <c r="T7" s="558" t="s">
        <v>93</v>
      </c>
      <c r="U7" s="558"/>
    </row>
    <row r="8" spans="1:23" ht="15" customHeight="1">
      <c r="B8" s="2010">
        <f>'1. T1 INVESTOINTISUUN.'!B9:D9</f>
        <v>0</v>
      </c>
      <c r="C8" s="2010"/>
      <c r="D8" s="2010"/>
      <c r="E8" s="2010"/>
      <c r="F8" s="2010"/>
      <c r="G8" s="556"/>
      <c r="H8" s="770"/>
      <c r="I8" s="770"/>
      <c r="J8" s="555">
        <f>'1. T1 INVESTOINTISUUN.'!E4</f>
        <v>0</v>
      </c>
      <c r="K8" s="771"/>
      <c r="M8" s="1943">
        <f>B8</f>
        <v>0</v>
      </c>
      <c r="N8" s="1943"/>
      <c r="O8" s="1943"/>
      <c r="P8" s="1943"/>
      <c r="Q8" s="556"/>
      <c r="R8" s="559">
        <f>H8</f>
        <v>0</v>
      </c>
      <c r="S8" s="559"/>
      <c r="T8" s="555">
        <f>'1. T1 INVESTOINTISUUN.'!E4</f>
        <v>0</v>
      </c>
      <c r="U8" s="559"/>
    </row>
    <row r="9" spans="1:23" ht="11.25" customHeight="1" thickBot="1"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2.75" customHeight="1">
      <c r="B10" s="1974" t="s">
        <v>420</v>
      </c>
      <c r="C10" s="1975"/>
      <c r="D10" s="1975"/>
      <c r="E10" s="1976"/>
      <c r="F10" s="1188" t="str">
        <f>'3. T3 TASE '!F10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8" t="str">
        <f>'6. E2 LIIKEVAIHTO '!G7</f>
        <v>Ennuste 3</v>
      </c>
      <c r="K10" s="1190" t="s">
        <v>257</v>
      </c>
      <c r="M10" s="1968" t="s">
        <v>287</v>
      </c>
      <c r="N10" s="1969"/>
      <c r="O10" s="1970"/>
      <c r="P10" s="1188" t="str">
        <f t="shared" ref="P10:T11" si="0">F10</f>
        <v>Tot. tilikausi</v>
      </c>
      <c r="Q10" s="1188" t="str">
        <f t="shared" si="0"/>
        <v>Tot. tilikausi</v>
      </c>
      <c r="R10" s="1188" t="str">
        <f t="shared" si="0"/>
        <v>Ennuste 1</v>
      </c>
      <c r="S10" s="1188" t="str">
        <f t="shared" si="0"/>
        <v>Ennuste 2</v>
      </c>
      <c r="T10" s="1188" t="str">
        <f t="shared" si="0"/>
        <v>Ennuste 3</v>
      </c>
      <c r="U10" s="1190" t="s">
        <v>257</v>
      </c>
    </row>
    <row r="11" spans="1:23" ht="12.75" customHeight="1" thickBot="1">
      <c r="B11" s="1977"/>
      <c r="C11" s="1978"/>
      <c r="D11" s="1978"/>
      <c r="E11" s="1979"/>
      <c r="F11" s="1192">
        <f>'3. T3 TASE '!F11</f>
        <v>2023</v>
      </c>
      <c r="G11" s="1239">
        <f>'6. E2 LIIKEVAIHTO '!D8</f>
        <v>2024</v>
      </c>
      <c r="H11" s="1239">
        <f>'6. E2 LIIKEVAIHTO '!E8</f>
        <v>2025</v>
      </c>
      <c r="I11" s="1239">
        <f>'6. E2 LIIKEVAIHTO '!F8</f>
        <v>2026</v>
      </c>
      <c r="J11" s="1239">
        <f>'6. E2 LIIKEVAIHTO '!G8</f>
        <v>2027</v>
      </c>
      <c r="K11" s="1240">
        <f>'2. &amp; 7. T2 TULOSSUUN. '!O8</f>
        <v>2028</v>
      </c>
      <c r="M11" s="1971"/>
      <c r="N11" s="1972"/>
      <c r="O11" s="1973"/>
      <c r="P11" s="1241">
        <f t="shared" si="0"/>
        <v>2023</v>
      </c>
      <c r="Q11" s="1241">
        <f t="shared" si="0"/>
        <v>2024</v>
      </c>
      <c r="R11" s="1241">
        <f t="shared" si="0"/>
        <v>2025</v>
      </c>
      <c r="S11" s="1241">
        <f t="shared" si="0"/>
        <v>2026</v>
      </c>
      <c r="T11" s="1241">
        <f t="shared" si="0"/>
        <v>2027</v>
      </c>
      <c r="U11" s="1242">
        <f>K11</f>
        <v>2028</v>
      </c>
      <c r="W11" s="1069"/>
    </row>
    <row r="12" spans="1:23" ht="12.75" customHeight="1" thickBot="1">
      <c r="A12" s="51"/>
      <c r="B12" s="1980"/>
      <c r="C12" s="1981"/>
      <c r="D12" s="1981"/>
      <c r="E12" s="1982"/>
      <c r="F12" s="1243" t="s">
        <v>17</v>
      </c>
      <c r="G12" s="1243" t="s">
        <v>17</v>
      </c>
      <c r="H12" s="1243" t="str">
        <f>G12</f>
        <v>Euroa</v>
      </c>
      <c r="I12" s="1243" t="str">
        <f>H12</f>
        <v>Euroa</v>
      </c>
      <c r="J12" s="1243" t="str">
        <f>I12</f>
        <v>Euroa</v>
      </c>
      <c r="K12" s="1244" t="str">
        <f>J12</f>
        <v>Euroa</v>
      </c>
      <c r="M12" s="277" t="s">
        <v>538</v>
      </c>
      <c r="N12" s="157"/>
      <c r="O12" s="157"/>
      <c r="P12" s="274"/>
      <c r="Q12" s="274"/>
      <c r="R12" s="274"/>
      <c r="S12" s="274"/>
      <c r="T12" s="274"/>
      <c r="U12" s="275"/>
    </row>
    <row r="13" spans="1:23" ht="12.75" customHeight="1">
      <c r="B13" s="2004" t="s">
        <v>346</v>
      </c>
      <c r="C13" s="2005"/>
      <c r="D13" s="2005"/>
      <c r="E13" s="2006"/>
      <c r="F13" s="724"/>
      <c r="G13" s="724"/>
      <c r="H13" s="724" t="s">
        <v>111</v>
      </c>
      <c r="I13" s="724"/>
      <c r="J13" s="724"/>
      <c r="K13" s="725"/>
      <c r="M13" s="501" t="s">
        <v>288</v>
      </c>
      <c r="N13" s="502"/>
      <c r="O13" s="502"/>
      <c r="P13" s="643">
        <f>'2. &amp; 7. T2 TULOSSUUN. '!E11</f>
        <v>0</v>
      </c>
      <c r="Q13" s="643">
        <f>'2. &amp; 7. T2 TULOSSUUN. '!G11</f>
        <v>0</v>
      </c>
      <c r="R13" s="643">
        <f>'2. &amp; 7. T2 TULOSSUUN. '!I11</f>
        <v>0</v>
      </c>
      <c r="S13" s="643">
        <f>'2. &amp; 7. T2 TULOSSUUN. '!K11</f>
        <v>0</v>
      </c>
      <c r="T13" s="643">
        <f>'2. &amp; 7. T2 TULOSSUUN. '!M11</f>
        <v>0</v>
      </c>
      <c r="U13" s="644">
        <f>'2. &amp; 7. T2 TULOSSUUN. '!O11</f>
        <v>0</v>
      </c>
    </row>
    <row r="14" spans="1:23" ht="12.75" customHeight="1">
      <c r="A14" s="51"/>
      <c r="B14" s="2007"/>
      <c r="C14" s="2008"/>
      <c r="D14" s="2008"/>
      <c r="E14" s="2009"/>
      <c r="F14" s="726"/>
      <c r="G14" s="726"/>
      <c r="H14" s="726"/>
      <c r="I14" s="726"/>
      <c r="J14" s="726"/>
      <c r="K14" s="727"/>
      <c r="M14" s="503" t="s">
        <v>289</v>
      </c>
      <c r="N14" s="504"/>
      <c r="O14" s="504"/>
      <c r="P14" s="643">
        <f>IF('2. &amp; 7. T2 TULOSSUUN. '!E33=0,0,P13/'2. &amp; 7. T2 TULOSSUUN. '!E33)</f>
        <v>0</v>
      </c>
      <c r="Q14" s="643">
        <f>IF('2. &amp; 7. T2 TULOSSUUN. '!G33=0,0,Q13/'2. &amp; 7. T2 TULOSSUUN. '!G33)</f>
        <v>0</v>
      </c>
      <c r="R14" s="643">
        <f>IF('2. &amp; 7. T2 TULOSSUUN. '!I33=0,0,R13/'2. &amp; 7. T2 TULOSSUUN. '!I33)</f>
        <v>0</v>
      </c>
      <c r="S14" s="643">
        <f>IF('2. &amp; 7. T2 TULOSSUUN. '!K33=0,0,S13/'2. &amp; 7. T2 TULOSSUUN. '!K33)</f>
        <v>0</v>
      </c>
      <c r="T14" s="643">
        <f>IF('2. &amp; 7. T2 TULOSSUUN. '!M33=0,0,T13/'2. &amp; 7. T2 TULOSSUUN. '!M33)</f>
        <v>0</v>
      </c>
      <c r="U14" s="644">
        <f>IF('2. &amp; 7. T2 TULOSSUUN. '!O33=0,0,U13/'2. &amp; 7. T2 TULOSSUUN. '!O33)</f>
        <v>0</v>
      </c>
    </row>
    <row r="15" spans="1:23" ht="12.75" customHeight="1">
      <c r="B15" s="196">
        <v>1</v>
      </c>
      <c r="C15" s="1836" t="s">
        <v>113</v>
      </c>
      <c r="D15" s="1836"/>
      <c r="E15" s="444" t="s">
        <v>89</v>
      </c>
      <c r="F15" s="416">
        <f>'2. &amp; 7. T2 TULOSSUUN. '!E26+'2. &amp; 7. T2 TULOSSUUN. '!E27-'2. &amp; 7. T2 TULOSSUUN. '!E21</f>
        <v>0</v>
      </c>
      <c r="G15" s="416">
        <f>'2. &amp; 7. T2 TULOSSUUN. '!G26+'2. &amp; 7. T2 TULOSSUUN. '!G27-'2. &amp; 7. T2 TULOSSUUN. '!G21</f>
        <v>0</v>
      </c>
      <c r="H15" s="728">
        <f>'2. &amp; 7. T2 TULOSSUUN. '!I26+'2. &amp; 7. T2 TULOSSUUN. '!I27-'2. &amp; 7. T2 TULOSSUUN. '!I21</f>
        <v>0</v>
      </c>
      <c r="I15" s="728">
        <f>'2. &amp; 7. T2 TULOSSUUN. '!K26+'2. &amp; 7. T2 TULOSSUUN. '!K27-'2. &amp; 7. T2 TULOSSUUN. '!K21</f>
        <v>0</v>
      </c>
      <c r="J15" s="728">
        <f>'2. &amp; 7. T2 TULOSSUUN. '!M26+'2. &amp; 7. T2 TULOSSUUN. '!M27-'2. &amp; 7. T2 TULOSSUUN. '!M21</f>
        <v>0</v>
      </c>
      <c r="K15" s="644">
        <f>'2. &amp; 7. T2 TULOSSUUN. '!O26+'2. &amp; 7. T2 TULOSSUUN. '!O27-'2. &amp; 7. T2 TULOSSUUN. '!O21</f>
        <v>0</v>
      </c>
      <c r="M15" s="503" t="s">
        <v>741</v>
      </c>
      <c r="N15" s="504"/>
      <c r="O15" s="504"/>
      <c r="P15" s="356">
        <f>'2. &amp; 7. T2 TULOSSUUN. '!E33</f>
        <v>1</v>
      </c>
      <c r="Q15" s="356">
        <f>'2. &amp; 7. T2 TULOSSUUN. '!G33</f>
        <v>1</v>
      </c>
      <c r="R15" s="356">
        <f>'2. &amp; 7. T2 TULOSSUUN. '!I33</f>
        <v>1</v>
      </c>
      <c r="S15" s="356">
        <f>'2. &amp; 7. T2 TULOSSUUN. '!K33</f>
        <v>1</v>
      </c>
      <c r="T15" s="356">
        <f>'2. &amp; 7. T2 TULOSSUUN. '!M33</f>
        <v>1</v>
      </c>
      <c r="U15" s="357">
        <f>'2. &amp; 7. T2 TULOSSUUN. '!O33</f>
        <v>1</v>
      </c>
    </row>
    <row r="16" spans="1:23" ht="12.75" customHeight="1">
      <c r="A16" s="51"/>
      <c r="B16" s="196">
        <v>2</v>
      </c>
      <c r="C16" s="1821" t="s">
        <v>114</v>
      </c>
      <c r="D16" s="1821"/>
      <c r="E16" s="228" t="s">
        <v>89</v>
      </c>
      <c r="F16" s="723">
        <v>0</v>
      </c>
      <c r="G16" s="723">
        <v>0</v>
      </c>
      <c r="H16" s="643">
        <f>'1. T1 INVESTOINTISUUN.'!D48+'1. T1 INVESTOINTISUUN.'!D49</f>
        <v>0</v>
      </c>
      <c r="I16" s="643">
        <f>'1. T1 INVESTOINTISUUN.'!E48+'1. T1 INVESTOINTISUUN.'!E49</f>
        <v>0</v>
      </c>
      <c r="J16" s="643">
        <f>'1. T1 INVESTOINTISUUN.'!F48+'1. T1 INVESTOINTISUUN.'!F49</f>
        <v>0</v>
      </c>
      <c r="K16" s="644">
        <f>'1. T1 INVESTOINTISUUN.'!G48+'1. T1 INVESTOINTISUUN.'!G49</f>
        <v>0</v>
      </c>
      <c r="M16" s="1944" t="s">
        <v>292</v>
      </c>
      <c r="N16" s="1945"/>
      <c r="O16" s="1946"/>
      <c r="P16" s="643">
        <f>P82</f>
        <v>0</v>
      </c>
      <c r="Q16" s="643">
        <f t="shared" ref="Q16:U16" si="1">Q82</f>
        <v>0</v>
      </c>
      <c r="R16" s="643">
        <f t="shared" si="1"/>
        <v>0</v>
      </c>
      <c r="S16" s="643">
        <f t="shared" si="1"/>
        <v>0</v>
      </c>
      <c r="T16" s="643">
        <f t="shared" si="1"/>
        <v>0</v>
      </c>
      <c r="U16" s="644">
        <f t="shared" si="1"/>
        <v>0</v>
      </c>
    </row>
    <row r="17" spans="1:21" ht="12.75" customHeight="1">
      <c r="A17" s="2"/>
      <c r="B17" s="196">
        <v>3</v>
      </c>
      <c r="C17" s="1821" t="s">
        <v>465</v>
      </c>
      <c r="D17" s="1821"/>
      <c r="E17" s="228" t="s">
        <v>89</v>
      </c>
      <c r="F17" s="723">
        <v>0</v>
      </c>
      <c r="G17" s="723">
        <v>0</v>
      </c>
      <c r="H17" s="643">
        <f>'4. T7 LAINAT '!F39+IF('3. T3 TASE '!H74-'3. T3 TASE '!G74&gt;0,'3. T3 TASE '!H74-'3. T3 TASE '!G74,0)+IF('3. T3 TASE '!H72-'3. T3 TASE '!G72&gt;0,'3. T3 TASE '!H72-'3. T3 TASE '!G72,0)</f>
        <v>0</v>
      </c>
      <c r="I17" s="643">
        <f>'4. T7 LAINAT '!I39+IF('3. T3 TASE '!I74-'3. T3 TASE '!H74&gt;0,'3. T3 TASE '!I74-'3. T3 TASE '!H74,0)+IF('3. T3 TASE '!I72-'3. T3 TASE '!H72&gt;0,'3. T3 TASE '!I72-'3. T3 TASE '!H72,0)</f>
        <v>0</v>
      </c>
      <c r="J17" s="643">
        <f>'4. T7 LAINAT '!L39+IF('3. T3 TASE '!J74-'3. T3 TASE '!I74&gt;0,'3. T3 TASE '!J74-'3. T3 TASE '!I74,0)+IF('3. T3 TASE '!J72-'3. T3 TASE '!I72&gt;0,'3. T3 TASE '!J72-'3. T3 TASE '!I72,0)</f>
        <v>0</v>
      </c>
      <c r="K17" s="644">
        <f>'4. T7 LAINAT '!O39+IF('3. T3 TASE '!K74-'3. T3 TASE '!J74&gt;0,'3. T3 TASE '!K74-'3. T3 TASE '!J74,0)+IF('3. T3 TASE '!K72-'3. T3 TASE '!J72&gt;0,'3. T3 TASE '!K72-'3. T3 TASE '!J72,0)</f>
        <v>0</v>
      </c>
      <c r="M17" s="166" t="s">
        <v>539</v>
      </c>
      <c r="N17" s="140"/>
      <c r="O17" s="140"/>
      <c r="P17" s="138"/>
      <c r="Q17" s="138"/>
      <c r="R17" s="138"/>
      <c r="S17" s="138"/>
      <c r="T17" s="142"/>
      <c r="U17" s="645"/>
    </row>
    <row r="18" spans="1:21" ht="12.75" customHeight="1">
      <c r="A18" s="51"/>
      <c r="B18" s="196">
        <v>4</v>
      </c>
      <c r="C18" s="1821" t="s">
        <v>235</v>
      </c>
      <c r="D18" s="1821"/>
      <c r="E18" s="228" t="s">
        <v>89</v>
      </c>
      <c r="F18" s="723">
        <v>0</v>
      </c>
      <c r="G18" s="723">
        <v>0</v>
      </c>
      <c r="H18" s="643">
        <f>'4. T7 LAINAT '!F41</f>
        <v>0</v>
      </c>
      <c r="I18" s="643">
        <f>'4. T7 LAINAT '!I42</f>
        <v>0</v>
      </c>
      <c r="J18" s="643">
        <f>'4. T7 LAINAT '!L43</f>
        <v>0</v>
      </c>
      <c r="K18" s="644">
        <f>'4. T7 LAINAT '!O45</f>
        <v>0</v>
      </c>
      <c r="M18" s="501" t="s">
        <v>562</v>
      </c>
      <c r="N18" s="502"/>
      <c r="O18" s="502"/>
      <c r="P18" s="643">
        <f>'2. &amp; 7. T2 TULOSSUUN. '!E20</f>
        <v>0</v>
      </c>
      <c r="Q18" s="643">
        <f>'2. &amp; 7. T2 TULOSSUUN. '!G20</f>
        <v>0</v>
      </c>
      <c r="R18" s="643">
        <f>'2. &amp; 7. T2 TULOSSUUN. '!I20</f>
        <v>0</v>
      </c>
      <c r="S18" s="643">
        <f>'2. &amp; 7. T2 TULOSSUUN. '!K20</f>
        <v>0</v>
      </c>
      <c r="T18" s="643">
        <f>'2. &amp; 7. T2 TULOSSUUN. '!M20</f>
        <v>0</v>
      </c>
      <c r="U18" s="644">
        <f>'2. &amp; 7. T2 TULOSSUUN. '!O20</f>
        <v>0</v>
      </c>
    </row>
    <row r="19" spans="1:21" ht="12.75" customHeight="1">
      <c r="B19" s="196">
        <v>5</v>
      </c>
      <c r="C19" s="1821" t="s">
        <v>133</v>
      </c>
      <c r="D19" s="1821"/>
      <c r="E19" s="228" t="s">
        <v>89</v>
      </c>
      <c r="F19" s="723">
        <v>0</v>
      </c>
      <c r="G19" s="723">
        <v>0</v>
      </c>
      <c r="H19" s="643">
        <f>IF('3. T3 TASE '!H78-'3. T3 TASE '!G78&gt;0,'3. T3 TASE '!H78-'3. T3 TASE '!G78,0)+IF('3. T3 TASE '!H79-'3. T3 TASE '!G79&gt;0,'3. T3 TASE '!H79-'3. T3 TASE '!G79,0)</f>
        <v>0</v>
      </c>
      <c r="I19" s="643">
        <f>IF('3. T3 TASE '!I78-'3. T3 TASE '!H78&gt;0,'3. T3 TASE '!I78-'3. T3 TASE '!H78,0)+IF('3. T3 TASE '!I79-'3. T3 TASE '!H79&gt;0,'3. T3 TASE '!I79-'3. T3 TASE '!H79,0)</f>
        <v>0</v>
      </c>
      <c r="J19" s="643">
        <f>IF('3. T3 TASE '!J78-'3. T3 TASE '!I78&gt;0,'3. T3 TASE '!J78-'3. T3 TASE '!I78,0)+IF('3. T3 TASE '!J79-'3. T3 TASE '!I79&gt;0,'3. T3 TASE '!J79-'3. T3 TASE '!I79,0)</f>
        <v>0</v>
      </c>
      <c r="K19" s="644">
        <f>IF('3. T3 TASE '!K78-'3. T3 TASE '!J78&gt;0,'3. T3 TASE '!K78-'3. T3 TASE '!J78,0)+IF('3. T3 TASE '!K79-'3. T3 TASE '!J79&gt;0,'3. T3 TASE '!K79-'3. T3 TASE '!J79,0)</f>
        <v>0</v>
      </c>
      <c r="M19" s="1944" t="s">
        <v>293</v>
      </c>
      <c r="N19" s="1945"/>
      <c r="O19" s="1946"/>
      <c r="P19" s="646">
        <f>'2. &amp; 7. T2 TULOSSUUN. '!F20/100</f>
        <v>0</v>
      </c>
      <c r="Q19" s="646">
        <f>'2. &amp; 7. T2 TULOSSUUN. '!H20/100</f>
        <v>0</v>
      </c>
      <c r="R19" s="646">
        <f>'2. &amp; 7. T2 TULOSSUUN. '!J20/100</f>
        <v>0</v>
      </c>
      <c r="S19" s="646">
        <f>'2. &amp; 7. T2 TULOSSUUN. '!L20/100</f>
        <v>0</v>
      </c>
      <c r="T19" s="646">
        <f>'2. &amp; 7. T2 TULOSSUUN. '!N20/100</f>
        <v>0</v>
      </c>
      <c r="U19" s="647">
        <f>'2. &amp; 7. T2 TULOSSUUN. '!P20/100</f>
        <v>0</v>
      </c>
    </row>
    <row r="20" spans="1:21" ht="25.95" customHeight="1">
      <c r="B20" s="196">
        <v>6</v>
      </c>
      <c r="C20" s="2001" t="s">
        <v>750</v>
      </c>
      <c r="D20" s="2001"/>
      <c r="E20" s="2001"/>
      <c r="F20" s="2001"/>
      <c r="G20" s="2002"/>
      <c r="H20" s="643">
        <f>'AT1 Avustus, alv-laskenta '!C49+'1. T1 INVESTOINTISUUN.'!D51+'3. T3 TASE '!H36+'3. T3 TASE '!H16+'3. T3 TASE '!H21+'3. T3 TASE '!H24+'3. T3 TASE '!H28+'3. T3 TASE '!H32+'3. T3 TASE '!H70</f>
        <v>0</v>
      </c>
      <c r="I20" s="643">
        <f>'AT1 Avustus, alv-laskenta '!D49+'1. T1 INVESTOINTISUUN.'!E51+'3. T3 TASE '!I36+'3. T3 TASE '!I16+'3. T3 TASE '!I21+'3. T3 TASE '!I24+'3. T3 TASE '!I28+'3. T3 TASE '!I32+'3. T3 TASE '!I70</f>
        <v>0</v>
      </c>
      <c r="J20" s="643">
        <f>'AT1 Avustus, alv-laskenta '!E49+'1. T1 INVESTOINTISUUN.'!F51+'3. T3 TASE '!J36+'3. T3 TASE '!J16+'3. T3 TASE '!J21+'3. T3 TASE '!J24+'3. T3 TASE '!J28+'3. T3 TASE '!J32+'3. T3 TASE '!J70</f>
        <v>0</v>
      </c>
      <c r="K20" s="644">
        <f>'AT1 Avustus, alv-laskenta '!F49+'1. T1 INVESTOINTISUUN.'!G51+'3. T3 TASE '!K36+'3. T3 TASE '!K16+'3. T3 TASE '!K21+'3. T3 TASE '!K24+'3. T3 TASE '!K28+'3. T3 TASE '!K32+'3. T3 TASE '!K70</f>
        <v>0</v>
      </c>
      <c r="M20" s="509" t="s">
        <v>558</v>
      </c>
      <c r="P20" s="772">
        <f>'2. &amp; 7. T2 TULOSSUUN. '!E22</f>
        <v>0</v>
      </c>
      <c r="Q20" s="772">
        <f>'2. &amp; 7. T2 TULOSSUUN. '!G22</f>
        <v>0</v>
      </c>
      <c r="R20" s="772">
        <f>'2. &amp; 7. T2 TULOSSUUN. '!I22</f>
        <v>0</v>
      </c>
      <c r="S20" s="772">
        <f>'2. &amp; 7. T2 TULOSSUUN. '!K22</f>
        <v>0</v>
      </c>
      <c r="T20" s="772">
        <f>'2. &amp; 7. T2 TULOSSUUN. '!M22</f>
        <v>0</v>
      </c>
      <c r="U20" s="773">
        <f>'2. &amp; 7. T2 TULOSSUUN. '!O22</f>
        <v>0</v>
      </c>
    </row>
    <row r="21" spans="1:21" ht="13.5" customHeight="1" thickBot="1">
      <c r="B21" s="336">
        <v>7</v>
      </c>
      <c r="C21" s="490" t="s">
        <v>18</v>
      </c>
      <c r="D21" s="355"/>
      <c r="E21" s="508"/>
      <c r="F21" s="729">
        <v>0</v>
      </c>
      <c r="G21" s="729">
        <v>0</v>
      </c>
      <c r="H21" s="730">
        <f t="shared" ref="H21:K21" si="2">SUM(H15:H20)</f>
        <v>0</v>
      </c>
      <c r="I21" s="730">
        <f t="shared" si="2"/>
        <v>0</v>
      </c>
      <c r="J21" s="730">
        <f t="shared" si="2"/>
        <v>0</v>
      </c>
      <c r="K21" s="731">
        <f t="shared" si="2"/>
        <v>0</v>
      </c>
      <c r="M21" s="1944" t="s">
        <v>557</v>
      </c>
      <c r="N21" s="1945"/>
      <c r="O21" s="1946"/>
      <c r="P21" s="648">
        <f>'2. &amp; 7. T2 TULOSSUUN. '!F22/100</f>
        <v>0</v>
      </c>
      <c r="Q21" s="648">
        <f>'2. &amp; 7. T2 TULOSSUUN. '!H22/100</f>
        <v>0</v>
      </c>
      <c r="R21" s="648">
        <f>'2. &amp; 7. T2 TULOSSUUN. '!J22/100</f>
        <v>0</v>
      </c>
      <c r="S21" s="648">
        <f>'2. &amp; 7. T2 TULOSSUUN. '!L22/100</f>
        <v>0</v>
      </c>
      <c r="T21" s="648">
        <f>'2. &amp; 7. T2 TULOSSUUN. '!N22/100</f>
        <v>0</v>
      </c>
      <c r="U21" s="649">
        <f>'2. &amp; 7. T2 TULOSSUUN. '!P22/100</f>
        <v>0</v>
      </c>
    </row>
    <row r="22" spans="1:21" ht="13.5" customHeight="1" thickBot="1">
      <c r="B22" s="281"/>
      <c r="C22" s="282"/>
      <c r="D22" s="283"/>
      <c r="E22" s="283"/>
      <c r="F22" s="281"/>
      <c r="G22" s="732"/>
      <c r="H22" s="733"/>
      <c r="I22" s="733"/>
      <c r="J22" s="733"/>
      <c r="K22" s="734"/>
      <c r="M22" s="1953" t="s">
        <v>666</v>
      </c>
      <c r="N22" s="1954"/>
      <c r="O22" s="1955"/>
      <c r="P22" s="652">
        <f>IF('2. &amp; 7. T2 TULOSSUUN. '!E14=0,0,IF(P21&gt;10%,"Hyvä",IF(P21&lt;5%,"Heikko","Tyydyttävä")))</f>
        <v>0</v>
      </c>
      <c r="Q22" s="652">
        <f>IF(Q21=0,0,IF(Q21&gt;10%,"Hyvä",IF(Q21&lt;5%,"Heikko","Tyydyttävä")))</f>
        <v>0</v>
      </c>
      <c r="R22" s="652">
        <f t="shared" ref="R22:U22" si="3">IF(R21=0,0,IF(R21&gt;10%,"Hyvä",IF(R21&lt;5%,"Heikko","Tyydyttävä")))</f>
        <v>0</v>
      </c>
      <c r="S22" s="652">
        <f t="shared" si="3"/>
        <v>0</v>
      </c>
      <c r="T22" s="652">
        <f t="shared" si="3"/>
        <v>0</v>
      </c>
      <c r="U22" s="1034">
        <f t="shared" si="3"/>
        <v>0</v>
      </c>
    </row>
    <row r="23" spans="1:21" ht="12.75" customHeight="1">
      <c r="B23" s="685" t="s">
        <v>345</v>
      </c>
      <c r="C23" s="452"/>
      <c r="D23" s="451"/>
      <c r="E23" s="158"/>
      <c r="F23" s="735"/>
      <c r="G23" s="735"/>
      <c r="H23" s="736"/>
      <c r="I23" s="736"/>
      <c r="J23" s="736"/>
      <c r="K23" s="737"/>
      <c r="M23" s="1686" t="s">
        <v>294</v>
      </c>
      <c r="N23" s="1687"/>
      <c r="O23" s="1687"/>
      <c r="P23" s="643">
        <f>'2. &amp; 7. T2 TULOSSUUN. '!E31</f>
        <v>0</v>
      </c>
      <c r="Q23" s="643">
        <f>'2. &amp; 7. T2 TULOSSUUN. '!G31</f>
        <v>0</v>
      </c>
      <c r="R23" s="643">
        <f>'2. &amp; 7. T2 TULOSSUUN. '!I31</f>
        <v>0</v>
      </c>
      <c r="S23" s="643">
        <f>'2. &amp; 7. T2 TULOSSUUN. '!K31</f>
        <v>0</v>
      </c>
      <c r="T23" s="643">
        <f>'2. &amp; 7. T2 TULOSSUUN. '!M31</f>
        <v>0</v>
      </c>
      <c r="U23" s="644">
        <f>'2. &amp; 7. T2 TULOSSUUN. '!O31</f>
        <v>0</v>
      </c>
    </row>
    <row r="24" spans="1:21" ht="12.75" customHeight="1">
      <c r="B24" s="196">
        <v>8</v>
      </c>
      <c r="C24" s="1836" t="s">
        <v>138</v>
      </c>
      <c r="D24" s="1836"/>
      <c r="E24" s="359" t="s">
        <v>89</v>
      </c>
      <c r="F24" s="416"/>
      <c r="G24" s="416"/>
      <c r="H24" s="728">
        <f>'AT1 Avustus, alv-laskenta '!C4</f>
        <v>0</v>
      </c>
      <c r="I24" s="728">
        <f>'AT1 Avustus, alv-laskenta '!D4</f>
        <v>0</v>
      </c>
      <c r="J24" s="728">
        <f>'AT1 Avustus, alv-laskenta '!E4</f>
        <v>0</v>
      </c>
      <c r="K24" s="1479">
        <f>'AT1 Avustus, alv-laskenta '!F4</f>
        <v>0</v>
      </c>
      <c r="M24" s="1686" t="s">
        <v>295</v>
      </c>
      <c r="N24" s="1687"/>
      <c r="O24" s="1687"/>
      <c r="P24" s="648">
        <f>'2. &amp; 7. T2 TULOSSUUN. '!F31/100</f>
        <v>0</v>
      </c>
      <c r="Q24" s="648">
        <f>'2. &amp; 7. T2 TULOSSUUN. '!H31/100</f>
        <v>0</v>
      </c>
      <c r="R24" s="648">
        <f>'2. &amp; 7. T2 TULOSSUUN. '!J31/100</f>
        <v>0</v>
      </c>
      <c r="S24" s="648">
        <f>'2. &amp; 7. T2 TULOSSUUN. '!L31/100</f>
        <v>0</v>
      </c>
      <c r="T24" s="648">
        <f>'2. &amp; 7. T2 TULOSSUUN. '!N31/100</f>
        <v>0</v>
      </c>
      <c r="U24" s="649">
        <f>'2. &amp; 7. T2 TULOSSUUN. '!P31/100</f>
        <v>0</v>
      </c>
    </row>
    <row r="25" spans="1:21" ht="12.75" customHeight="1">
      <c r="B25" s="196">
        <f>B24+1</f>
        <v>9</v>
      </c>
      <c r="C25" s="1821" t="s">
        <v>139</v>
      </c>
      <c r="D25" s="1821"/>
      <c r="E25" s="228" t="s">
        <v>89</v>
      </c>
      <c r="F25" s="988"/>
      <c r="G25" s="988"/>
      <c r="H25" s="643">
        <f>'AT1 Avustus, alv-laskenta '!C10+'AT1 Avustus, alv-laskenta '!C15</f>
        <v>0</v>
      </c>
      <c r="I25" s="643">
        <f>'AT1 Avustus, alv-laskenta '!D10+'AT1 Avustus, alv-laskenta '!D15</f>
        <v>0</v>
      </c>
      <c r="J25" s="643">
        <f>'AT1 Avustus, alv-laskenta '!E10+'AT1 Avustus, alv-laskenta '!E15</f>
        <v>0</v>
      </c>
      <c r="K25" s="644">
        <f>'AT1 Avustus, alv-laskenta '!F10+'AT1 Avustus, alv-laskenta '!F15</f>
        <v>0</v>
      </c>
      <c r="M25" s="1947" t="s">
        <v>559</v>
      </c>
      <c r="N25" s="1948"/>
      <c r="O25" s="1949"/>
      <c r="P25" s="648">
        <f>IF(P16=0,0,(P23-'2. &amp; 7. T2 TULOSSUUN. '!E27-'2. &amp; 7. T2 TULOSSUUN. '!E25)/'8. T4 RAHOITUSSUUN. '!P16)</f>
        <v>0</v>
      </c>
      <c r="Q25" s="648">
        <f>IF(Q16=0,0,(Q23-'2. &amp; 7. T2 TULOSSUUN. '!G27-'2. &amp; 7. T2 TULOSSUUN. '!G25)/'8. T4 RAHOITUSSUUN. '!Q16)</f>
        <v>0</v>
      </c>
      <c r="R25" s="648">
        <f>IF(R16=0,0,(R23-'2. &amp; 7. T2 TULOSSUUN. '!I27-'2. &amp; 7. T2 TULOSSUUN. '!I25)/'8. T4 RAHOITUSSUUN. '!R16)</f>
        <v>0</v>
      </c>
      <c r="S25" s="648">
        <f>IF(S16=0,0,(S23-'2. &amp; 7. T2 TULOSSUUN. '!K27-'2. &amp; 7. T2 TULOSSUUN. '!K25)/'8. T4 RAHOITUSSUUN. '!S16)</f>
        <v>0</v>
      </c>
      <c r="T25" s="648">
        <f>IF(T16=0,0,(T23-'2. &amp; 7. T2 TULOSSUUN. '!M27-'2. &amp; 7. T2 TULOSSUUN. '!M25)/'8. T4 RAHOITUSSUUN. '!T16)</f>
        <v>0</v>
      </c>
      <c r="U25" s="649">
        <f>IF(U16=0,0,(U23-'2. &amp; 7. T2 TULOSSUUN. '!O27-'2. &amp; 7. T2 TULOSSUUN. '!O25)/'8. T4 RAHOITUSSUUN. '!U16)</f>
        <v>0</v>
      </c>
    </row>
    <row r="26" spans="1:21" ht="12.75" customHeight="1">
      <c r="B26" s="196">
        <f t="shared" ref="B26:B43" si="4">B25+1</f>
        <v>10</v>
      </c>
      <c r="C26" s="1821" t="s">
        <v>115</v>
      </c>
      <c r="D26" s="1821"/>
      <c r="E26" s="228" t="s">
        <v>89</v>
      </c>
      <c r="F26" s="988"/>
      <c r="G26" s="988"/>
      <c r="H26" s="643">
        <f>'AT1 Avustus, alv-laskenta '!C23+'AT1 Avustus, alv-laskenta '!C30</f>
        <v>0</v>
      </c>
      <c r="I26" s="643">
        <f>'AT1 Avustus, alv-laskenta '!D23+'AT1 Avustus, alv-laskenta '!D30</f>
        <v>0</v>
      </c>
      <c r="J26" s="643">
        <f>'AT1 Avustus, alv-laskenta '!E23+'AT1 Avustus, alv-laskenta '!E30</f>
        <v>0</v>
      </c>
      <c r="K26" s="644">
        <f>'AT1 Avustus, alv-laskenta '!F23+'AT1 Avustus, alv-laskenta '!F30</f>
        <v>0</v>
      </c>
      <c r="M26" s="1688" t="s">
        <v>540</v>
      </c>
      <c r="N26" s="1689"/>
      <c r="O26" s="1690"/>
      <c r="P26" s="138"/>
      <c r="Q26" s="138"/>
      <c r="R26" s="138"/>
      <c r="S26" s="142"/>
      <c r="T26" s="142"/>
      <c r="U26" s="645"/>
    </row>
    <row r="27" spans="1:21" ht="12.75" customHeight="1">
      <c r="B27" s="196">
        <f t="shared" si="4"/>
        <v>11</v>
      </c>
      <c r="C27" s="1821" t="s">
        <v>118</v>
      </c>
      <c r="D27" s="1821"/>
      <c r="E27" s="228" t="s">
        <v>89</v>
      </c>
      <c r="F27" s="988"/>
      <c r="G27" s="988"/>
      <c r="H27" s="643">
        <f>'AT1 Avustus, alv-laskenta '!C36+'AT1 Avustus, alv-laskenta '!C43</f>
        <v>0</v>
      </c>
      <c r="I27" s="643">
        <f>'AT1 Avustus, alv-laskenta '!D36+'AT1 Avustus, alv-laskenta '!D43</f>
        <v>0</v>
      </c>
      <c r="J27" s="643">
        <f>'AT1 Avustus, alv-laskenta '!E36+'AT1 Avustus, alv-laskenta '!E43</f>
        <v>0</v>
      </c>
      <c r="K27" s="644">
        <f>'AT1 Avustus, alv-laskenta '!F36+'AT1 Avustus, alv-laskenta '!F43</f>
        <v>0</v>
      </c>
      <c r="M27" s="1950" t="s">
        <v>296</v>
      </c>
      <c r="N27" s="1951"/>
      <c r="O27" s="1952"/>
      <c r="P27" s="650">
        <f>IF('3. T3 TASE '!F75=0,0,('3. T3 TASE '!F38-'3. T3 TASE '!F39)/'3. T3 TASE '!F75)</f>
        <v>0</v>
      </c>
      <c r="Q27" s="650">
        <f>IF('3. T3 TASE '!G75=0,0,('3. T3 TASE '!G38-'3. T3 TASE '!G39)/'3. T3 TASE '!G75)</f>
        <v>0</v>
      </c>
      <c r="R27" s="650">
        <f>IF('3. T3 TASE '!H75=0,0,('3. T3 TASE '!H38-'3. T3 TASE '!H39)/'3. T3 TASE '!H75)</f>
        <v>0</v>
      </c>
      <c r="S27" s="650">
        <f>IF('3. T3 TASE '!I75=0,0,('3. T3 TASE '!I38-'3. T3 TASE '!I39)/'3. T3 TASE '!I75)</f>
        <v>0</v>
      </c>
      <c r="T27" s="650">
        <f>IF('3. T3 TASE '!J75=0,0,('3. T3 TASE '!J38-'3. T3 TASE '!J39)/'3. T3 TASE '!J75)</f>
        <v>0</v>
      </c>
      <c r="U27" s="651">
        <f>IF('3. T3 TASE '!K75=0,0,('3. T3 TASE '!K38-'3. T3 TASE '!K39)/'3. T3 TASE '!K75)</f>
        <v>0</v>
      </c>
    </row>
    <row r="28" spans="1:21" ht="12.75" customHeight="1">
      <c r="B28" s="196">
        <f t="shared" si="4"/>
        <v>12</v>
      </c>
      <c r="C28" s="1821" t="s">
        <v>476</v>
      </c>
      <c r="D28" s="1821"/>
      <c r="E28" s="343" t="s">
        <v>96</v>
      </c>
      <c r="F28" s="988"/>
      <c r="G28" s="988"/>
      <c r="H28" s="643">
        <f>H61</f>
        <v>0</v>
      </c>
      <c r="I28" s="643">
        <f>I61</f>
        <v>0</v>
      </c>
      <c r="J28" s="643">
        <f>J61</f>
        <v>0</v>
      </c>
      <c r="K28" s="644">
        <f>K61</f>
        <v>0</v>
      </c>
      <c r="M28" s="1953" t="s">
        <v>666</v>
      </c>
      <c r="N28" s="1954"/>
      <c r="O28" s="1955"/>
      <c r="P28" s="652">
        <f>IF('3. T3 TASE '!F75=0,0,IF(P27&gt;1,"Hyvä",IF(P27&lt;0.5,"Heikko","Tyydyttävä")))</f>
        <v>0</v>
      </c>
      <c r="Q28" s="652">
        <f>IF('3. T3 TASE '!G75=0,0,IF(Q27&gt;1,"Hyvä",IF(Q27&lt;0.5,"Heikko","Tyydyttävä")))</f>
        <v>0</v>
      </c>
      <c r="R28" s="652">
        <f>IF('3. T3 TASE '!H75=0,0,IF(R27&gt;1,"Hyvä",IF(R27&lt;0.5,"Heikko","Tyydyttävä")))</f>
        <v>0</v>
      </c>
      <c r="S28" s="652">
        <f>IF('3. T3 TASE '!I75=0,0,IF(S27&gt;1,"Hyvä",IF(S27&lt;0.5,"Heikko","Tyydyttävä")))</f>
        <v>0</v>
      </c>
      <c r="T28" s="652">
        <f>IF('3. T3 TASE '!J75=0,0,IF(T27&gt;1,"Hyvä",IF(T27&lt;0.5,"Heikko","Tyydyttävä")))</f>
        <v>0</v>
      </c>
      <c r="U28" s="1034">
        <f>IF('3. T3 TASE '!K75=0,0,IF(U27&gt;1,"Hyvä",IF(U27&lt;0.5,"Heikko","Tyydyttävä")))</f>
        <v>0</v>
      </c>
    </row>
    <row r="29" spans="1:21" ht="12.75" customHeight="1">
      <c r="B29" s="196">
        <f t="shared" si="4"/>
        <v>13</v>
      </c>
      <c r="C29" s="1821" t="s">
        <v>120</v>
      </c>
      <c r="D29" s="1821"/>
      <c r="E29" s="228" t="s">
        <v>89</v>
      </c>
      <c r="F29" s="723"/>
      <c r="G29" s="723"/>
      <c r="H29" s="643">
        <f>'3. T3 TASE '!H48-'3. T3 TASE '!G48</f>
        <v>0</v>
      </c>
      <c r="I29" s="643">
        <f>'3. T3 TASE '!I48-'3. T3 TASE '!H48</f>
        <v>0</v>
      </c>
      <c r="J29" s="643">
        <f>'3. T3 TASE '!J48-'3. T3 TASE '!I48</f>
        <v>0</v>
      </c>
      <c r="K29" s="644">
        <f>'3. T3 TASE '!K48-'3. T3 TASE '!J48</f>
        <v>0</v>
      </c>
      <c r="M29" s="1947" t="s">
        <v>297</v>
      </c>
      <c r="N29" s="1948"/>
      <c r="O29" s="1949"/>
      <c r="P29" s="653">
        <f>IF('3. T3 TASE '!F75=0,0,'3. T3 TASE '!F38/'3. T3 TASE '!F75)</f>
        <v>0</v>
      </c>
      <c r="Q29" s="653">
        <f>IF('3. T3 TASE '!G75=0,0,'3. T3 TASE '!G38/'3. T3 TASE '!G75)</f>
        <v>0</v>
      </c>
      <c r="R29" s="653">
        <f>IF('3. T3 TASE '!H75=0,0,'3. T3 TASE '!H38/'3. T3 TASE '!H75)</f>
        <v>0</v>
      </c>
      <c r="S29" s="653">
        <f>IF('3. T3 TASE '!I75=0,0,'3. T3 TASE '!I38/'3. T3 TASE '!I75)</f>
        <v>0</v>
      </c>
      <c r="T29" s="653">
        <f>IF('3. T3 TASE '!J75=0,0,'3. T3 TASE '!J38/'3. T3 TASE '!J75)</f>
        <v>0</v>
      </c>
      <c r="U29" s="654">
        <f>IF('3. T3 TASE '!K75=0,0,'3. T3 TASE '!K38/'3. T3 TASE '!K75)</f>
        <v>0</v>
      </c>
    </row>
    <row r="30" spans="1:21" ht="12.75" customHeight="1">
      <c r="B30" s="196">
        <f t="shared" si="4"/>
        <v>14</v>
      </c>
      <c r="C30" s="1965" t="s">
        <v>464</v>
      </c>
      <c r="D30" s="1965"/>
      <c r="E30" s="228" t="s">
        <v>89</v>
      </c>
      <c r="F30" s="988"/>
      <c r="G30" s="988"/>
      <c r="H30" s="643">
        <f>'4. T7 LAINAT '!F18+'4. T7 LAINAT '!G39</f>
        <v>0</v>
      </c>
      <c r="I30" s="643">
        <f>'4. T7 LAINAT '!I18+'4. T7 LAINAT '!J39</f>
        <v>0</v>
      </c>
      <c r="J30" s="643">
        <f>'4. T7 LAINAT '!L18+'4. T7 LAINAT '!M39</f>
        <v>0</v>
      </c>
      <c r="K30" s="644">
        <f>'4. T7 LAINAT '!O18+'4. T7 LAINAT '!P39</f>
        <v>0</v>
      </c>
      <c r="M30" s="1953" t="s">
        <v>323</v>
      </c>
      <c r="N30" s="1954"/>
      <c r="O30" s="1955"/>
      <c r="P30" s="652">
        <f>IF('3. T3 TASE '!F75=0,0,IF(P29&gt;2,"Hyvä",IF(P29&lt;1,"Heikko","Tyydyttävä")))</f>
        <v>0</v>
      </c>
      <c r="Q30" s="652">
        <f>IF('3. T3 TASE '!G75=0,0,IF(Q29&gt;2,"Hyvä",IF(Q29&lt;1,"Heikko","Tyydyttävä")))</f>
        <v>0</v>
      </c>
      <c r="R30" s="652">
        <f>IF('3. T3 TASE '!H75=0,0,IF(R29&gt;2,"Hyvä",IF(R29&lt;1,"Heikko","Tyydyttävä")))</f>
        <v>0</v>
      </c>
      <c r="S30" s="652">
        <f>IF('3. T3 TASE '!I75=0,0,IF(S29&gt;2,"Hyvä",IF(S29&lt;1,"Heikko","Tyydyttävä")))</f>
        <v>0</v>
      </c>
      <c r="T30" s="652">
        <f>IF('3. T3 TASE '!J75=0,0,IF(T29&gt;2,"Hyvä",IF(T29&lt;1,"Heikko","Tyydyttävä")))</f>
        <v>0</v>
      </c>
      <c r="U30" s="1034">
        <f>IF('3. T3 TASE '!K75=0,0,IF(U29&gt;2,"Hyvä",IF(U29&lt;1,"Heikko","Tyydyttävä")))</f>
        <v>0</v>
      </c>
    </row>
    <row r="31" spans="1:21" ht="12.75" customHeight="1">
      <c r="B31" s="196">
        <f t="shared" si="4"/>
        <v>15</v>
      </c>
      <c r="C31" s="531" t="s">
        <v>484</v>
      </c>
      <c r="D31" s="531"/>
      <c r="E31" s="228" t="s">
        <v>89</v>
      </c>
      <c r="F31" s="988"/>
      <c r="G31" s="988"/>
      <c r="H31" s="643">
        <f>-IF('3. T3 TASE '!H61-'3. T3 TASE '!G61&lt;0,'3. T3 TASE '!H61-'3. T3 TASE '!G61,0)</f>
        <v>0</v>
      </c>
      <c r="I31" s="643">
        <f>-IF('3. T3 TASE '!I61-'3. T3 TASE '!H61&lt;0,'3. T3 TASE '!I61-'3. T3 TASE '!H61,0)</f>
        <v>0</v>
      </c>
      <c r="J31" s="643">
        <f>-IF('3. T3 TASE '!J61-'3. T3 TASE '!I61&lt;0,'3. T3 TASE '!J61-'3. T3 TASE '!I61,0)</f>
        <v>0</v>
      </c>
      <c r="K31" s="644">
        <f>-IF('3. T3 TASE '!K61-'3. T3 TASE '!J61&lt;0,'3. T3 TASE '!K61-'3. T3 TASE '!J61,0)</f>
        <v>0</v>
      </c>
      <c r="M31" s="1947" t="s">
        <v>419</v>
      </c>
      <c r="N31" s="1948"/>
      <c r="O31" s="1949"/>
      <c r="P31" s="655"/>
      <c r="Q31" s="1066">
        <f>IF(G15=0,0,('3. T3 TASE '!G67/'8. T4 RAHOITUSSUUN. '!G15))</f>
        <v>0</v>
      </c>
      <c r="R31" s="650">
        <f>IF(H15=0,0,('AT2 Lainat,sotum., alv-osto'!N14+'AT2 Lainat,sotum., alv-osto'!N28)/'8. T4 RAHOITUSSUUN. '!H15)</f>
        <v>0</v>
      </c>
      <c r="S31" s="650">
        <f>IF(I15=0,0,('AT2 Lainat,sotum., alv-osto'!T14+'AT2 Lainat,sotum., alv-osto'!T28)/'8. T4 RAHOITUSSUUN. '!I15)</f>
        <v>0</v>
      </c>
      <c r="T31" s="650">
        <f>IF(J15=0,0,('AT2 Lainat,sotum., alv-osto'!Z14+'AT2 Lainat,sotum., alv-osto'!Z28)/'8. T4 RAHOITUSSUUN. '!J15)</f>
        <v>0</v>
      </c>
      <c r="U31" s="651">
        <f>IF(K15=0,0,('AT2 Lainat,sotum., alv-osto'!AF14+'AT2 Lainat,sotum., alv-osto'!AF28)/'8. T4 RAHOITUSSUUN. '!K15)</f>
        <v>0</v>
      </c>
    </row>
    <row r="32" spans="1:21" ht="12.75" customHeight="1">
      <c r="B32" s="196">
        <f t="shared" si="4"/>
        <v>16</v>
      </c>
      <c r="C32" s="531" t="s">
        <v>463</v>
      </c>
      <c r="D32" s="531"/>
      <c r="E32" s="228" t="s">
        <v>89</v>
      </c>
      <c r="F32" s="988"/>
      <c r="G32" s="988"/>
      <c r="H32" s="643">
        <f>-IF('3. T3 TASE '!H69-'3. T3 TASE '!G69&lt;0,'3. T3 TASE '!H69-'3. T3 TASE '!G69+'3. T3 TASE '!H70,0)</f>
        <v>0</v>
      </c>
      <c r="I32" s="643">
        <f>-IF('3. T3 TASE '!I69-'3. T3 TASE '!H69&lt;0,'3. T3 TASE '!I69-'3. T3 TASE '!H69+'3. T3 TASE '!I70,0)</f>
        <v>0</v>
      </c>
      <c r="J32" s="643">
        <f>-IF('3. T3 TASE '!J69-'3. T3 TASE '!I69&lt;0,'3. T3 TASE '!J69-'3. T3 TASE '!I69+'3. T3 TASE '!J70,0)</f>
        <v>0</v>
      </c>
      <c r="K32" s="644">
        <f>-IF('3. T3 TASE '!K69-'3. T3 TASE '!J69&lt;0,'3. T3 TASE '!K69-'3. T3 TASE '!J69+'3. T3 TASE '!K70,0)</f>
        <v>0</v>
      </c>
      <c r="M32" s="1947" t="s">
        <v>314</v>
      </c>
      <c r="N32" s="1948"/>
      <c r="O32" s="1949"/>
      <c r="P32" s="656"/>
      <c r="Q32" s="653">
        <f>IF('2. &amp; 7. T2 TULOSSUUN. '!G25+'3. T3 TASE '!G77=0,0,(G15-'2. &amp; 7. T2 TULOSSUUN. '!G25)/(-'2. &amp; 7. T2 TULOSSUUN. '!G25+'3. T3 TASE '!G77))</f>
        <v>0</v>
      </c>
      <c r="R32" s="653">
        <f>IF(-'2. &amp; 7. T2 TULOSSUUN. '!I25+'4. T7 LAINAT '!F18+'4. T7 LAINAT '!G39=0,0,(H15-'2. &amp; 7. T2 TULOSSUUN. '!I25)/(-'2. &amp; 7. T2 TULOSSUUN. '!I25+'4. T7 LAINAT '!F18+'4. T7 LAINAT '!G39))</f>
        <v>0</v>
      </c>
      <c r="S32" s="653">
        <f>IF(-'2. &amp; 7. T2 TULOSSUUN. '!K25+'4. T7 LAINAT '!I18+'4. T7 LAINAT '!J39=0,0,(I15-'2. &amp; 7. T2 TULOSSUUN. '!K25)/(-'2. &amp; 7. T2 TULOSSUUN. '!K25+'4. T7 LAINAT '!I18+'4. T7 LAINAT '!J39))</f>
        <v>0</v>
      </c>
      <c r="T32" s="653">
        <f>IF(-'2. &amp; 7. T2 TULOSSUUN. '!M25+'4. T7 LAINAT '!L18+'4. T7 LAINAT '!M39=0,0,(J15-'2. &amp; 7. T2 TULOSSUUN. '!M25)/(-'2. &amp; 7. T2 TULOSSUUN. '!M25+'4. T7 LAINAT '!L18+'4. T7 LAINAT '!M39))</f>
        <v>0</v>
      </c>
      <c r="U32" s="654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>
      <c r="B33" s="196">
        <f t="shared" si="4"/>
        <v>17</v>
      </c>
      <c r="C33" s="1965" t="s">
        <v>490</v>
      </c>
      <c r="D33" s="1965"/>
      <c r="E33" s="228" t="s">
        <v>89</v>
      </c>
      <c r="F33" s="988"/>
      <c r="G33" s="988"/>
      <c r="H33" s="643">
        <f>-IF('3. T3 TASE '!H72-'3. T3 TASE '!G72&lt;0,'3. T3 TASE '!H72-'3. T3 TASE '!G72,0)</f>
        <v>0</v>
      </c>
      <c r="I33" s="643">
        <f>-IF('3. T3 TASE '!I72-'3. T3 TASE '!H72&lt;0,'3. T3 TASE '!I72-'3. T3 TASE '!H72,0)</f>
        <v>0</v>
      </c>
      <c r="J33" s="643">
        <f>-IF('3. T3 TASE '!J72-'3. T3 TASE '!I72&lt;0,'3. T3 TASE '!J72-'3. T3 TASE '!I72,0)</f>
        <v>0</v>
      </c>
      <c r="K33" s="644">
        <f>-IF('3. T3 TASE '!K72-'3. T3 TASE '!J72&lt;0,'3. T3 TASE '!K72-'3. T3 TASE '!J72,0)</f>
        <v>0</v>
      </c>
      <c r="M33" s="1953" t="s">
        <v>666</v>
      </c>
      <c r="N33" s="1954"/>
      <c r="O33" s="1955"/>
      <c r="P33" s="657"/>
      <c r="Q33" s="652">
        <f>IF('2. &amp; 7. T2 TULOSSUUN. '!G25+'3. T3 TASE '!G77=0,0,IF(Q32&gt;2,"Hyvä",IF(Q32&lt;1,"Heikko","Tyydyttävä")))</f>
        <v>0</v>
      </c>
      <c r="R33" s="652">
        <f>IF('2. &amp; 7. T2 TULOSSUUN. '!I25+'4. T7 LAINAT '!F18+'4. T7 LAINAT '!G39=0,0,IF(R32&gt;2,"Hyvä",IF(R32&lt;1,"Heikko","Tyydyttävä")))</f>
        <v>0</v>
      </c>
      <c r="S33" s="652">
        <f>IF('2. &amp; 7. T2 TULOSSUUN. '!K25+'4. T7 LAINAT '!I18+'4. T7 LAINAT '!J39=0,0,IF(S32&gt;2,"Hyvä",IF(S32&lt;1,"Heikko","Tyydyttävä")))</f>
        <v>0</v>
      </c>
      <c r="T33" s="652">
        <f>IF('2. &amp; 7. T2 TULOSSUUN. '!M25+'4. T7 LAINAT '!L18+'4. T7 LAINAT '!M39=0,0,IF(T32&gt;2,"Hyvä",IF(T32&lt;1,"Heikko","Tyydyttävä")))</f>
        <v>0</v>
      </c>
      <c r="U33" s="1034">
        <f>IF('2. &amp; 7. T2 TULOSSUUN. '!O25+'4. T7 LAINAT '!O18+'4. T7 LAINAT '!P39=0,0,IF(U32&gt;2,"Hyvä",IF(U32&lt;1,"Heikko","Tyydyttävä")))</f>
        <v>0</v>
      </c>
    </row>
    <row r="34" spans="2:23" ht="12.75" customHeight="1">
      <c r="B34" s="196">
        <f t="shared" si="4"/>
        <v>18</v>
      </c>
      <c r="C34" s="1965" t="s">
        <v>466</v>
      </c>
      <c r="D34" s="1965"/>
      <c r="E34" s="228" t="s">
        <v>89</v>
      </c>
      <c r="F34" s="988"/>
      <c r="G34" s="988"/>
      <c r="H34" s="643">
        <f>-IF('3. T3 TASE '!H74-'3. T3 TASE '!G74&lt;0,'3. T3 TASE '!H74-'3. T3 TASE '!G74,0)</f>
        <v>0</v>
      </c>
      <c r="I34" s="643">
        <f>-IF('3. T3 TASE '!I74-'3. T3 TASE '!H74&lt;0,'3. T3 TASE '!I74-'3. T3 TASE '!H74,0)</f>
        <v>0</v>
      </c>
      <c r="J34" s="643">
        <f>-IF('3. T3 TASE '!J74-'3. T3 TASE '!I74&lt;0,'3. T3 TASE '!J74-'3. T3 TASE '!I74,0)</f>
        <v>0</v>
      </c>
      <c r="K34" s="644">
        <f>-IF('3. T3 TASE '!K74-'3. T3 TASE '!J74&lt;0,'3. T3 TASE '!K74-'3. T3 TASE '!J74,0)</f>
        <v>0</v>
      </c>
      <c r="M34" s="166" t="s">
        <v>541</v>
      </c>
      <c r="N34" s="140"/>
      <c r="O34" s="140"/>
      <c r="P34" s="142"/>
      <c r="Q34" s="142"/>
      <c r="R34" s="142"/>
      <c r="S34" s="142"/>
      <c r="T34" s="142"/>
      <c r="U34" s="645"/>
    </row>
    <row r="35" spans="2:23" ht="12.75" customHeight="1">
      <c r="B35" s="196">
        <f t="shared" si="4"/>
        <v>19</v>
      </c>
      <c r="C35" s="1821" t="s">
        <v>757</v>
      </c>
      <c r="D35" s="1821"/>
      <c r="E35" s="343" t="s">
        <v>96</v>
      </c>
      <c r="F35" s="988"/>
      <c r="G35" s="988"/>
      <c r="H35" s="663">
        <v>0</v>
      </c>
      <c r="I35" s="663">
        <v>0</v>
      </c>
      <c r="J35" s="663">
        <v>0</v>
      </c>
      <c r="K35" s="664">
        <v>0</v>
      </c>
      <c r="M35" s="1962" t="s">
        <v>299</v>
      </c>
      <c r="N35" s="1963"/>
      <c r="O35" s="1964"/>
      <c r="P35" s="648">
        <f>IF('3. T3 TASE '!F98=0,0,IF('3. T3 TASE '!F98&lt;0,0,'3. T3 TASE '!F56/('3. T3 TASE '!F98-'3. T3 TASE '!F96)))</f>
        <v>0</v>
      </c>
      <c r="Q35" s="648">
        <f>IF('3. T3 TASE '!G98=0,0,IF('3. T3 TASE '!G98&lt;0,0,'3. T3 TASE '!G56/('3. T3 TASE '!G98-'3. T3 TASE '!G96)))</f>
        <v>0</v>
      </c>
      <c r="R35" s="648">
        <f>IF('3. T3 TASE '!H98=0,0,IF('3. T3 TASE '!H98&lt;0,0,'3. T3 TASE '!H56/('3. T3 TASE '!H98-'3. T3 TASE '!H96)))</f>
        <v>0</v>
      </c>
      <c r="S35" s="648">
        <f>IF('3. T3 TASE '!I98=0,0,IF('3. T3 TASE '!I98&lt;0,0,'3. T3 TASE '!I56/('3. T3 TASE '!I98-'3. T3 TASE '!I96)))</f>
        <v>0</v>
      </c>
      <c r="T35" s="648">
        <f>IF('3. T3 TASE '!J98=0,0,IF('3. T3 TASE '!J98&lt;0,0,'3. T3 TASE '!J56/('3. T3 TASE '!J98-'3. T3 TASE '!J96)))</f>
        <v>0</v>
      </c>
      <c r="U35" s="649">
        <f>IF('3. T3 TASE '!K98=0,0,IF('3. T3 TASE '!K98&lt;0,0,'3. T3 TASE '!K56/('3. T3 TASE '!K98-'3. T3 TASE '!K96)))</f>
        <v>0</v>
      </c>
    </row>
    <row r="36" spans="2:23" ht="12.75" customHeight="1">
      <c r="B36" s="196">
        <f t="shared" si="4"/>
        <v>20</v>
      </c>
      <c r="C36" s="1821" t="s">
        <v>234</v>
      </c>
      <c r="D36" s="1821"/>
      <c r="E36" s="228" t="s">
        <v>89</v>
      </c>
      <c r="F36" s="988"/>
      <c r="G36" s="988"/>
      <c r="H36" s="643">
        <f>'4. T7 LAINAT '!$F$19+'4. T7 LAINAT '!G45</f>
        <v>0</v>
      </c>
      <c r="I36" s="643">
        <f>'4. T7 LAINAT '!I19+'4. T7 LAINAT '!J45</f>
        <v>0</v>
      </c>
      <c r="J36" s="643">
        <f>'4. T7 LAINAT '!L19+'4. T7 LAINAT '!M45</f>
        <v>0</v>
      </c>
      <c r="K36" s="644">
        <f>'4. T7 LAINAT '!O19+'4. T7 LAINAT '!P45</f>
        <v>0</v>
      </c>
      <c r="M36" s="1953" t="s">
        <v>666</v>
      </c>
      <c r="N36" s="1954"/>
      <c r="O36" s="1955"/>
      <c r="P36" s="652">
        <f>IF('3. T3 TASE '!F98=0,0,IF(P35&gt;40%,"Hyvä",IF(P35&lt;20%,"Heikko","Tyydyttävä")))</f>
        <v>0</v>
      </c>
      <c r="Q36" s="652">
        <f>IF('3. T3 TASE '!G98=0,0,IF(Q35&gt;40%,"Hyvä",IF(Q35&lt;20%,"Heikko","Tyydyttävä")))</f>
        <v>0</v>
      </c>
      <c r="R36" s="652">
        <f>IF('3. T3 TASE '!H98=0,0,IF(R35&gt;40%,"Hyvä",IF(R35&lt;20%,"Heikko","Tyydyttävä")))</f>
        <v>0</v>
      </c>
      <c r="S36" s="652">
        <f>IF('3. T3 TASE '!I98=0,0,IF(S35&gt;40%,"Hyvä",IF(S35&lt;20%,"Heikko","Tyydyttävä")))</f>
        <v>0</v>
      </c>
      <c r="T36" s="652">
        <f>IF('3. T3 TASE '!J98=0,0,IF(T35&gt;40%,"Hyvä",IF(T35&lt;20%,"Heikko","Tyydyttävä")))</f>
        <v>0</v>
      </c>
      <c r="U36" s="1034">
        <f>IF('3. T3 TASE '!K98=0,0,IF(U35&gt;40%,"Hyvä",IF(U35&lt;20%,"Heikko","Tyydyttävä")))</f>
        <v>0</v>
      </c>
    </row>
    <row r="37" spans="2:23" ht="12.75" customHeight="1">
      <c r="B37" s="196">
        <f t="shared" si="4"/>
        <v>21</v>
      </c>
      <c r="C37" s="1821" t="s">
        <v>341</v>
      </c>
      <c r="D37" s="1821"/>
      <c r="E37" s="343" t="s">
        <v>96</v>
      </c>
      <c r="F37" s="988"/>
      <c r="G37" s="988"/>
      <c r="H37" s="643">
        <f>'3. T3 TASE '!H84+'3. T3 TASE '!H91-'3. T3 TASE '!G84-'3. T3 TASE '!G91</f>
        <v>0</v>
      </c>
      <c r="I37" s="643">
        <f>'3. T3 TASE '!I84+'3. T3 TASE '!I91-'3. T3 TASE '!H84-'3. T3 TASE '!H91</f>
        <v>0</v>
      </c>
      <c r="J37" s="643">
        <f>'3. T3 TASE '!J84+'3. T3 TASE '!J91-'3. T3 TASE '!I84-'3. T3 TASE '!I91</f>
        <v>0</v>
      </c>
      <c r="K37" s="644">
        <f>'3. T3 TASE '!K84+'3. T3 TASE '!K91-'3. T3 TASE '!J84-'3. T3 TASE '!J91</f>
        <v>0</v>
      </c>
      <c r="M37" s="1944" t="s">
        <v>485</v>
      </c>
      <c r="N37" s="1945"/>
      <c r="O37" s="1946"/>
      <c r="P37" s="658">
        <f>IF(P80=0,0,(P86-P87)/P76)</f>
        <v>0</v>
      </c>
      <c r="Q37" s="658">
        <f t="shared" ref="Q37:U37" si="5">IF(Q80=0,0,(Q86-Q87)/Q76)</f>
        <v>0</v>
      </c>
      <c r="R37" s="1097">
        <f t="shared" si="5"/>
        <v>0</v>
      </c>
      <c r="S37" s="1097">
        <f t="shared" si="5"/>
        <v>0</v>
      </c>
      <c r="T37" s="1097">
        <f t="shared" si="5"/>
        <v>0</v>
      </c>
      <c r="U37" s="1104">
        <f t="shared" si="5"/>
        <v>0</v>
      </c>
    </row>
    <row r="38" spans="2:23" ht="12.75" customHeight="1">
      <c r="B38" s="196">
        <f t="shared" si="4"/>
        <v>22</v>
      </c>
      <c r="C38" s="1821" t="s">
        <v>121</v>
      </c>
      <c r="D38" s="1821"/>
      <c r="E38" s="228" t="s">
        <v>89</v>
      </c>
      <c r="F38" s="723"/>
      <c r="G38" s="723"/>
      <c r="H38" s="643">
        <f>-IF('3. T3 TASE '!H78-'3. T3 TASE '!G78&lt;0,'3. T3 TASE '!H78-'3. T3 TASE '!G78,0)-IF('3. T3 TASE '!H79-'3. T3 TASE '!G79&lt;0,'3. T3 TASE '!H79-'3. T3 TASE '!G79,0)</f>
        <v>0</v>
      </c>
      <c r="I38" s="643">
        <f>-IF('3. T3 TASE '!I78-'3. T3 TASE '!H78&lt;0,'3. T3 TASE '!I78-'3. T3 TASE '!H78,0)-IF('3. T3 TASE '!I79-'3. T3 TASE '!H79&lt;0,'3. T3 TASE '!I79-'3. T3 TASE '!H79,0)</f>
        <v>0</v>
      </c>
      <c r="J38" s="643">
        <f>-IF('3. T3 TASE '!J78-'3. T3 TASE '!I78&lt;0,'3. T3 TASE '!J78-'3. T3 TASE '!I78,0)-IF('3. T3 TASE '!J79-'3. T3 TASE '!I79&lt;0,'3. T3 TASE '!J79-'3. T3 TASE '!I79,0)</f>
        <v>0</v>
      </c>
      <c r="K38" s="644">
        <f>-IF('3. T3 TASE '!K78-'3. T3 TASE '!J78&lt;0,'3. T3 TASE '!K78-'3. T3 TASE '!J78,0)-IF('3. T3 TASE '!K79-'3. T3 TASE '!J79&lt;0,'3. T3 TASE '!K79-'3. T3 TASE '!J79,0)</f>
        <v>0</v>
      </c>
      <c r="M38" s="381"/>
      <c r="N38" s="1033" t="s">
        <v>323</v>
      </c>
      <c r="O38" s="380"/>
      <c r="P38" s="652" t="str">
        <f>IF('3. T3 TASE '!F98=0,"",IF('3. T3 TASE '!F56&lt;0,"Heikko",IF(P37&lt;0,"Nettovelaton",IF(P37&gt;1,"","Hyvä"))))</f>
        <v/>
      </c>
      <c r="Q38" s="652" t="str">
        <f>IF('3. T3 TASE '!G98=0,"",IF('3. T3 TASE '!G56&lt;0,"Heikko",IF(Q37&lt;0,"Nettovelaton",IF(Q37&gt;1,"","Hyvä"))))</f>
        <v/>
      </c>
      <c r="R38" s="652" t="str">
        <f>IF('3. T3 TASE '!H98=0,"",IF('3. T3 TASE '!H56&lt;0,"Heikko",IF(R37&lt;0,"Nettovelaton",IF(R37&gt;1,"","Hyvä"))))</f>
        <v/>
      </c>
      <c r="S38" s="652" t="str">
        <f>IF('3. T3 TASE '!I98=0,"",IF('3. T3 TASE '!I56&lt;0,"Heikko",IF(S37&lt;0,"Nettovelaton",IF(S37&gt;1,"","Hyvä"))))</f>
        <v/>
      </c>
      <c r="T38" s="652" t="str">
        <f>IF('3. T3 TASE '!J98=0,"",IF('3. T3 TASE '!J56&lt;0,"Heikko",IF(T37&lt;0,"Nettovelaton",IF(T37&gt;1,"","Hyvä"))))</f>
        <v/>
      </c>
      <c r="U38" s="1034" t="str">
        <f>IF('3. T3 TASE '!K98=0,"",IF('3. T3 TASE '!K56&lt;0,"Heikko",IF(U37&lt;0,"Nettovelaton",IF(U37&gt;1,"","Hyvä"))))</f>
        <v/>
      </c>
      <c r="W38" s="315"/>
    </row>
    <row r="39" spans="2:23" ht="12.75" customHeight="1">
      <c r="B39" s="196">
        <f t="shared" si="4"/>
        <v>23</v>
      </c>
      <c r="C39" s="1821" t="s">
        <v>725</v>
      </c>
      <c r="D39" s="1821"/>
      <c r="E39" s="228" t="s">
        <v>89</v>
      </c>
      <c r="F39" s="988"/>
      <c r="G39" s="988"/>
      <c r="H39" s="663">
        <f>R50</f>
        <v>0</v>
      </c>
      <c r="I39" s="663">
        <f>S50</f>
        <v>0</v>
      </c>
      <c r="J39" s="663">
        <f>T50</f>
        <v>0</v>
      </c>
      <c r="K39" s="664">
        <f>U50</f>
        <v>0</v>
      </c>
      <c r="M39" s="354" t="s">
        <v>542</v>
      </c>
      <c r="N39" s="128"/>
      <c r="O39" s="128"/>
      <c r="P39" s="134"/>
      <c r="Q39" s="134"/>
      <c r="R39" s="134"/>
      <c r="S39" s="134"/>
      <c r="T39" s="134"/>
      <c r="U39" s="659"/>
    </row>
    <row r="40" spans="2:23" ht="12.75" customHeight="1">
      <c r="B40" s="196">
        <f t="shared" si="4"/>
        <v>24</v>
      </c>
      <c r="C40" s="1821" t="s">
        <v>208</v>
      </c>
      <c r="D40" s="1821"/>
      <c r="E40" s="343" t="s">
        <v>89</v>
      </c>
      <c r="F40" s="723"/>
      <c r="G40" s="723"/>
      <c r="H40" s="643">
        <f>'3. T3 TASE '!H35</f>
        <v>0</v>
      </c>
      <c r="I40" s="643">
        <f>'3. T3 TASE '!I35</f>
        <v>0</v>
      </c>
      <c r="J40" s="643">
        <f>'3. T3 TASE '!J35</f>
        <v>0</v>
      </c>
      <c r="K40" s="644">
        <f>'3. T3 TASE '!K35</f>
        <v>0</v>
      </c>
      <c r="M40" s="501" t="s">
        <v>315</v>
      </c>
      <c r="N40" s="502"/>
      <c r="O40" s="502"/>
      <c r="P40" s="656"/>
      <c r="Q40" s="656"/>
      <c r="R40" s="660">
        <f>('5. E1 KUSTANNUKSET '!F11+'5. E1 KUSTANNUKSET '!F32-'5. E1 KUSTANNUKSET '!F38+'5. E1 KUSTANNUKSET '!F39)/'2. &amp; 7. T2 TULOSSUUN. '!I33</f>
        <v>0</v>
      </c>
      <c r="S40" s="660">
        <f>('5. E1 KUSTANNUKSET '!H11+'5. E1 KUSTANNUKSET '!H32-'5. E1 KUSTANNUKSET '!H38+'5. E1 KUSTANNUKSET '!H39)/'2. &amp; 7. T2 TULOSSUUN. '!K33</f>
        <v>0</v>
      </c>
      <c r="T40" s="660">
        <f>('5. E1 KUSTANNUKSET '!J11+'5. E1 KUSTANNUKSET '!J32-'5. E1 KUSTANNUKSET '!J38+'5. E1 KUSTANNUKSET '!J39)/'2. &amp; 7. T2 TULOSSUUN. '!M33</f>
        <v>0</v>
      </c>
      <c r="U40" s="661">
        <f>('5. E1 KUSTANNUKSET '!L11+'5. E1 KUSTANNUKSET '!L32-'5. E1 KUSTANNUKSET '!L38+'5. E1 KUSTANNUKSET '!L39)/'2. &amp; 7. T2 TULOSSUUN. '!O33</f>
        <v>0</v>
      </c>
    </row>
    <row r="41" spans="2:23" ht="12.75" customHeight="1">
      <c r="B41" s="196">
        <f t="shared" si="4"/>
        <v>25</v>
      </c>
      <c r="C41" s="329" t="s">
        <v>18</v>
      </c>
      <c r="D41" s="322"/>
      <c r="E41" s="456"/>
      <c r="F41" s="988"/>
      <c r="G41" s="988"/>
      <c r="H41" s="643">
        <f>H24+H25+H26+H27+H28+H29+H30+H36-H37+H38+H39+H40+H35+H31+H32+H33+H34</f>
        <v>0</v>
      </c>
      <c r="I41" s="643">
        <f>I24+I25+I26+I27+I28+I29+I30+I36-I37+I38+I39+I40+I35+I31+I32+I33+I34</f>
        <v>0</v>
      </c>
      <c r="J41" s="643">
        <f>J24+J25+J26+J27+J28+J29+J30+J36-J37+J38+J39+J40+J35+J31+J32+J33+J34</f>
        <v>0</v>
      </c>
      <c r="K41" s="644">
        <f>K24+K25+K26+K27+K28+K29+K30+K36-K37+K38+K39+K40+K35+K31+K32+K33+K34</f>
        <v>0</v>
      </c>
      <c r="M41" s="503" t="s">
        <v>316</v>
      </c>
      <c r="N41" s="504"/>
      <c r="O41" s="504"/>
      <c r="P41" s="662">
        <v>0</v>
      </c>
      <c r="Q41" s="656"/>
      <c r="R41" s="643">
        <f>R40+('5. E1 KUSTANNUKSET '!E38+'5. E1 KUSTANNUKSET '!E46)/'2. &amp; 7. T2 TULOSSUUN. '!I33</f>
        <v>0</v>
      </c>
      <c r="S41" s="643">
        <f>S40+('5. E1 KUSTANNUKSET '!F38+'5. E1 KUSTANNUKSET '!F46)/'2. &amp; 7. T2 TULOSSUUN. '!K33</f>
        <v>0</v>
      </c>
      <c r="T41" s="643">
        <f>T40+('5. E1 KUSTANNUKSET '!G38+'5. E1 KUSTANNUKSET '!G46)/'2. &amp; 7. T2 TULOSSUUN. '!M33</f>
        <v>0</v>
      </c>
      <c r="U41" s="644">
        <f>U40+('5. E1 KUSTANNUKSET '!H38+'5. E1 KUSTANNUKSET '!H46)/'2. &amp; 7. T2 TULOSSUUN. '!O33</f>
        <v>0</v>
      </c>
    </row>
    <row r="42" spans="2:23" ht="12.75" customHeight="1" thickBot="1">
      <c r="B42" s="344">
        <f t="shared" si="4"/>
        <v>26</v>
      </c>
      <c r="C42" s="457" t="s">
        <v>469</v>
      </c>
      <c r="D42" s="457"/>
      <c r="E42" s="458"/>
      <c r="F42" s="738"/>
      <c r="G42" s="738"/>
      <c r="H42" s="739">
        <f>H21-H41</f>
        <v>0</v>
      </c>
      <c r="I42" s="739">
        <f>I21-I41</f>
        <v>0</v>
      </c>
      <c r="J42" s="739">
        <f>J21-J41</f>
        <v>0</v>
      </c>
      <c r="K42" s="740">
        <f>K21-K41</f>
        <v>0</v>
      </c>
      <c r="M42" s="509" t="s">
        <v>423</v>
      </c>
      <c r="P42" s="769">
        <f>IF('2. &amp; 7. T2 TULOSSUUN. '!E14=0,0,1.77*100*F15/'2. &amp; 7. T2 TULOSSUUN. '!E14+14.14*P27+0.54*P35)</f>
        <v>0</v>
      </c>
      <c r="Q42" s="769">
        <f>IF('2. &amp; 7. T2 TULOSSUUN. '!G14=0,0,1.77*100*G15/'2. &amp; 7. T2 TULOSSUUN. '!G14+14.14*Q27+0.54*Q35)</f>
        <v>0</v>
      </c>
      <c r="R42" s="769">
        <f>IF('2. &amp; 7. T2 TULOSSUUN. '!I14=0,0,1.77*100*H15/'2. &amp; 7. T2 TULOSSUUN. '!I14+14.14*R27+0.54*R35)</f>
        <v>0</v>
      </c>
      <c r="S42" s="769">
        <f>IF('2. &amp; 7. T2 TULOSSUUN. '!K14=0,0,1.77*100*I15/'2. &amp; 7. T2 TULOSSUUN. '!K14+14.14*S27+0.54*S35)</f>
        <v>0</v>
      </c>
      <c r="T42" s="769">
        <f>IF('2. &amp; 7. T2 TULOSSUUN. '!M14=0,0,1.77*100*J15/'2. &amp; 7. T2 TULOSSUUN. '!M14+14.14*T27+0.54*T35)</f>
        <v>0</v>
      </c>
      <c r="U42" s="1051">
        <f>IF('2. &amp; 7. T2 TULOSSUUN. '!O14=0,0,1.77*100*K15/'2. &amp; 7. T2 TULOSSUUN. '!O14+14.14*U27+0.54*U35)</f>
        <v>0</v>
      </c>
    </row>
    <row r="43" spans="2:23" ht="12.75" customHeight="1" thickBot="1">
      <c r="B43" s="196">
        <f t="shared" si="4"/>
        <v>27</v>
      </c>
      <c r="C43" s="360" t="s">
        <v>116</v>
      </c>
      <c r="D43" s="453">
        <v>0</v>
      </c>
      <c r="E43" s="361"/>
      <c r="F43" s="741">
        <f>'3. T3 TASE '!F49</f>
        <v>0</v>
      </c>
      <c r="G43" s="741">
        <f>'3. T3 TASE '!G49</f>
        <v>0</v>
      </c>
      <c r="H43" s="741">
        <f>H42+G43</f>
        <v>0</v>
      </c>
      <c r="I43" s="741">
        <f>I42+H43</f>
        <v>0</v>
      </c>
      <c r="J43" s="741">
        <f>J42+I43</f>
        <v>0</v>
      </c>
      <c r="K43" s="742">
        <f>K42+J43</f>
        <v>0</v>
      </c>
      <c r="M43" s="1953" t="s">
        <v>666</v>
      </c>
      <c r="N43" s="1954"/>
      <c r="O43" s="1955"/>
      <c r="P43" s="652">
        <f>IF('2. &amp; 7. T2 TULOSSUUN. '!E14=0,0,IF(P42&gt;28,"Hyvä",IF(P42&lt;18,"Heikko","Tyydyttävä")))</f>
        <v>0</v>
      </c>
      <c r="Q43" s="652">
        <f>IF('2. &amp; 7. T2 TULOSSUUN. '!G14=0,0,IF(Q42&gt;28,"Hyvä",IF(Q42&lt;18,"Heikko","Tyydyttävä")))</f>
        <v>0</v>
      </c>
      <c r="R43" s="652">
        <f>IF('2. &amp; 7. T2 TULOSSUUN. '!I14=0,0,IF(R42&gt;28,"Hyvä",IF(R42&lt;18,"Heikko","Tyydyttävä")))</f>
        <v>0</v>
      </c>
      <c r="S43" s="652">
        <f>IF('2. &amp; 7. T2 TULOSSUUN. '!K14=0,0,IF(S42&gt;28,"Hyvä",IF(S42&lt;18,"Heikko","Tyydyttävä")))</f>
        <v>0</v>
      </c>
      <c r="T43" s="652">
        <f>IF('2. &amp; 7. T2 TULOSSUUN. '!M14=0,0,IF(T42&gt;28,"Hyvä",IF(T42&lt;18,"Heikko","Tyydyttävä")))</f>
        <v>0</v>
      </c>
      <c r="U43" s="1034">
        <f>IF('2. &amp; 7. T2 TULOSSUUN. '!O14=0,0,IF(U42&gt;28,"Hyvä",IF(U42&lt;18,"Heikko","Tyydyttävä")))</f>
        <v>0</v>
      </c>
    </row>
    <row r="44" spans="2:23" ht="16.95" customHeight="1" thickBot="1">
      <c r="B44" s="81"/>
      <c r="C44" s="1986" t="s">
        <v>417</v>
      </c>
      <c r="D44" s="1986"/>
      <c r="E44" s="1987"/>
      <c r="F44" s="1049">
        <v>0</v>
      </c>
      <c r="G44" s="1049">
        <f>IF('5. E1 KUSTANNUKSET '!D45=0,0,G43/'5. E1 KUSTANNUKSET '!D45*365)</f>
        <v>0</v>
      </c>
      <c r="H44" s="1049">
        <f>IF('5. E1 KUSTANNUKSET '!F45=0,0,H43/'5. E1 KUSTANNUKSET '!F45*365)</f>
        <v>0</v>
      </c>
      <c r="I44" s="1049">
        <f>IF('5. E1 KUSTANNUKSET '!H45=0,0,I43/'5. E1 KUSTANNUKSET '!H45*365)</f>
        <v>0</v>
      </c>
      <c r="J44" s="1049">
        <f>IF('5. E1 KUSTANNUKSET '!J45=0,0,J43/'5. E1 KUSTANNUKSET '!J45*365)</f>
        <v>0</v>
      </c>
      <c r="K44" s="1050">
        <f>IF('5. E1 KUSTANNUKSET '!L45=0,0,K43/'5. E1 KUSTANNUKSET '!L45*365)</f>
        <v>0</v>
      </c>
      <c r="M44" s="358" t="s">
        <v>543</v>
      </c>
      <c r="N44" s="362"/>
      <c r="O44" s="362"/>
      <c r="P44" s="1249">
        <f>'8. T4 RAHOITUSSUUN. '!F11</f>
        <v>2023</v>
      </c>
      <c r="Q44" s="1249">
        <f>'8. T4 RAHOITUSSUUN. '!G11</f>
        <v>2024</v>
      </c>
      <c r="R44" s="1249">
        <f>'8. T4 RAHOITUSSUUN. '!H11</f>
        <v>2025</v>
      </c>
      <c r="S44" s="1249">
        <f>'8. T4 RAHOITUSSUUN. '!I11</f>
        <v>2026</v>
      </c>
      <c r="T44" s="1249">
        <f>'8. T4 RAHOITUSSUUN. '!J11</f>
        <v>2027</v>
      </c>
      <c r="U44" s="1250">
        <f>'8. T4 RAHOITUSSUUN. '!K11</f>
        <v>2028</v>
      </c>
    </row>
    <row r="45" spans="2:23" ht="13.2" customHeight="1" thickBot="1">
      <c r="B45" s="245"/>
      <c r="C45" s="51"/>
      <c r="D45" s="51"/>
      <c r="E45" s="51"/>
      <c r="F45" s="51"/>
      <c r="G45" s="278"/>
      <c r="H45" s="353"/>
      <c r="I45" s="353"/>
      <c r="J45" s="353"/>
      <c r="K45" s="353"/>
      <c r="L45" s="2"/>
      <c r="M45" s="501" t="s">
        <v>285</v>
      </c>
      <c r="N45" s="318"/>
      <c r="O45" s="318"/>
      <c r="P45" s="643">
        <f>'3. T3 TASE '!F98</f>
        <v>0</v>
      </c>
      <c r="Q45" s="643">
        <f>'3. T3 TASE '!G98</f>
        <v>0</v>
      </c>
      <c r="R45" s="643">
        <f>'3. T3 TASE '!H98</f>
        <v>0</v>
      </c>
      <c r="S45" s="643">
        <f>'3. T3 TASE '!I98</f>
        <v>0</v>
      </c>
      <c r="T45" s="643">
        <f>'3. T3 TASE '!J98</f>
        <v>0</v>
      </c>
      <c r="U45" s="644">
        <f>'3. T3 TASE '!K98</f>
        <v>0</v>
      </c>
    </row>
    <row r="46" spans="2:23" ht="12.75" customHeight="1">
      <c r="B46" s="1988" t="s">
        <v>347</v>
      </c>
      <c r="C46" s="1989"/>
      <c r="D46" s="1989"/>
      <c r="E46" s="1990"/>
      <c r="F46" s="1245" t="str">
        <f t="shared" ref="F46:K46" si="6">F10</f>
        <v>Tot. tilikausi</v>
      </c>
      <c r="G46" s="1245" t="str">
        <f t="shared" si="6"/>
        <v>Tot. tilikausi</v>
      </c>
      <c r="H46" s="1246" t="str">
        <f t="shared" si="6"/>
        <v>Ennuste 1</v>
      </c>
      <c r="I46" s="1246" t="str">
        <f t="shared" si="6"/>
        <v>Ennuste 2</v>
      </c>
      <c r="J46" s="1246" t="str">
        <f t="shared" si="6"/>
        <v>Ennuste 3</v>
      </c>
      <c r="K46" s="1247" t="str">
        <f t="shared" si="6"/>
        <v>Ennuste 4</v>
      </c>
      <c r="M46" s="503" t="s">
        <v>450</v>
      </c>
      <c r="N46" s="319"/>
      <c r="O46" s="319"/>
      <c r="P46" s="643">
        <f>-('3. T3 TASE '!F67+'3. T3 TASE '!F75)</f>
        <v>0</v>
      </c>
      <c r="Q46" s="643">
        <f>-('3. T3 TASE '!G67+'3. T3 TASE '!G75)</f>
        <v>0</v>
      </c>
      <c r="R46" s="643">
        <f>-('3. T3 TASE '!H67+'3. T3 TASE '!H75)</f>
        <v>0</v>
      </c>
      <c r="S46" s="643">
        <f>-('3. T3 TASE '!I67+'3. T3 TASE '!I75)</f>
        <v>0</v>
      </c>
      <c r="T46" s="643">
        <f>-('3. T3 TASE '!J67+'3. T3 TASE '!J75)</f>
        <v>0</v>
      </c>
      <c r="U46" s="644">
        <f>-('3. T3 TASE '!K67+'3. T3 TASE '!K75)</f>
        <v>0</v>
      </c>
    </row>
    <row r="47" spans="2:23" ht="12.75" customHeight="1">
      <c r="B47" s="1991"/>
      <c r="C47" s="1992"/>
      <c r="D47" s="1992"/>
      <c r="E47" s="1993"/>
      <c r="F47" s="1248">
        <f t="shared" ref="F47:K47" si="7">F11</f>
        <v>2023</v>
      </c>
      <c r="G47" s="1248">
        <f t="shared" si="7"/>
        <v>2024</v>
      </c>
      <c r="H47" s="1239">
        <f t="shared" si="7"/>
        <v>2025</v>
      </c>
      <c r="I47" s="1239">
        <f t="shared" si="7"/>
        <v>2026</v>
      </c>
      <c r="J47" s="1239">
        <f t="shared" si="7"/>
        <v>2027</v>
      </c>
      <c r="K47" s="1240">
        <f t="shared" si="7"/>
        <v>2028</v>
      </c>
      <c r="M47" s="503" t="s">
        <v>451</v>
      </c>
      <c r="N47" s="504"/>
      <c r="O47" s="504"/>
      <c r="P47" s="663">
        <v>0</v>
      </c>
      <c r="Q47" s="663">
        <v>0</v>
      </c>
      <c r="R47" s="663">
        <v>0</v>
      </c>
      <c r="S47" s="663">
        <v>0</v>
      </c>
      <c r="T47" s="663">
        <v>0</v>
      </c>
      <c r="U47" s="664">
        <v>0</v>
      </c>
    </row>
    <row r="48" spans="2:23" ht="12.75" customHeight="1" thickBot="1">
      <c r="B48" s="1994"/>
      <c r="C48" s="1995"/>
      <c r="D48" s="1995"/>
      <c r="E48" s="1996"/>
      <c r="F48" s="1243" t="s">
        <v>17</v>
      </c>
      <c r="G48" s="1243" t="s">
        <v>17</v>
      </c>
      <c r="H48" s="1243" t="str">
        <f>G48</f>
        <v>Euroa</v>
      </c>
      <c r="I48" s="1243" t="str">
        <f>H48</f>
        <v>Euroa</v>
      </c>
      <c r="J48" s="1243" t="str">
        <f>I48</f>
        <v>Euroa</v>
      </c>
      <c r="K48" s="1244" t="str">
        <f>J48</f>
        <v>Euroa</v>
      </c>
      <c r="M48" s="503" t="s">
        <v>452</v>
      </c>
      <c r="N48" s="504"/>
      <c r="O48" s="504"/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4">
        <v>0</v>
      </c>
    </row>
    <row r="49" spans="1:30" ht="12.75" customHeight="1">
      <c r="B49" s="196">
        <v>28</v>
      </c>
      <c r="C49" s="1836" t="s">
        <v>117</v>
      </c>
      <c r="D49" s="1836"/>
      <c r="E49" s="1662" t="s">
        <v>89</v>
      </c>
      <c r="F49" s="665">
        <f>'3. T3 TASE '!F39</f>
        <v>0</v>
      </c>
      <c r="G49" s="665">
        <f>'3. T3 TASE '!G39</f>
        <v>0</v>
      </c>
      <c r="H49" s="665">
        <f>IF('2. &amp; 7. T2 TULOSSUUN. '!I15=0,0,'2. &amp; 7. T2 TULOSSUUN. '!I11*'8. T4 RAHOITUSSUUN. '!H50)</f>
        <v>0</v>
      </c>
      <c r="I49" s="1639">
        <f>IF('2. &amp; 7. T2 TULOSSUUN. '!K15=0,0,'2. &amp; 7. T2 TULOSSUUN. '!K11*'8. T4 RAHOITUSSUUN. '!I50)</f>
        <v>0</v>
      </c>
      <c r="J49" s="1676">
        <f>IF('2. &amp; 7. T2 TULOSSUUN. '!M15=0,0,'2. &amp; 7. T2 TULOSSUUN. '!M11*'8. T4 RAHOITUSSUUN. '!J50)</f>
        <v>0</v>
      </c>
      <c r="K49" s="1677">
        <f>IF('2. &amp; 7. T2 TULOSSUUN. '!O15=0,0,'2. &amp; 7. T2 TULOSSUUN. '!O11*'8. T4 RAHOITUSSUUN. '!K50)</f>
        <v>0</v>
      </c>
      <c r="M49" s="503" t="s">
        <v>284</v>
      </c>
      <c r="N49" s="319"/>
      <c r="O49" s="319"/>
      <c r="P49" s="665">
        <f t="shared" ref="P49:U49" si="8">P45+P46-P47-P48</f>
        <v>0</v>
      </c>
      <c r="Q49" s="665">
        <f t="shared" si="8"/>
        <v>0</v>
      </c>
      <c r="R49" s="665">
        <f t="shared" si="8"/>
        <v>0</v>
      </c>
      <c r="S49" s="665">
        <f t="shared" si="8"/>
        <v>0</v>
      </c>
      <c r="T49" s="665">
        <f t="shared" si="8"/>
        <v>0</v>
      </c>
      <c r="U49" s="666">
        <f t="shared" si="8"/>
        <v>0</v>
      </c>
    </row>
    <row r="50" spans="1:30" ht="12.75" customHeight="1">
      <c r="B50" s="196"/>
      <c r="C50" s="1983" t="s">
        <v>616</v>
      </c>
      <c r="D50" s="1984"/>
      <c r="E50" s="763"/>
      <c r="F50" s="954">
        <f>IF('2. &amp; 7. T2 TULOSSUUN. '!E11=0,0,F49/'2. &amp; 7. T2 TULOSSUUN. '!E11)</f>
        <v>0</v>
      </c>
      <c r="G50" s="954">
        <f>IF('2. &amp; 7. T2 TULOSSUUN. '!G11=0,0,G49/'2. &amp; 7. T2 TULOSSUUN. '!G11)</f>
        <v>0</v>
      </c>
      <c r="H50" s="1018">
        <f>G50</f>
        <v>0</v>
      </c>
      <c r="I50" s="1641">
        <f t="shared" ref="I50:K50" si="9">H50</f>
        <v>0</v>
      </c>
      <c r="J50" s="1641">
        <f>I50</f>
        <v>0</v>
      </c>
      <c r="K50" s="1642">
        <f t="shared" si="9"/>
        <v>0</v>
      </c>
      <c r="M50" s="497" t="s">
        <v>411</v>
      </c>
      <c r="N50" s="498"/>
      <c r="O50" s="498"/>
      <c r="P50" s="656"/>
      <c r="Q50" s="656"/>
      <c r="R50" s="663">
        <f>IF(8%*Q49&lt;0,0,8%*Q49)</f>
        <v>0</v>
      </c>
      <c r="S50" s="663">
        <f>IF(8%*R49&lt;0,0,8%*R49)</f>
        <v>0</v>
      </c>
      <c r="T50" s="663">
        <f>IF(8%*S49&lt;0,0,8%*S49)</f>
        <v>0</v>
      </c>
      <c r="U50" s="664">
        <f>IF(8%*T49&lt;0,0,8%*T49)</f>
        <v>0</v>
      </c>
    </row>
    <row r="51" spans="1:30" ht="12.75" customHeight="1">
      <c r="B51" s="196">
        <v>29</v>
      </c>
      <c r="C51" s="1985" t="s">
        <v>140</v>
      </c>
      <c r="D51" s="1985"/>
      <c r="E51" s="1663" t="s">
        <v>89</v>
      </c>
      <c r="F51" s="643">
        <f>'3. T3 TASE '!F42</f>
        <v>0</v>
      </c>
      <c r="G51" s="643">
        <f>'3. T3 TASE '!G42</f>
        <v>0</v>
      </c>
      <c r="H51" s="643">
        <f>H52*'2. &amp; 7. T2 TULOSSUUN. '!I11/365</f>
        <v>0</v>
      </c>
      <c r="I51" s="643">
        <f>I52*'2. &amp; 7. T2 TULOSSUUN. '!K11/365</f>
        <v>0</v>
      </c>
      <c r="J51" s="643">
        <f>J52*'2. &amp; 7. T2 TULOSSUUN. '!M11/365</f>
        <v>0</v>
      </c>
      <c r="K51" s="944">
        <f>K52*'2. &amp; 7. T2 TULOSSUUN. '!O11/365</f>
        <v>0</v>
      </c>
      <c r="L51" s="764"/>
      <c r="M51" s="1956" t="s">
        <v>410</v>
      </c>
      <c r="N51" s="1957"/>
      <c r="O51" s="1958"/>
      <c r="P51" s="662"/>
      <c r="Q51" s="662">
        <v>0</v>
      </c>
      <c r="R51" s="1029">
        <f>IF(R50=0,0,R50/Q49)</f>
        <v>0</v>
      </c>
      <c r="S51" s="1029">
        <f>IF(S50=0,0,S50/R49)</f>
        <v>0</v>
      </c>
      <c r="T51" s="1029">
        <f>IF(T50=0,0,T50/S49)</f>
        <v>0</v>
      </c>
      <c r="U51" s="1030">
        <f>IF(U50=0,0,U50/T49)</f>
        <v>0</v>
      </c>
    </row>
    <row r="52" spans="1:30" ht="12.75" customHeight="1">
      <c r="B52" s="196"/>
      <c r="C52" s="1983" t="s">
        <v>281</v>
      </c>
      <c r="D52" s="1984"/>
      <c r="E52" s="762"/>
      <c r="F52" s="1023">
        <f>IF('2. &amp; 7. T2 TULOSSUUN. '!E11=0,0,365*F51/'2. &amp; 7. T2 TULOSSUUN. '!E11)</f>
        <v>0</v>
      </c>
      <c r="G52" s="1023">
        <f>IF('2. &amp; 7. T2 TULOSSUUN. '!G11=0,0,365*G51/'2. &amp; 7. T2 TULOSSUUN. '!G11)</f>
        <v>0</v>
      </c>
      <c r="H52" s="1024">
        <f>G52</f>
        <v>0</v>
      </c>
      <c r="I52" s="1024">
        <f>H52</f>
        <v>0</v>
      </c>
      <c r="J52" s="1024">
        <f>I52</f>
        <v>0</v>
      </c>
      <c r="K52" s="1025">
        <f>J52</f>
        <v>0</v>
      </c>
      <c r="L52" s="764"/>
      <c r="M52" s="1959" t="s">
        <v>560</v>
      </c>
      <c r="N52" s="1960"/>
      <c r="O52" s="1961"/>
      <c r="P52" s="662"/>
      <c r="Q52" s="662">
        <v>0</v>
      </c>
      <c r="R52" s="1029">
        <f>IF(R50=0,0,R50/'2. &amp; 7. T2 TULOSSUUN. '!I31)</f>
        <v>0</v>
      </c>
      <c r="S52" s="1029">
        <f>IF(S50=0,0,S50/'2. &amp; 7. T2 TULOSSUUN. '!K31)</f>
        <v>0</v>
      </c>
      <c r="T52" s="1029">
        <f>IF(T50=0,0,T50/'2. &amp; 7. T2 TULOSSUUN. '!M31)</f>
        <v>0</v>
      </c>
      <c r="U52" s="1030">
        <f>IF(U50=0,0,U50/'2. &amp; 7. T2 TULOSSUUN. '!O31)</f>
        <v>0</v>
      </c>
    </row>
    <row r="53" spans="1:30" ht="12.75" customHeight="1">
      <c r="B53" s="196">
        <v>30</v>
      </c>
      <c r="C53" s="1985" t="s">
        <v>278</v>
      </c>
      <c r="D53" s="1985"/>
      <c r="E53" s="1663" t="s">
        <v>89</v>
      </c>
      <c r="F53" s="643">
        <f>'3. T3 TASE '!F46+'3. T3 TASE '!F47</f>
        <v>0</v>
      </c>
      <c r="G53" s="643">
        <f>'3. T3 TASE '!G46+'3. T3 TASE '!G47</f>
        <v>0</v>
      </c>
      <c r="H53" s="643">
        <f>'3. T3 TASE '!H46+'3. T3 TASE '!H47</f>
        <v>0</v>
      </c>
      <c r="I53" s="643">
        <f>'3. T3 TASE '!I46+'3. T3 TASE '!I47</f>
        <v>0</v>
      </c>
      <c r="J53" s="643">
        <f>'3. T3 TASE '!J46+'3. T3 TASE '!J47</f>
        <v>0</v>
      </c>
      <c r="K53" s="644">
        <f>'3. T3 TASE '!K46+'3. T3 TASE '!K47</f>
        <v>0</v>
      </c>
      <c r="M53" s="1657"/>
      <c r="N53" s="167"/>
      <c r="O53" s="167"/>
      <c r="P53" s="167"/>
      <c r="Q53" s="167"/>
      <c r="R53" s="167"/>
      <c r="S53" s="167"/>
      <c r="T53" s="167"/>
      <c r="U53" s="1658"/>
    </row>
    <row r="54" spans="1:30" ht="12.75" customHeight="1">
      <c r="B54" s="196">
        <v>31</v>
      </c>
      <c r="C54" s="1985" t="s">
        <v>141</v>
      </c>
      <c r="D54" s="1985"/>
      <c r="E54" s="1663" t="s">
        <v>89</v>
      </c>
      <c r="F54" s="643">
        <f>'3. T3 TASE '!F44</f>
        <v>0</v>
      </c>
      <c r="G54" s="643">
        <f>'3. T3 TASE '!G44</f>
        <v>0</v>
      </c>
      <c r="H54" s="643">
        <f>H55*'2. &amp; 7. T2 TULOSSUUN. '!I11</f>
        <v>0</v>
      </c>
      <c r="I54" s="643">
        <f>I55*'2. &amp; 7. T2 TULOSSUUN. '!K11</f>
        <v>0</v>
      </c>
      <c r="J54" s="643">
        <f>J55*'2. &amp; 7. T2 TULOSSUUN. '!M11</f>
        <v>0</v>
      </c>
      <c r="K54" s="644">
        <f>K55*'2. &amp; 7. T2 TULOSSUUN. '!O11</f>
        <v>0</v>
      </c>
      <c r="M54" s="1657"/>
      <c r="N54" s="167"/>
      <c r="O54" s="167">
        <v>0</v>
      </c>
      <c r="P54" s="167"/>
      <c r="Q54" s="167"/>
      <c r="R54" s="167"/>
      <c r="S54" s="167"/>
      <c r="T54" s="167"/>
      <c r="U54" s="1658"/>
    </row>
    <row r="55" spans="1:30" ht="12.75" customHeight="1">
      <c r="B55" s="196"/>
      <c r="C55" s="1983" t="s">
        <v>441</v>
      </c>
      <c r="D55" s="1984"/>
      <c r="E55" s="762"/>
      <c r="F55" s="954">
        <f>IF('2. &amp; 7. T2 TULOSSUUN. '!E11=0,0,F54/'2. &amp; 7. T2 TULOSSUUN. '!E11)</f>
        <v>0</v>
      </c>
      <c r="G55" s="954">
        <f>IF('2. &amp; 7. T2 TULOSSUUN. '!G11=0,0,G54/'2. &amp; 7. T2 TULOSSUUN. '!G11)</f>
        <v>0</v>
      </c>
      <c r="H55" s="1018">
        <f>G55</f>
        <v>0</v>
      </c>
      <c r="I55" s="1018">
        <f>H55</f>
        <v>0</v>
      </c>
      <c r="J55" s="1018">
        <f>I55</f>
        <v>0</v>
      </c>
      <c r="K55" s="1020">
        <f>J55</f>
        <v>0</v>
      </c>
      <c r="M55" s="1657"/>
      <c r="N55" s="167"/>
      <c r="O55" s="167"/>
      <c r="P55" s="167"/>
      <c r="Q55" s="167"/>
      <c r="R55" s="167"/>
      <c r="S55" s="167"/>
      <c r="T55" s="167"/>
      <c r="U55" s="1658"/>
    </row>
    <row r="56" spans="1:30" ht="12.75" customHeight="1">
      <c r="B56" s="196">
        <v>32</v>
      </c>
      <c r="C56" s="1821" t="s">
        <v>142</v>
      </c>
      <c r="D56" s="1821"/>
      <c r="E56" s="1664" t="s">
        <v>418</v>
      </c>
      <c r="F56" s="643">
        <f>'3. T3 TASE '!F81</f>
        <v>0</v>
      </c>
      <c r="G56" s="643">
        <f>'3. T3 TASE '!G81</f>
        <v>0</v>
      </c>
      <c r="H56" s="643">
        <f>IF('2. &amp; 7. T2 TULOSSUUN. '!I11=0,0,-H57*('2. &amp; 7. T2 TULOSSUUN. '!I15+'2. &amp; 7. T2 TULOSSUUN. '!I16+'2. &amp; 7. T2 TULOSSUUN. '!I18)/365)</f>
        <v>0</v>
      </c>
      <c r="I56" s="643">
        <f>IF('2. &amp; 7. T2 TULOSSUUN. '!K11=0,0,-I57*('2. &amp; 7. T2 TULOSSUUN. '!K15+'2. &amp; 7. T2 TULOSSUUN. '!K16+'2. &amp; 7. T2 TULOSSUUN. '!K18)/365)</f>
        <v>0</v>
      </c>
      <c r="J56" s="643">
        <f>IF('2. &amp; 7. T2 TULOSSUUN. '!M11=0,0,-J57*('2. &amp; 7. T2 TULOSSUUN. '!M15+'2. &amp; 7. T2 TULOSSUUN. '!M16+'2. &amp; 7. T2 TULOSSUUN. '!M18)/365)</f>
        <v>0</v>
      </c>
      <c r="K56" s="644">
        <f>IF('2. &amp; 7. T2 TULOSSUUN. '!O11=0,0,-K57*('2. &amp; 7. T2 TULOSSUUN. '!O15+'2. &amp; 7. T2 TULOSSUUN. '!O16+'2. &amp; 7. T2 TULOSSUUN. '!O18)/365)</f>
        <v>0</v>
      </c>
      <c r="M56" s="1657"/>
      <c r="N56" s="167"/>
      <c r="O56" s="167"/>
      <c r="P56" s="167"/>
      <c r="Q56" s="167"/>
      <c r="R56" s="167"/>
      <c r="S56" s="167"/>
      <c r="T56" s="167"/>
      <c r="U56" s="1658"/>
    </row>
    <row r="57" spans="1:30" ht="12.75" customHeight="1">
      <c r="B57" s="196"/>
      <c r="C57" s="1983" t="s">
        <v>433</v>
      </c>
      <c r="D57" s="1984"/>
      <c r="E57" s="762"/>
      <c r="F57" s="1023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23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24">
        <f>G57</f>
        <v>0</v>
      </c>
      <c r="I57" s="1024">
        <f>H57</f>
        <v>0</v>
      </c>
      <c r="J57" s="1024">
        <f>I57</f>
        <v>0</v>
      </c>
      <c r="K57" s="1025">
        <f>J57</f>
        <v>0</v>
      </c>
      <c r="M57" s="1657"/>
      <c r="N57" s="167"/>
      <c r="O57" s="167"/>
      <c r="P57" s="167"/>
      <c r="Q57" s="167"/>
      <c r="R57" s="167"/>
      <c r="S57" s="167"/>
      <c r="T57" s="167"/>
      <c r="U57" s="1658"/>
    </row>
    <row r="58" spans="1:30" ht="12.75" customHeight="1">
      <c r="B58" s="196">
        <v>33</v>
      </c>
      <c r="C58" s="1821" t="s">
        <v>143</v>
      </c>
      <c r="D58" s="1821"/>
      <c r="E58" s="1664" t="s">
        <v>418</v>
      </c>
      <c r="F58" s="643">
        <f>'3. T3 TASE '!F96</f>
        <v>0</v>
      </c>
      <c r="G58" s="643">
        <f>'3. T3 TASE '!G96</f>
        <v>0</v>
      </c>
      <c r="H58" s="643">
        <f>H59*'2. &amp; 7. T2 TULOSSUUN. '!I11</f>
        <v>0</v>
      </c>
      <c r="I58" s="643">
        <f>I59*'2. &amp; 7. T2 TULOSSUUN. '!K11</f>
        <v>0</v>
      </c>
      <c r="J58" s="643">
        <f>J59*'2. &amp; 7. T2 TULOSSUUN. '!M11</f>
        <v>0</v>
      </c>
      <c r="K58" s="644">
        <f>K59*'2. &amp; 7. T2 TULOSSUUN. '!O11</f>
        <v>0</v>
      </c>
      <c r="M58" s="1657"/>
      <c r="N58" s="167"/>
      <c r="O58" s="167"/>
      <c r="P58" s="167"/>
      <c r="Q58" s="167"/>
      <c r="R58" s="167"/>
      <c r="S58" s="167"/>
      <c r="T58" s="167"/>
      <c r="U58" s="1658"/>
    </row>
    <row r="59" spans="1:30" ht="12.75" customHeight="1">
      <c r="B59" s="196"/>
      <c r="C59" s="1983" t="s">
        <v>440</v>
      </c>
      <c r="D59" s="1984"/>
      <c r="E59" s="762"/>
      <c r="F59" s="1026">
        <f>IF('2. &amp; 7. T2 TULOSSUUN. '!E11=0,0,F58/'2. &amp; 7. T2 TULOSSUUN. '!E11)</f>
        <v>0</v>
      </c>
      <c r="G59" s="1026">
        <f>IF('2. &amp; 7. T2 TULOSSUUN. '!G11=0,0,G58/'2. &amp; 7. T2 TULOSSUUN. '!G11)</f>
        <v>0</v>
      </c>
      <c r="H59" s="1027">
        <f>G59</f>
        <v>0</v>
      </c>
      <c r="I59" s="1027">
        <f>H59</f>
        <v>0</v>
      </c>
      <c r="J59" s="1027">
        <f>I59</f>
        <v>0</v>
      </c>
      <c r="K59" s="1028">
        <f>J59</f>
        <v>0</v>
      </c>
      <c r="M59" s="1657"/>
      <c r="N59" s="167"/>
      <c r="O59" s="167"/>
      <c r="P59" s="167"/>
      <c r="Q59" s="167"/>
      <c r="R59" s="167"/>
      <c r="S59" s="167"/>
      <c r="T59" s="167"/>
      <c r="U59" s="1658"/>
    </row>
    <row r="60" spans="1:30" ht="12.75" customHeight="1">
      <c r="B60" s="196">
        <v>34</v>
      </c>
      <c r="C60" s="1821" t="s">
        <v>144</v>
      </c>
      <c r="D60" s="1821"/>
      <c r="E60" s="507" t="s">
        <v>145</v>
      </c>
      <c r="F60" s="643">
        <f t="shared" ref="F60:K60" si="10">F49+F51+F54-F56-F58+F53</f>
        <v>0</v>
      </c>
      <c r="G60" s="643">
        <f t="shared" si="10"/>
        <v>0</v>
      </c>
      <c r="H60" s="643">
        <f t="shared" si="10"/>
        <v>0</v>
      </c>
      <c r="I60" s="643">
        <f t="shared" si="10"/>
        <v>0</v>
      </c>
      <c r="J60" s="643">
        <f t="shared" si="10"/>
        <v>0</v>
      </c>
      <c r="K60" s="644">
        <f t="shared" si="10"/>
        <v>0</v>
      </c>
      <c r="M60" s="1657"/>
      <c r="N60" s="167"/>
      <c r="O60" s="167"/>
      <c r="P60" s="167"/>
      <c r="Q60" s="167"/>
      <c r="R60" s="167"/>
      <c r="S60" s="167"/>
      <c r="T60" s="167"/>
      <c r="U60" s="1658"/>
    </row>
    <row r="61" spans="1:30" ht="12.75" customHeight="1" thickBot="1">
      <c r="B61" s="344">
        <v>35</v>
      </c>
      <c r="C61" s="1967" t="s">
        <v>119</v>
      </c>
      <c r="D61" s="1967"/>
      <c r="E61" s="1665" t="s">
        <v>96</v>
      </c>
      <c r="F61" s="743"/>
      <c r="G61" s="739">
        <f>G60-F60</f>
        <v>0</v>
      </c>
      <c r="H61" s="739">
        <f>IF(G60=0,0,H60-G60)</f>
        <v>0</v>
      </c>
      <c r="I61" s="739">
        <f>I60-H60</f>
        <v>0</v>
      </c>
      <c r="J61" s="739">
        <f>J60-I60</f>
        <v>0</v>
      </c>
      <c r="K61" s="740">
        <f>K60-J60</f>
        <v>0</v>
      </c>
      <c r="M61" s="1659"/>
      <c r="N61" s="1660"/>
      <c r="O61" s="1660"/>
      <c r="P61" s="1660"/>
      <c r="Q61" s="1660"/>
      <c r="R61" s="1660"/>
      <c r="S61" s="1660"/>
      <c r="T61" s="1660"/>
      <c r="U61" s="1661"/>
    </row>
    <row r="62" spans="1:30" ht="12.75" customHeight="1">
      <c r="A62" s="128"/>
      <c r="B62" s="129"/>
      <c r="C62" s="315"/>
      <c r="D62" s="315"/>
      <c r="E62" s="146"/>
      <c r="F62" s="990"/>
      <c r="G62" s="990"/>
      <c r="H62" s="990"/>
      <c r="I62" s="990"/>
      <c r="J62" s="990"/>
      <c r="K62" s="991"/>
      <c r="L62" s="128"/>
      <c r="M62" s="806"/>
      <c r="N62" s="806"/>
      <c r="O62" s="806"/>
      <c r="P62" s="806"/>
      <c r="Q62" s="806"/>
      <c r="R62" s="806"/>
      <c r="S62" s="806"/>
      <c r="T62" s="806"/>
      <c r="U62" s="806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 ht="12.75" customHeight="1">
      <c r="A63" s="128"/>
      <c r="B63" s="260" t="s">
        <v>342</v>
      </c>
      <c r="C63" s="128"/>
      <c r="D63" s="128"/>
      <c r="E63" s="128"/>
      <c r="F63" s="128"/>
      <c r="G63" s="128"/>
      <c r="H63" s="128"/>
      <c r="I63" s="1819" t="str">
        <f>OHJE!I5</f>
        <v>Yritystulkin tarjoaa</v>
      </c>
      <c r="J63" s="1819"/>
      <c r="K63" s="1819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2.75" customHeight="1">
      <c r="A64" s="128"/>
      <c r="B64" s="260" t="str">
        <f>OHJE!G24</f>
        <v>YT22 Toimivan yrityksen tulossuunnitelma</v>
      </c>
      <c r="C64" s="128"/>
      <c r="D64" s="128"/>
      <c r="E64" s="128"/>
      <c r="F64" s="128"/>
      <c r="G64" s="2000" t="str">
        <f>OHJE!H7</f>
        <v>Alavuden Kehitys Oy</v>
      </c>
      <c r="H64" s="2000"/>
      <c r="I64" s="2000"/>
      <c r="J64" s="2000"/>
      <c r="K64" s="2000"/>
      <c r="L64" s="128"/>
      <c r="M64" s="128"/>
      <c r="N64" s="128"/>
      <c r="O64" s="128"/>
      <c r="P64" s="128"/>
      <c r="Q64" s="128"/>
      <c r="R64" s="1966" t="str">
        <f>OHJE!G24</f>
        <v>YT22 Toimivan yrityksen tulossuunnitelma</v>
      </c>
      <c r="S64" s="1966"/>
      <c r="T64" s="1966"/>
      <c r="U64" s="1966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>
      <c r="A65" s="128"/>
      <c r="B65" s="1919"/>
      <c r="C65" s="1919"/>
      <c r="D65" s="1919"/>
      <c r="E65" s="1919"/>
      <c r="F65" s="128"/>
      <c r="G65" s="977"/>
      <c r="H65" s="977"/>
      <c r="I65" s="977"/>
      <c r="J65" s="977"/>
      <c r="K65" s="977"/>
      <c r="L65" s="128"/>
      <c r="M65" s="128"/>
      <c r="N65" s="128"/>
      <c r="O65" s="128"/>
      <c r="P65" s="128"/>
      <c r="Q65" s="128"/>
      <c r="R65" s="128"/>
      <c r="S65" s="128"/>
      <c r="T65" s="128"/>
      <c r="U65" s="1640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>
      <c r="A66" s="128"/>
      <c r="B66" s="134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647"/>
      <c r="N66" s="140"/>
      <c r="O66" s="140"/>
      <c r="P66" s="140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>
      <c r="A67" s="128"/>
      <c r="B67" s="1648" t="s">
        <v>332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40"/>
      <c r="N67" s="140"/>
      <c r="O67" s="140"/>
      <c r="P67" s="140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8"/>
      <c r="B68" s="397" t="s">
        <v>333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>
      <c r="A69" s="128"/>
      <c r="B69" s="397" t="s">
        <v>334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>
      <c r="A70" s="128"/>
      <c r="B70" s="134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idden="1">
      <c r="A71" s="128"/>
      <c r="B71" s="134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idden="1">
      <c r="A72" s="128"/>
      <c r="B72" s="134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093" t="s">
        <v>636</v>
      </c>
      <c r="N72" s="130"/>
      <c r="O72" s="130"/>
      <c r="P72" s="1096">
        <f>P11</f>
        <v>2023</v>
      </c>
      <c r="Q72" s="1096">
        <f>Q11</f>
        <v>2024</v>
      </c>
      <c r="R72" s="1105" t="s">
        <v>110</v>
      </c>
      <c r="S72" s="1105" t="s">
        <v>98</v>
      </c>
      <c r="T72" s="1105" t="s">
        <v>100</v>
      </c>
      <c r="U72" s="1105" t="s">
        <v>257</v>
      </c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idden="1">
      <c r="A73" s="128"/>
      <c r="B73" s="134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094" t="s">
        <v>637</v>
      </c>
      <c r="N73" s="1094"/>
      <c r="O73" s="1094"/>
      <c r="P73" s="1106"/>
      <c r="Q73" s="1106"/>
      <c r="R73" s="1106"/>
      <c r="S73" s="1106"/>
      <c r="T73" s="1106"/>
      <c r="U73" s="1107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idden="1">
      <c r="A74" s="128"/>
      <c r="B74" s="134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094" t="s">
        <v>638</v>
      </c>
      <c r="N74" s="1094"/>
      <c r="O74" s="1094"/>
      <c r="P74" s="660">
        <f>P20+'2. &amp; 7. T2 TULOSSUUN. '!E24+'2. &amp; 7. T2 TULOSSUUN. '!E25+'2. &amp; 7. T2 TULOSSUUN. '!E27</f>
        <v>0</v>
      </c>
      <c r="Q74" s="660">
        <f>Q20+'2. &amp; 7. T2 TULOSSUUN. '!G24+'2. &amp; 7. T2 TULOSSUUN. '!G25+'2. &amp; 7. T2 TULOSSUUN. '!G27</f>
        <v>0</v>
      </c>
      <c r="R74" s="660">
        <f>R20+'2. &amp; 7. T2 TULOSSUUN. '!I24+'2. &amp; 7. T2 TULOSSUUN. '!I25+'2. &amp; 7. T2 TULOSSUUN. '!I27</f>
        <v>0</v>
      </c>
      <c r="S74" s="660">
        <f>S20+'2. &amp; 7. T2 TULOSSUUN. '!K24+'2. &amp; 7. T2 TULOSSUUN. '!K25+'2. &amp; 7. T2 TULOSSUUN. '!K27</f>
        <v>0</v>
      </c>
      <c r="T74" s="660">
        <f>T20+'2. &amp; 7. T2 TULOSSUUN. '!M24+'2. &amp; 7. T2 TULOSSUUN. '!M25+'2. &amp; 7. T2 TULOSSUUN. '!M27</f>
        <v>0</v>
      </c>
      <c r="U74" s="660">
        <f>U20+'2. &amp; 7. T2 TULOSSUUN. '!O24+'2. &amp; 7. T2 TULOSSUUN. '!O25+'2. &amp; 7. T2 TULOSSUUN. '!O27</f>
        <v>0</v>
      </c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idden="1">
      <c r="A75" s="128"/>
      <c r="B75" s="13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094" t="s">
        <v>639</v>
      </c>
      <c r="N75" s="1094"/>
      <c r="O75" s="1094"/>
      <c r="P75" s="660">
        <v>0</v>
      </c>
      <c r="Q75" s="660">
        <f>P76</f>
        <v>0</v>
      </c>
      <c r="R75" s="660">
        <f>Q76</f>
        <v>0</v>
      </c>
      <c r="S75" s="660">
        <f>R76</f>
        <v>0</v>
      </c>
      <c r="T75" s="660">
        <f>S76</f>
        <v>0</v>
      </c>
      <c r="U75" s="660">
        <f>T76</f>
        <v>0</v>
      </c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idden="1">
      <c r="A76" s="128"/>
      <c r="B76" s="13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094" t="s">
        <v>640</v>
      </c>
      <c r="N76" s="1094"/>
      <c r="O76" s="1094"/>
      <c r="P76" s="660">
        <f>'3. T3 TASE '!F56</f>
        <v>0</v>
      </c>
      <c r="Q76" s="660">
        <f>'3. T3 TASE '!G56</f>
        <v>0</v>
      </c>
      <c r="R76" s="660">
        <f>'3. T3 TASE '!H56</f>
        <v>0</v>
      </c>
      <c r="S76" s="660">
        <f>'3. T3 TASE '!I56</f>
        <v>0</v>
      </c>
      <c r="T76" s="660">
        <f>'3. T3 TASE '!J56</f>
        <v>0</v>
      </c>
      <c r="U76" s="660">
        <f>'3. T3 TASE '!K56</f>
        <v>0</v>
      </c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idden="1">
      <c r="A77" s="128"/>
      <c r="B77" s="13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094" t="s">
        <v>641</v>
      </c>
      <c r="N77" s="1094"/>
      <c r="O77" s="1094"/>
      <c r="P77" s="660">
        <f t="shared" ref="P77:U77" si="11">(P75+P76)/2</f>
        <v>0</v>
      </c>
      <c r="Q77" s="660">
        <f t="shared" si="11"/>
        <v>0</v>
      </c>
      <c r="R77" s="660">
        <f t="shared" si="11"/>
        <v>0</v>
      </c>
      <c r="S77" s="660">
        <f t="shared" si="11"/>
        <v>0</v>
      </c>
      <c r="T77" s="660">
        <f t="shared" si="11"/>
        <v>0</v>
      </c>
      <c r="U77" s="660">
        <f t="shared" si="11"/>
        <v>0</v>
      </c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idden="1">
      <c r="A78" s="128"/>
      <c r="B78" s="134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30"/>
      <c r="N78" s="130"/>
      <c r="O78" s="130"/>
      <c r="P78" s="660"/>
      <c r="Q78" s="660"/>
      <c r="R78" s="660"/>
      <c r="S78" s="660"/>
      <c r="T78" s="660"/>
      <c r="U78" s="660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idden="1">
      <c r="A79" s="128"/>
      <c r="B79" s="134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094" t="s">
        <v>642</v>
      </c>
      <c r="N79" s="1094"/>
      <c r="O79" s="1094"/>
      <c r="P79" s="660"/>
      <c r="Q79" s="660">
        <f>P80</f>
        <v>0</v>
      </c>
      <c r="R79" s="660">
        <f>Q80</f>
        <v>0</v>
      </c>
      <c r="S79" s="660">
        <f>R80</f>
        <v>0</v>
      </c>
      <c r="T79" s="660">
        <f>S80</f>
        <v>0</v>
      </c>
      <c r="U79" s="660">
        <f>T80</f>
        <v>0</v>
      </c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idden="1">
      <c r="A80" s="128"/>
      <c r="B80" s="134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094" t="s">
        <v>643</v>
      </c>
      <c r="N80" s="1094"/>
      <c r="O80" s="1094"/>
      <c r="P80" s="660">
        <f>'3. T3 TASE '!F67+'3. T3 TASE '!F76+'3. T3 TASE '!F79+'3. T3 TASE '!F83</f>
        <v>0</v>
      </c>
      <c r="Q80" s="660">
        <f>'3. T3 TASE '!G67+'3. T3 TASE '!G76+'3. T3 TASE '!G79+'3. T3 TASE '!G83</f>
        <v>0</v>
      </c>
      <c r="R80" s="660">
        <f>'3. T3 TASE '!H67+'3. T3 TASE '!H76+'3. T3 TASE '!H79+'3. T3 TASE '!H83</f>
        <v>0</v>
      </c>
      <c r="S80" s="660">
        <f>'3. T3 TASE '!I67+'3. T3 TASE '!I76+'3. T3 TASE '!I79+'3. T3 TASE '!I83</f>
        <v>0</v>
      </c>
      <c r="T80" s="660">
        <f>'3. T3 TASE '!J67+'3. T3 TASE '!J76+'3. T3 TASE '!J79+'3. T3 TASE '!J83</f>
        <v>0</v>
      </c>
      <c r="U80" s="660">
        <f>'3. T3 TASE '!K67+'3. T3 TASE '!K76+'3. T3 TASE '!K79+'3. T3 TASE '!K83</f>
        <v>0</v>
      </c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idden="1">
      <c r="A81" s="128"/>
      <c r="B81" s="134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094" t="s">
        <v>644</v>
      </c>
      <c r="N81" s="1094"/>
      <c r="O81" s="1094"/>
      <c r="P81" s="660">
        <f t="shared" ref="P81:T81" si="12">(P79+P80)/2</f>
        <v>0</v>
      </c>
      <c r="Q81" s="660">
        <f t="shared" si="12"/>
        <v>0</v>
      </c>
      <c r="R81" s="660">
        <f t="shared" si="12"/>
        <v>0</v>
      </c>
      <c r="S81" s="660">
        <f t="shared" si="12"/>
        <v>0</v>
      </c>
      <c r="T81" s="660">
        <f t="shared" si="12"/>
        <v>0</v>
      </c>
      <c r="U81" s="660">
        <f>(U79+U80)/2</f>
        <v>0</v>
      </c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idden="1">
      <c r="A82" s="128"/>
      <c r="B82" s="134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108" t="s">
        <v>645</v>
      </c>
      <c r="N82" s="1108"/>
      <c r="O82" s="1109"/>
      <c r="P82" s="756">
        <f t="shared" ref="P82:U82" si="13">IF(P77&lt;0,P81,P77+P81)</f>
        <v>0</v>
      </c>
      <c r="Q82" s="756">
        <f t="shared" si="13"/>
        <v>0</v>
      </c>
      <c r="R82" s="756">
        <f t="shared" si="13"/>
        <v>0</v>
      </c>
      <c r="S82" s="756">
        <f t="shared" si="13"/>
        <v>0</v>
      </c>
      <c r="T82" s="756">
        <f t="shared" si="13"/>
        <v>0</v>
      </c>
      <c r="U82" s="756">
        <f t="shared" si="13"/>
        <v>0</v>
      </c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idden="1">
      <c r="A83" s="128"/>
      <c r="B83" s="134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649"/>
      <c r="Q83" s="1649"/>
      <c r="R83" s="1649"/>
      <c r="S83" s="1649"/>
      <c r="T83" s="1649"/>
      <c r="U83" s="1649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idden="1">
      <c r="A84" s="128"/>
      <c r="B84" s="134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095" t="s">
        <v>646</v>
      </c>
      <c r="N84" s="1650"/>
      <c r="O84" s="1650"/>
      <c r="P84" s="1651"/>
      <c r="Q84" s="1651"/>
      <c r="R84" s="1651"/>
      <c r="S84" s="1651"/>
      <c r="T84" s="1651"/>
      <c r="U84" s="1651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idden="1">
      <c r="A85" s="128"/>
      <c r="B85" s="134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111" t="s">
        <v>657</v>
      </c>
      <c r="N85" s="1111"/>
      <c r="O85" s="1111"/>
      <c r="P85" s="1652"/>
      <c r="Q85" s="1652"/>
      <c r="R85" s="1652"/>
      <c r="S85" s="1652"/>
      <c r="T85" s="1652"/>
      <c r="U85" s="1652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idden="1">
      <c r="A86" s="128"/>
      <c r="B86" s="134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653" t="s">
        <v>647</v>
      </c>
      <c r="N86" s="1653"/>
      <c r="O86" s="1654"/>
      <c r="P86" s="660">
        <f>P80-'3. T3 TASE '!F96</f>
        <v>0</v>
      </c>
      <c r="Q86" s="660">
        <f>Q80-'3. T3 TASE '!G96</f>
        <v>0</v>
      </c>
      <c r="R86" s="660">
        <f>R80-'3. T3 TASE '!H96</f>
        <v>0</v>
      </c>
      <c r="S86" s="660">
        <f>S80-'3. T3 TASE '!I96</f>
        <v>0</v>
      </c>
      <c r="T86" s="660">
        <f>T80-'3. T3 TASE '!J96</f>
        <v>0</v>
      </c>
      <c r="U86" s="660">
        <f>U80-'3. T3 TASE '!K96</f>
        <v>0</v>
      </c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idden="1">
      <c r="A87" s="128"/>
      <c r="B87" s="134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094" t="s">
        <v>648</v>
      </c>
      <c r="N87" s="1655"/>
      <c r="O87" s="1656"/>
      <c r="P87" s="660">
        <f>'3. T3 TASE '!F48+'3. T3 TASE '!F49</f>
        <v>0</v>
      </c>
      <c r="Q87" s="660">
        <f>'3. T3 TASE '!G48+'3. T3 TASE '!G49</f>
        <v>0</v>
      </c>
      <c r="R87" s="660">
        <f>'3. T3 TASE '!H48+'3. T3 TASE '!H49</f>
        <v>0</v>
      </c>
      <c r="S87" s="660">
        <f>'3. T3 TASE '!I48+'3. T3 TASE '!I49</f>
        <v>0</v>
      </c>
      <c r="T87" s="660">
        <f>'3. T3 TASE '!J48+'3. T3 TASE '!J49</f>
        <v>0</v>
      </c>
      <c r="U87" s="660">
        <f>'3. T3 TASE '!K48+'3. T3 TASE '!K49</f>
        <v>0</v>
      </c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idden="1">
      <c r="A88" s="128"/>
      <c r="B88" s="134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>
      <c r="A89" s="128"/>
      <c r="B89" s="134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>
      <c r="A90" s="128"/>
      <c r="B90" s="134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>
      <c r="A91" s="128"/>
      <c r="B91" s="134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>
      <c r="A92" s="128"/>
      <c r="B92" s="134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>
      <c r="A93" s="128"/>
      <c r="B93" s="134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</sheetData>
  <sheetProtection algorithmName="SHA-512" hashValue="1cwNB4hb17Xx8WRdWSw7rUalRtT+jSJDcgRoIK60v4sDLAOaLDIg5KDbxXMOKA8y4qRXPTrBqofuK8rX76I12Q==" saltValue="grK8HbvlBZt15YYiz89srQ==" spinCount="100000" sheet="1" objects="1" scenarios="1" selectLockedCells="1"/>
  <mergeCells count="72"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M6:P6"/>
    <mergeCell ref="M4:N4"/>
    <mergeCell ref="R5:U5"/>
    <mergeCell ref="R6:U6"/>
    <mergeCell ref="H5:K5"/>
    <mergeCell ref="H6:K6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</mergeCells>
  <conditionalFormatting sqref="P22:U22">
    <cfRule type="containsText" dxfId="49" priority="21" operator="containsText" text="Tyydyttävä">
      <formula>NOT(ISERROR(SEARCH("Tyydyttävä",P22)))</formula>
    </cfRule>
    <cfRule type="containsText" dxfId="48" priority="22" operator="containsText" text="Hyvä">
      <formula>NOT(ISERROR(SEARCH("Hyvä",P22)))</formula>
    </cfRule>
    <cfRule type="containsText" dxfId="47" priority="23" operator="containsText" text="Heikko">
      <formula>NOT(ISERROR(SEARCH("Heikko",P22)))</formula>
    </cfRule>
  </conditionalFormatting>
  <conditionalFormatting sqref="P28:U28">
    <cfRule type="containsText" dxfId="46" priority="18" operator="containsText" text="Tyydyttävä">
      <formula>NOT(ISERROR(SEARCH("Tyydyttävä",P28)))</formula>
    </cfRule>
    <cfRule type="containsText" dxfId="45" priority="19" operator="containsText" text="Hyvä">
      <formula>NOT(ISERROR(SEARCH("Hyvä",P28)))</formula>
    </cfRule>
    <cfRule type="containsText" dxfId="44" priority="20" operator="containsText" text="Heikko">
      <formula>NOT(ISERROR(SEARCH("Heikko",P28)))</formula>
    </cfRule>
  </conditionalFormatting>
  <conditionalFormatting sqref="P30:U30">
    <cfRule type="containsText" dxfId="43" priority="15" operator="containsText" text="Hyvä">
      <formula>NOT(ISERROR(SEARCH("Hyvä",P30)))</formula>
    </cfRule>
    <cfRule type="containsText" dxfId="42" priority="16" operator="containsText" text="Tyydyttävä">
      <formula>NOT(ISERROR(SEARCH("Tyydyttävä",P30)))</formula>
    </cfRule>
    <cfRule type="containsText" dxfId="41" priority="17" operator="containsText" text="Heikko">
      <formula>NOT(ISERROR(SEARCH("Heikko",P30)))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38:U38">
    <cfRule type="containsText" dxfId="37" priority="1" operator="containsText" text="Hyvä">
      <formula>NOT(ISERROR(SEARCH("Hyvä",P38)))</formula>
    </cfRule>
    <cfRule type="containsText" dxfId="36" priority="2" operator="containsText" text="Nettovelaton">
      <formula>NOT(ISERROR(SEARCH("Nettovelaton",P38)))</formula>
    </cfRule>
    <cfRule type="containsText" dxfId="35" priority="5" operator="containsText" text="Heikko">
      <formula>NOT(ISERROR(SEARCH("Heikko",P38)))</formula>
    </cfRule>
  </conditionalFormatting>
  <conditionalFormatting sqref="P43:U43">
    <cfRule type="containsText" dxfId="34" priority="6" operator="containsText" text="Hyvä">
      <formula>NOT(ISERROR(SEARCH("Hyvä",P43)))</formula>
    </cfRule>
    <cfRule type="containsText" dxfId="33" priority="7" operator="containsText" text="Tyydyttävä">
      <formula>NOT(ISERROR(SEARCH("Tyydyttävä",P43)))</formula>
    </cfRule>
    <cfRule type="containsText" dxfId="32" priority="8" operator="containsText" text="Heikko">
      <formula>NOT(ISERROR(SEARCH("Heikko",P43)))</formula>
    </cfRule>
  </conditionalFormatting>
  <conditionalFormatting sqref="Q33:U33">
    <cfRule type="containsText" dxfId="31" priority="12" operator="containsText" text="Hyvä">
      <formula>NOT(ISERROR(SEARCH("Hyvä",Q33)))</formula>
    </cfRule>
    <cfRule type="containsText" dxfId="30" priority="13" operator="containsText" text="Tyydyttävä">
      <formula>NOT(ISERROR(SEARCH("Tyydyttävä",Q33)))</formula>
    </cfRule>
    <cfRule type="containsText" dxfId="29" priority="14" operator="containsText" text="Heikko">
      <formula>NOT(ISERROR(SEARCH("Heikko",Q33)))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AT T5 Kassa</vt:lpstr>
      <vt:lpstr>9. T5 KASSABUDJETTI  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2024-03-04T11:47:19Z</cp:lastPrinted>
  <dcterms:created xsi:type="dcterms:W3CDTF">2006-08-01T10:09:48Z</dcterms:created>
  <dcterms:modified xsi:type="dcterms:W3CDTF">2024-03-04T12:24:00Z</dcterms:modified>
</cp:coreProperties>
</file>