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charts/chart1.xml" ContentType="application/vnd.openxmlformats-officedocument.drawingml.chart+xml"/>
  <Override PartName="/xl/comments9.xml" ContentType="application/vnd.openxmlformats-officedocument.spreadsheetml.comments+xml"/>
  <Override PartName="/xl/drawings/drawing10.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ThisWorkbook"/>
  <mc:AlternateContent xmlns:mc="http://schemas.openxmlformats.org/markup-compatibility/2006">
    <mc:Choice Requires="x15">
      <x15ac:absPath xmlns:x15ac="http://schemas.microsoft.com/office/spreadsheetml/2010/11/ac" url="D:\Dropbox\Företagstolken\Vaihdetut 2024\FT6 240312 maalis\"/>
    </mc:Choice>
  </mc:AlternateContent>
  <xr:revisionPtr revIDLastSave="0" documentId="13_ncr:1_{946BCC54-BF01-45C0-B14D-6E2E76B849EC}" xr6:coauthVersionLast="47" xr6:coauthVersionMax="47" xr10:uidLastSave="{00000000-0000-0000-0000-000000000000}"/>
  <workbookProtection workbookAlgorithmName="SHA-512" workbookHashValue="O/U1uNzMhS6AOCTVHBV213OOtBySPbw+MilXEMVrEFLV9eNqXtJauymPYw3A7wKlim4UYYtZe9l7xLXnC6AjUQ==" workbookSaltValue="dtfi7epL+/06O+89yhGFOw==" workbookSpinCount="100000" lockStructure="1"/>
  <bookViews>
    <workbookView xWindow="-103" yWindow="-103" windowWidth="33120" windowHeight="18120" tabRatio="740" xr2:uid="{00000000-000D-0000-FFFF-FFFF00000000}"/>
  </bookViews>
  <sheets>
    <sheet name="STARTSIDAN" sheetId="31" r:id="rId1"/>
    <sheet name="1. T1 INVESTERINGSP." sheetId="26" r:id="rId2"/>
    <sheet name="2. T7 LÅN" sheetId="28" r:id="rId3"/>
    <sheet name="3. E1 KOSTNADER" sheetId="1" r:id="rId4"/>
    <sheet name="4. E2 OMSÄTTNING" sheetId="2" r:id="rId5"/>
    <sheet name="5. T4 FINANSIERINGSB." sheetId="27" r:id="rId6"/>
    <sheet name="6. T3 BALANS" sheetId="32" r:id="rId7"/>
    <sheet name="7. T2 RESULTATB." sheetId="20" r:id="rId8"/>
    <sheet name="8. T5 KASSABUDGET" sheetId="30" r:id="rId9"/>
    <sheet name="AT Kassa" sheetId="33" state="hidden" r:id="rId10"/>
    <sheet name="Avustus, alv" sheetId="22" state="hidden" r:id="rId11"/>
    <sheet name="AT2 Lainat, sotum., alv" sheetId="29" state="hidden" r:id="rId12"/>
    <sheet name="UTSKRIVNING" sheetId="34" r:id="rId13"/>
    <sheet name="Kaaviot" sheetId="35" state="hidden" r:id="rId14"/>
  </sheets>
  <definedNames>
    <definedName name="_3_2010">'3. E1 KOSTNADER'!#REF!</definedName>
    <definedName name="_3_2012">'3. E1 KOSTNADER'!$F$8</definedName>
    <definedName name="Rahapalkat__TyEL_työntekijät">'3. E1 KOSTNADER'!#REF!</definedName>
    <definedName name="Teksti37" localSheetId="3">'3. E1 KOSTNADER'!$D$6</definedName>
    <definedName name="Teksti38" localSheetId="3">'3. E1 KOSTNADER'!$D$8</definedName>
    <definedName name="Teksti39" localSheetId="3">'3. E1 KOSTNADER'!$F$8</definedName>
    <definedName name="Teksti39">#REF!</definedName>
    <definedName name="_xlnm.Print_Area" localSheetId="1">'1. T1 INVESTERINGSP.'!$B$3:$R$66</definedName>
    <definedName name="_xlnm.Print_Area" localSheetId="2">'2. T7 LÅN'!$B$3:$Q$50</definedName>
    <definedName name="_xlnm.Print_Area" localSheetId="3">'3. E1 KOSTNADER'!$B$2:$W$135</definedName>
    <definedName name="_xlnm.Print_Area" localSheetId="4">'4. E2 OMSÄTTNING'!$B$2:$U$71</definedName>
    <definedName name="_xlnm.Print_Area" localSheetId="5">'5. T4 FINANSIERINGSB.'!$B$2:$T$61</definedName>
    <definedName name="_xlnm.Print_Area" localSheetId="6">'6. T3 BALANS'!$B$2:$T$101</definedName>
    <definedName name="_xlnm.Print_Area" localSheetId="7">'7. T2 RESULTATB.'!$B$1:$AD$36</definedName>
    <definedName name="_xlnm.Print_Area" localSheetId="8">'8. T5 KASSABUDGET'!$B$6:$S$101</definedName>
    <definedName name="_xlnm.Print_Area" localSheetId="0">STARTSIDAN!$A$2:$F$21</definedName>
    <definedName name="_xlnm.Print_Area" localSheetId="12">UTSKRIVNING!$B$2:$R$320</definedName>
    <definedName name="_xlnm.Print_Titles" localSheetId="3">'3. E1 KOSTNADER'!$2:$9</definedName>
    <definedName name="_xlnm.Print_Titles" localSheetId="6">'6. T3 BALANS'!$2:$9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29" i="27" l="1"/>
  <c r="S29" i="27"/>
  <c r="T29" i="27"/>
  <c r="G56" i="27"/>
  <c r="M15" i="20"/>
  <c r="K15" i="20"/>
  <c r="I15" i="20"/>
  <c r="G15" i="20"/>
  <c r="G47" i="28"/>
  <c r="Q3" i="33"/>
  <c r="U48" i="30"/>
  <c r="U49" i="30"/>
  <c r="E24" i="30"/>
  <c r="E17" i="30" l="1"/>
  <c r="Q4" i="33"/>
  <c r="S2" i="33"/>
  <c r="R2" i="33"/>
  <c r="Q2" i="33"/>
  <c r="Q6" i="33" l="1"/>
  <c r="Q7" i="33"/>
  <c r="R7" i="33" s="1"/>
  <c r="R3" i="33"/>
  <c r="Q5" i="33"/>
  <c r="Q8" i="33" l="1"/>
  <c r="G24" i="30" s="1"/>
  <c r="S3" i="33"/>
  <c r="S7" i="33" s="1"/>
  <c r="S8" i="33" s="1"/>
  <c r="I24" i="30" s="1"/>
  <c r="R6" i="33"/>
  <c r="R8" i="33" s="1"/>
  <c r="H24" i="30" s="1"/>
  <c r="S24" i="30" l="1"/>
  <c r="U23" i="30"/>
  <c r="G41" i="26"/>
  <c r="K33" i="34"/>
  <c r="G33" i="34"/>
  <c r="H33" i="34"/>
  <c r="I33" i="34"/>
  <c r="J33" i="34"/>
  <c r="H43" i="28" l="1"/>
  <c r="J43" i="28"/>
  <c r="K43" i="28" s="1"/>
  <c r="M43" i="28" l="1"/>
  <c r="N43" i="28" s="1"/>
  <c r="Q107" i="27" l="1"/>
  <c r="P104" i="27"/>
  <c r="Q103" i="27" s="1"/>
  <c r="E214" i="34"/>
  <c r="E215" i="34"/>
  <c r="E216" i="34"/>
  <c r="E213" i="34"/>
  <c r="U26" i="30"/>
  <c r="G26" i="30" s="1"/>
  <c r="C41" i="28" l="1"/>
  <c r="G73" i="32"/>
  <c r="H73" i="32" s="1"/>
  <c r="P43" i="28" l="1"/>
  <c r="Q43" i="28" s="1"/>
  <c r="I73" i="32" l="1"/>
  <c r="R43" i="28" l="1"/>
  <c r="J73" i="32"/>
  <c r="B251" i="34" l="1"/>
  <c r="B166" i="34"/>
  <c r="B85" i="34"/>
  <c r="D5" i="1"/>
  <c r="I6" i="28"/>
  <c r="AQ25" i="30"/>
  <c r="H26" i="34" l="1"/>
  <c r="I26" i="34"/>
  <c r="J26" i="34"/>
  <c r="G26" i="34"/>
  <c r="B193" i="34"/>
  <c r="B194" i="34"/>
  <c r="B195" i="34"/>
  <c r="L320" i="34"/>
  <c r="B320" i="34"/>
  <c r="M247" i="34"/>
  <c r="B247" i="34"/>
  <c r="L163" i="34"/>
  <c r="B163" i="34"/>
  <c r="K81" i="34"/>
  <c r="S101" i="30"/>
  <c r="S59" i="30"/>
  <c r="B59" i="30"/>
  <c r="K135" i="1"/>
  <c r="N35" i="20"/>
  <c r="L61" i="27"/>
  <c r="F66" i="26"/>
  <c r="B66" i="26"/>
  <c r="G19" i="30"/>
  <c r="G11" i="30"/>
  <c r="F128" i="1"/>
  <c r="H50" i="27"/>
  <c r="I50" i="27" s="1"/>
  <c r="J50" i="27" s="1"/>
  <c r="U53" i="30" l="1"/>
  <c r="AP27" i="30" l="1"/>
  <c r="AP26" i="30"/>
  <c r="AI27" i="30"/>
  <c r="AI26" i="30"/>
  <c r="AB26" i="30"/>
  <c r="G33" i="30"/>
  <c r="AN26" i="30"/>
  <c r="AG26" i="30"/>
  <c r="Z26" i="30"/>
  <c r="AR25" i="30"/>
  <c r="AU25" i="30" s="1"/>
  <c r="AJ25" i="30"/>
  <c r="G38" i="27" l="1"/>
  <c r="U52" i="30"/>
  <c r="F14" i="28"/>
  <c r="S47" i="30"/>
  <c r="D55" i="1" l="1"/>
  <c r="F62" i="1"/>
  <c r="F29" i="1"/>
  <c r="H29" i="1" s="1"/>
  <c r="J29" i="1" s="1"/>
  <c r="F23" i="1"/>
  <c r="H23" i="1" s="1"/>
  <c r="J23" i="1" s="1"/>
  <c r="F16" i="1"/>
  <c r="H16" i="1" l="1"/>
  <c r="J16" i="1" s="1"/>
  <c r="AB27" i="30"/>
  <c r="G53" i="30"/>
  <c r="G52" i="30" l="1"/>
  <c r="B30" i="35" l="1"/>
  <c r="H39" i="28" l="1"/>
  <c r="G77" i="32"/>
  <c r="B221" i="34"/>
  <c r="F221" i="34"/>
  <c r="L9" i="28"/>
  <c r="I9" i="28"/>
  <c r="F10" i="28"/>
  <c r="H41" i="28" l="1"/>
  <c r="H47" i="28" s="1"/>
  <c r="D221" i="34"/>
  <c r="I221" i="34" l="1"/>
  <c r="H46" i="32"/>
  <c r="I46" i="32"/>
  <c r="J46" i="32"/>
  <c r="G46" i="32"/>
  <c r="C243" i="34"/>
  <c r="H47" i="27" l="1"/>
  <c r="I47" i="27" s="1"/>
  <c r="J47" i="27" s="1"/>
  <c r="R225" i="34" l="1"/>
  <c r="O225" i="34"/>
  <c r="L225" i="34"/>
  <c r="I225" i="34"/>
  <c r="F223" i="34"/>
  <c r="I219" i="34"/>
  <c r="F219" i="34"/>
  <c r="B217" i="34"/>
  <c r="F214" i="34"/>
  <c r="F215" i="34"/>
  <c r="F216" i="34"/>
  <c r="F213" i="34"/>
  <c r="J213" i="34"/>
  <c r="M213" i="34"/>
  <c r="P213" i="34"/>
  <c r="G214" i="34"/>
  <c r="H214" i="34"/>
  <c r="I214" i="34"/>
  <c r="M214" i="34"/>
  <c r="P214" i="34"/>
  <c r="G215" i="34"/>
  <c r="H215" i="34"/>
  <c r="I215" i="34"/>
  <c r="J215" i="34"/>
  <c r="K215" i="34"/>
  <c r="L215" i="34"/>
  <c r="P215" i="34"/>
  <c r="G216" i="34"/>
  <c r="H216" i="34"/>
  <c r="I216" i="34"/>
  <c r="J216" i="34"/>
  <c r="K216" i="34"/>
  <c r="L216" i="34"/>
  <c r="M216" i="34"/>
  <c r="N216" i="34"/>
  <c r="O216" i="34"/>
  <c r="D213" i="34"/>
  <c r="D214" i="34"/>
  <c r="D215" i="34"/>
  <c r="D216" i="34"/>
  <c r="B213" i="34"/>
  <c r="B214" i="34"/>
  <c r="B215" i="34"/>
  <c r="B216" i="34"/>
  <c r="D219" i="34"/>
  <c r="B227" i="34"/>
  <c r="B225" i="34"/>
  <c r="B223" i="34"/>
  <c r="B219" i="34"/>
  <c r="B211" i="34"/>
  <c r="K106" i="34"/>
  <c r="G58" i="32"/>
  <c r="K177" i="34"/>
  <c r="K197" i="34"/>
  <c r="K198" i="34"/>
  <c r="K199" i="34"/>
  <c r="K200" i="34"/>
  <c r="Q210" i="34" l="1"/>
  <c r="Q209" i="34"/>
  <c r="Q208" i="34"/>
  <c r="Q207" i="34"/>
  <c r="N205" i="34"/>
  <c r="N204" i="34"/>
  <c r="N203" i="34"/>
  <c r="N202" i="34"/>
  <c r="H195" i="34"/>
  <c r="H194" i="34"/>
  <c r="H193" i="34"/>
  <c r="H192" i="34"/>
  <c r="F210" i="34"/>
  <c r="F209" i="34"/>
  <c r="F208" i="34"/>
  <c r="F207" i="34"/>
  <c r="F205" i="34"/>
  <c r="F204" i="34"/>
  <c r="F203" i="34"/>
  <c r="F202" i="34"/>
  <c r="F200" i="34"/>
  <c r="F199" i="34"/>
  <c r="F198" i="34"/>
  <c r="F197" i="34"/>
  <c r="F195" i="34"/>
  <c r="F194" i="34"/>
  <c r="F193" i="34"/>
  <c r="F192" i="34"/>
  <c r="E210" i="34"/>
  <c r="E209" i="34"/>
  <c r="E208" i="34"/>
  <c r="E207" i="34"/>
  <c r="E205" i="34"/>
  <c r="E204" i="34"/>
  <c r="E203" i="34"/>
  <c r="E202" i="34"/>
  <c r="E200" i="34"/>
  <c r="E199" i="34"/>
  <c r="E198" i="34"/>
  <c r="E197" i="34"/>
  <c r="E195" i="34"/>
  <c r="E194" i="34"/>
  <c r="E193" i="34"/>
  <c r="E192" i="34"/>
  <c r="D210" i="34"/>
  <c r="D209" i="34"/>
  <c r="D208" i="34"/>
  <c r="D207" i="34"/>
  <c r="D205" i="34"/>
  <c r="D204" i="34"/>
  <c r="D203" i="34"/>
  <c r="D202" i="34"/>
  <c r="D200" i="34"/>
  <c r="D199" i="34"/>
  <c r="D198" i="34"/>
  <c r="D197" i="34"/>
  <c r="D195" i="34"/>
  <c r="D194" i="34"/>
  <c r="D193" i="34"/>
  <c r="D192" i="34"/>
  <c r="B208" i="34"/>
  <c r="B209" i="34"/>
  <c r="B210" i="34"/>
  <c r="B207" i="34"/>
  <c r="B203" i="34"/>
  <c r="B204" i="34"/>
  <c r="B205" i="34"/>
  <c r="B202" i="34"/>
  <c r="B198" i="34"/>
  <c r="B199" i="34"/>
  <c r="B200" i="34"/>
  <c r="B197" i="34"/>
  <c r="P188" i="34" l="1"/>
  <c r="K179" i="34" l="1"/>
  <c r="K174" i="34"/>
  <c r="Q172" i="34"/>
  <c r="O172" i="34"/>
  <c r="M172" i="34"/>
  <c r="K172" i="34"/>
  <c r="K183" i="34"/>
  <c r="K180" i="34"/>
  <c r="Q175" i="34"/>
  <c r="O175" i="34"/>
  <c r="M175" i="34"/>
  <c r="K175" i="34"/>
  <c r="AB19" i="29" l="1"/>
  <c r="AB18" i="29"/>
  <c r="V15" i="29"/>
  <c r="AH24" i="29"/>
  <c r="E16" i="26" l="1"/>
  <c r="I10" i="28" s="1"/>
  <c r="E9" i="2"/>
  <c r="H48" i="34" l="1"/>
  <c r="I48" i="34"/>
  <c r="J48" i="34"/>
  <c r="G48" i="34"/>
  <c r="J13" i="28" l="1"/>
  <c r="K192" i="34" l="1"/>
  <c r="F65" i="2"/>
  <c r="I12" i="20" l="1"/>
  <c r="E31" i="22"/>
  <c r="F31" i="22"/>
  <c r="G31" i="22"/>
  <c r="D31" i="22"/>
  <c r="B31" i="22"/>
  <c r="D20" i="22"/>
  <c r="E20" i="22"/>
  <c r="F20" i="22"/>
  <c r="G20" i="22"/>
  <c r="E16" i="22"/>
  <c r="F16" i="22"/>
  <c r="G16" i="22"/>
  <c r="D16" i="22"/>
  <c r="B16" i="22"/>
  <c r="H77" i="32" l="1"/>
  <c r="K39" i="28" s="1"/>
  <c r="L219" i="34" l="1"/>
  <c r="O46" i="34"/>
  <c r="O47" i="34"/>
  <c r="O48" i="34"/>
  <c r="L48" i="34"/>
  <c r="L47" i="34"/>
  <c r="P45" i="34"/>
  <c r="P46" i="34"/>
  <c r="P47" i="34"/>
  <c r="P48" i="34"/>
  <c r="O45" i="34"/>
  <c r="B11" i="34" l="1"/>
  <c r="H128" i="1"/>
  <c r="J128" i="1" s="1"/>
  <c r="U42" i="30"/>
  <c r="I28" i="20" l="1"/>
  <c r="B5" i="20" l="1"/>
  <c r="K153" i="34" l="1"/>
  <c r="M153" i="34"/>
  <c r="O153" i="34"/>
  <c r="Q153" i="34"/>
  <c r="C157" i="34"/>
  <c r="C156" i="34"/>
  <c r="C155" i="34"/>
  <c r="C154" i="34"/>
  <c r="C153" i="34"/>
  <c r="C151" i="34"/>
  <c r="C150" i="34"/>
  <c r="C152" i="34"/>
  <c r="J58" i="26"/>
  <c r="J59" i="26"/>
  <c r="J55" i="26" l="1"/>
  <c r="L46" i="34" s="1"/>
  <c r="J54" i="26"/>
  <c r="L45" i="34" s="1"/>
  <c r="N129" i="1" l="1"/>
  <c r="O129" i="1" s="1"/>
  <c r="F129" i="1"/>
  <c r="H129" i="1" l="1"/>
  <c r="J129" i="1" s="1"/>
  <c r="B30" i="27" l="1"/>
  <c r="B31" i="27" s="1"/>
  <c r="B32" i="27" s="1"/>
  <c r="B33" i="27" s="1"/>
  <c r="E29" i="22"/>
  <c r="F29" i="22"/>
  <c r="G29" i="22"/>
  <c r="D29" i="22"/>
  <c r="H71" i="32"/>
  <c r="H32" i="27" l="1"/>
  <c r="M151" i="34" s="1"/>
  <c r="I71" i="32"/>
  <c r="H59" i="26"/>
  <c r="J71" i="32" l="1"/>
  <c r="L71" i="32" s="1"/>
  <c r="I32" i="27"/>
  <c r="O151" i="34" s="1"/>
  <c r="D71" i="1"/>
  <c r="D65" i="1" s="1"/>
  <c r="J32" i="27" l="1"/>
  <c r="Q151" i="34" s="1"/>
  <c r="F70" i="1"/>
  <c r="H70" i="1" s="1"/>
  <c r="J70" i="1" s="1"/>
  <c r="C142" i="34" l="1"/>
  <c r="K126" i="34"/>
  <c r="Q118" i="34"/>
  <c r="O118" i="34"/>
  <c r="M118" i="34"/>
  <c r="K118" i="34"/>
  <c r="Q109" i="34"/>
  <c r="P230" i="34" s="1"/>
  <c r="O109" i="34"/>
  <c r="N230" i="34" s="1"/>
  <c r="M109" i="34"/>
  <c r="L230" i="34" s="1"/>
  <c r="K109" i="34"/>
  <c r="K134" i="34" s="1"/>
  <c r="K169" i="34" s="1"/>
  <c r="K77" i="34"/>
  <c r="M77" i="34" s="1"/>
  <c r="O77" i="34" s="1"/>
  <c r="Q77" i="34" s="1"/>
  <c r="M74" i="34"/>
  <c r="K74" i="34"/>
  <c r="Q70" i="34"/>
  <c r="O70" i="34"/>
  <c r="M70" i="34"/>
  <c r="K70" i="34"/>
  <c r="Q69" i="34"/>
  <c r="O69" i="34"/>
  <c r="M69" i="34"/>
  <c r="K69" i="34"/>
  <c r="K62" i="34"/>
  <c r="Q59" i="34"/>
  <c r="O59" i="34"/>
  <c r="M59" i="34"/>
  <c r="K59" i="34"/>
  <c r="K58" i="34"/>
  <c r="Q56" i="34"/>
  <c r="O56" i="34"/>
  <c r="M56" i="34"/>
  <c r="J47" i="34"/>
  <c r="I47" i="34"/>
  <c r="H47" i="34"/>
  <c r="G47" i="34"/>
  <c r="C47" i="34"/>
  <c r="J46" i="34"/>
  <c r="I46" i="34"/>
  <c r="H46" i="34"/>
  <c r="G46" i="34"/>
  <c r="C46" i="34"/>
  <c r="J45" i="34"/>
  <c r="I45" i="34"/>
  <c r="H45" i="34"/>
  <c r="G45" i="34"/>
  <c r="C45" i="34"/>
  <c r="J43" i="34"/>
  <c r="I43" i="34"/>
  <c r="H43" i="34"/>
  <c r="G43" i="34"/>
  <c r="J42" i="34"/>
  <c r="I42" i="34"/>
  <c r="H42" i="34"/>
  <c r="G42" i="34"/>
  <c r="I40" i="34"/>
  <c r="H40" i="34"/>
  <c r="G40" i="34"/>
  <c r="J39" i="34"/>
  <c r="I39" i="34"/>
  <c r="H39" i="34"/>
  <c r="G39" i="34"/>
  <c r="L34" i="34"/>
  <c r="L32" i="34"/>
  <c r="J32" i="34"/>
  <c r="I32" i="34"/>
  <c r="H32" i="34"/>
  <c r="G32" i="34"/>
  <c r="L31" i="34"/>
  <c r="J31" i="34"/>
  <c r="I31" i="34"/>
  <c r="H31" i="34"/>
  <c r="G31" i="34"/>
  <c r="J30" i="34"/>
  <c r="I30" i="34"/>
  <c r="H30" i="34"/>
  <c r="G30" i="34"/>
  <c r="L29" i="34"/>
  <c r="J29" i="34"/>
  <c r="I29" i="34"/>
  <c r="H29" i="34"/>
  <c r="G29" i="34"/>
  <c r="J28" i="34"/>
  <c r="I28" i="34"/>
  <c r="H28" i="34"/>
  <c r="G28" i="34"/>
  <c r="L27" i="34"/>
  <c r="J27" i="34"/>
  <c r="I27" i="34"/>
  <c r="H27" i="34"/>
  <c r="G27" i="34"/>
  <c r="L25" i="34"/>
  <c r="J25" i="34"/>
  <c r="I25" i="34"/>
  <c r="H25" i="34"/>
  <c r="G25" i="34"/>
  <c r="J24" i="34"/>
  <c r="I24" i="34"/>
  <c r="H24" i="34"/>
  <c r="G24" i="34"/>
  <c r="L23" i="34"/>
  <c r="J23" i="34"/>
  <c r="I23" i="34"/>
  <c r="H23" i="34"/>
  <c r="G23" i="34"/>
  <c r="J22" i="34"/>
  <c r="I22" i="34"/>
  <c r="H22" i="34"/>
  <c r="G22" i="34"/>
  <c r="L21" i="34"/>
  <c r="J21" i="34"/>
  <c r="I21" i="34"/>
  <c r="H21" i="34"/>
  <c r="G21" i="34"/>
  <c r="J20" i="34"/>
  <c r="I20" i="34"/>
  <c r="H20" i="34"/>
  <c r="G20" i="34"/>
  <c r="L19" i="34"/>
  <c r="J19" i="34"/>
  <c r="I19" i="34"/>
  <c r="H19" i="34"/>
  <c r="G19" i="34"/>
  <c r="J18" i="34"/>
  <c r="I18" i="34"/>
  <c r="H18" i="34"/>
  <c r="G18" i="34"/>
  <c r="L17" i="34"/>
  <c r="J17" i="34"/>
  <c r="I17" i="34"/>
  <c r="H17" i="34"/>
  <c r="G17" i="34"/>
  <c r="G16" i="34"/>
  <c r="G36" i="34" s="1"/>
  <c r="K54" i="34" s="1"/>
  <c r="L13" i="34"/>
  <c r="B13" i="34"/>
  <c r="B12" i="34"/>
  <c r="L11" i="34"/>
  <c r="L9" i="34"/>
  <c r="B9" i="34"/>
  <c r="L7" i="34"/>
  <c r="B7" i="34"/>
  <c r="L3" i="34"/>
  <c r="L66" i="29"/>
  <c r="J66" i="29"/>
  <c r="R64" i="29"/>
  <c r="B57" i="29"/>
  <c r="AK53" i="29"/>
  <c r="AL52" i="29"/>
  <c r="AH52" i="29"/>
  <c r="AJ52" i="29" s="1"/>
  <c r="Y52" i="29"/>
  <c r="S52" i="29"/>
  <c r="P52" i="29"/>
  <c r="R52" i="29" s="1"/>
  <c r="M52" i="29"/>
  <c r="AL51" i="29"/>
  <c r="AH51" i="29"/>
  <c r="AJ51" i="29" s="1"/>
  <c r="AB51" i="29"/>
  <c r="AD51" i="29" s="1"/>
  <c r="Y51" i="29"/>
  <c r="S51" i="29"/>
  <c r="P51" i="29"/>
  <c r="R51" i="29" s="1"/>
  <c r="M51" i="29"/>
  <c r="AL50" i="29"/>
  <c r="AH50" i="29"/>
  <c r="AJ50" i="29" s="1"/>
  <c r="AB50" i="29"/>
  <c r="AD50" i="29" s="1"/>
  <c r="V50" i="29"/>
  <c r="X50" i="29" s="1"/>
  <c r="S50" i="29"/>
  <c r="M50" i="29"/>
  <c r="AL49" i="29"/>
  <c r="AH49" i="29"/>
  <c r="AB49" i="29"/>
  <c r="V49" i="29"/>
  <c r="X49" i="29" s="1"/>
  <c r="P49" i="29"/>
  <c r="R49" i="29" s="1"/>
  <c r="AF48" i="29"/>
  <c r="AE48" i="29"/>
  <c r="Z48" i="29"/>
  <c r="Y48" i="29"/>
  <c r="T48" i="29"/>
  <c r="S48" i="29"/>
  <c r="N48" i="29"/>
  <c r="N53" i="29" s="1"/>
  <c r="M48" i="29"/>
  <c r="AH44" i="29"/>
  <c r="V41" i="29"/>
  <c r="V52" i="29" s="1"/>
  <c r="X52" i="29" s="1"/>
  <c r="D41" i="29"/>
  <c r="C41" i="29"/>
  <c r="B41" i="29"/>
  <c r="D38" i="29"/>
  <c r="C38" i="29"/>
  <c r="B38" i="29"/>
  <c r="J35" i="29"/>
  <c r="D35" i="29"/>
  <c r="C35" i="29"/>
  <c r="B35" i="29"/>
  <c r="D32" i="29"/>
  <c r="C32" i="29"/>
  <c r="B32" i="29"/>
  <c r="AD23" i="29"/>
  <c r="D23" i="29"/>
  <c r="C23" i="29"/>
  <c r="B23" i="29"/>
  <c r="A23" i="29"/>
  <c r="AD22" i="29"/>
  <c r="D22" i="29"/>
  <c r="C22" i="29"/>
  <c r="B22" i="29"/>
  <c r="A22" i="29"/>
  <c r="AD21" i="29"/>
  <c r="D21" i="29"/>
  <c r="C21" i="29"/>
  <c r="AJ21" i="29" s="1"/>
  <c r="B21" i="29"/>
  <c r="A21" i="29"/>
  <c r="AD20" i="29"/>
  <c r="D20" i="29"/>
  <c r="C20" i="29"/>
  <c r="AJ20" i="29" s="1"/>
  <c r="B20" i="29"/>
  <c r="A20" i="29"/>
  <c r="X19" i="29"/>
  <c r="D19" i="29"/>
  <c r="C19" i="29"/>
  <c r="W19" i="29" s="1"/>
  <c r="AC19" i="29" s="1"/>
  <c r="AI19" i="29" s="1"/>
  <c r="B19" i="29"/>
  <c r="A19" i="29"/>
  <c r="X18" i="29"/>
  <c r="D18" i="29"/>
  <c r="C18" i="29"/>
  <c r="B18" i="29"/>
  <c r="A18" i="29"/>
  <c r="AB17" i="29"/>
  <c r="X17" i="29"/>
  <c r="D17" i="29"/>
  <c r="C17" i="29"/>
  <c r="W17" i="29" s="1"/>
  <c r="AC17" i="29" s="1"/>
  <c r="AI17" i="29" s="1"/>
  <c r="B17" i="29"/>
  <c r="A17" i="29"/>
  <c r="AB16" i="29"/>
  <c r="X16" i="29"/>
  <c r="D16" i="29"/>
  <c r="C16" i="29"/>
  <c r="B16" i="29"/>
  <c r="A16" i="29"/>
  <c r="AB15" i="29"/>
  <c r="R15" i="29"/>
  <c r="D15" i="29"/>
  <c r="C15" i="29"/>
  <c r="B15" i="29"/>
  <c r="A15" i="29"/>
  <c r="AB14" i="29"/>
  <c r="V14" i="29"/>
  <c r="R14" i="29"/>
  <c r="D14" i="29"/>
  <c r="C14" i="29"/>
  <c r="Q14" i="29" s="1"/>
  <c r="W14" i="29" s="1"/>
  <c r="AC14" i="29" s="1"/>
  <c r="AI14" i="29" s="1"/>
  <c r="B14" i="29"/>
  <c r="A14" i="29"/>
  <c r="AB13" i="29"/>
  <c r="V13" i="29"/>
  <c r="R13" i="29"/>
  <c r="D13" i="29"/>
  <c r="C13" i="29"/>
  <c r="B13" i="29"/>
  <c r="A13" i="29"/>
  <c r="AB12" i="29"/>
  <c r="V12" i="29"/>
  <c r="R12" i="29"/>
  <c r="D12" i="29"/>
  <c r="C12" i="29"/>
  <c r="B12" i="29"/>
  <c r="A12" i="29"/>
  <c r="AB11" i="29"/>
  <c r="V11" i="29"/>
  <c r="P11" i="29"/>
  <c r="L11" i="29"/>
  <c r="D11" i="29"/>
  <c r="C11" i="29"/>
  <c r="K11" i="29" s="1"/>
  <c r="B11" i="29"/>
  <c r="A11" i="29"/>
  <c r="AB10" i="29"/>
  <c r="V10" i="29"/>
  <c r="P10" i="29"/>
  <c r="L10" i="29"/>
  <c r="D10" i="29"/>
  <c r="C10" i="29"/>
  <c r="K10" i="29" s="1"/>
  <c r="B10" i="29"/>
  <c r="A10" i="29"/>
  <c r="AB9" i="29"/>
  <c r="V9" i="29"/>
  <c r="P9" i="29"/>
  <c r="L9" i="29"/>
  <c r="D9" i="29"/>
  <c r="C9" i="29"/>
  <c r="B9" i="29"/>
  <c r="A9" i="29"/>
  <c r="AB8" i="29"/>
  <c r="V8" i="29"/>
  <c r="P8" i="29"/>
  <c r="L8" i="29"/>
  <c r="L24" i="29" s="1"/>
  <c r="D8" i="29"/>
  <c r="C8" i="29"/>
  <c r="K8" i="29" s="1"/>
  <c r="B8" i="29"/>
  <c r="A8" i="29"/>
  <c r="E27" i="29"/>
  <c r="E26" i="29"/>
  <c r="C49" i="22"/>
  <c r="G45" i="22"/>
  <c r="F45" i="22"/>
  <c r="E45" i="22"/>
  <c r="D45" i="22"/>
  <c r="D42" i="22"/>
  <c r="B42" i="22"/>
  <c r="G41" i="22"/>
  <c r="F41" i="22"/>
  <c r="E41" i="22"/>
  <c r="D41" i="22"/>
  <c r="B41" i="22"/>
  <c r="A41" i="22"/>
  <c r="G38" i="22"/>
  <c r="F38" i="22"/>
  <c r="E38" i="22"/>
  <c r="D38" i="22"/>
  <c r="B38" i="22"/>
  <c r="D35" i="22"/>
  <c r="B35" i="22"/>
  <c r="G34" i="22"/>
  <c r="F34" i="22"/>
  <c r="E34" i="22"/>
  <c r="D34" i="22"/>
  <c r="B34" i="22"/>
  <c r="A34" i="22"/>
  <c r="G28" i="22"/>
  <c r="G30" i="22" s="1"/>
  <c r="F28" i="22"/>
  <c r="F30" i="22" s="1"/>
  <c r="E28" i="22"/>
  <c r="E30" i="22" s="1"/>
  <c r="D28" i="22"/>
  <c r="D30" i="22" s="1"/>
  <c r="B28" i="22"/>
  <c r="A28" i="22"/>
  <c r="G25" i="22"/>
  <c r="F25" i="22"/>
  <c r="E25" i="22"/>
  <c r="D25" i="22"/>
  <c r="B25" i="22"/>
  <c r="K24" i="22"/>
  <c r="J24" i="22"/>
  <c r="K22" i="22"/>
  <c r="J22" i="22"/>
  <c r="D22" i="22"/>
  <c r="B22" i="22"/>
  <c r="G19" i="22"/>
  <c r="G21" i="22" s="1"/>
  <c r="F19" i="22"/>
  <c r="F21" i="22" s="1"/>
  <c r="E19" i="22"/>
  <c r="E21" i="22" s="1"/>
  <c r="D19" i="22"/>
  <c r="D21" i="22" s="1"/>
  <c r="B19" i="22"/>
  <c r="A19" i="22"/>
  <c r="K18" i="22"/>
  <c r="J18" i="22"/>
  <c r="W16" i="22"/>
  <c r="V16" i="22"/>
  <c r="U16" i="22"/>
  <c r="T16" i="22"/>
  <c r="S16" i="22"/>
  <c r="R16" i="22"/>
  <c r="Q16" i="22"/>
  <c r="P16" i="22"/>
  <c r="O16" i="22"/>
  <c r="N16" i="22"/>
  <c r="M16" i="22"/>
  <c r="K16" i="22"/>
  <c r="J16" i="22"/>
  <c r="G15" i="22"/>
  <c r="F15" i="22"/>
  <c r="E15" i="22"/>
  <c r="D15" i="22"/>
  <c r="B15" i="22"/>
  <c r="A15" i="22"/>
  <c r="K14" i="22"/>
  <c r="J14" i="22"/>
  <c r="W12" i="22"/>
  <c r="V12" i="22"/>
  <c r="U12" i="22"/>
  <c r="T12" i="22"/>
  <c r="S12" i="22"/>
  <c r="R12" i="22"/>
  <c r="Q12" i="22"/>
  <c r="P12" i="22"/>
  <c r="O12" i="22"/>
  <c r="N12" i="22"/>
  <c r="M12" i="22"/>
  <c r="L12" i="22"/>
  <c r="K12" i="22"/>
  <c r="J12" i="22"/>
  <c r="G12" i="22"/>
  <c r="F12" i="22"/>
  <c r="E12" i="22"/>
  <c r="D12" i="22"/>
  <c r="B12" i="22"/>
  <c r="K10" i="22"/>
  <c r="J10" i="22"/>
  <c r="I10" i="22"/>
  <c r="D9" i="22"/>
  <c r="B9" i="22"/>
  <c r="G8" i="22"/>
  <c r="F8" i="22"/>
  <c r="E8" i="22"/>
  <c r="D8" i="22"/>
  <c r="B8" i="22"/>
  <c r="A8" i="22"/>
  <c r="W7" i="22"/>
  <c r="V7" i="22"/>
  <c r="U7" i="22"/>
  <c r="T7" i="22"/>
  <c r="S7" i="22"/>
  <c r="R7" i="22"/>
  <c r="Q7" i="22"/>
  <c r="P7" i="22"/>
  <c r="O7" i="22"/>
  <c r="N7" i="22"/>
  <c r="M7" i="22"/>
  <c r="L7" i="22"/>
  <c r="K7" i="22"/>
  <c r="J7" i="22"/>
  <c r="I7" i="22"/>
  <c r="K5" i="22"/>
  <c r="J5" i="22"/>
  <c r="I5" i="22"/>
  <c r="G5" i="22"/>
  <c r="F5" i="22"/>
  <c r="E5" i="22"/>
  <c r="D5" i="22"/>
  <c r="B5" i="22"/>
  <c r="G4" i="22"/>
  <c r="J23" i="27" s="1"/>
  <c r="F4" i="22"/>
  <c r="I23" i="27" s="1"/>
  <c r="E4" i="22"/>
  <c r="H23" i="27" s="1"/>
  <c r="D4" i="22"/>
  <c r="G23" i="27" s="1"/>
  <c r="B4" i="22"/>
  <c r="A4" i="22"/>
  <c r="K3" i="22"/>
  <c r="J3" i="22"/>
  <c r="I3" i="22"/>
  <c r="D3" i="22"/>
  <c r="W2" i="22"/>
  <c r="V2" i="22"/>
  <c r="U2" i="22"/>
  <c r="T2" i="22"/>
  <c r="S2" i="22"/>
  <c r="R2" i="22"/>
  <c r="Q2" i="22"/>
  <c r="P2" i="22"/>
  <c r="O2" i="22"/>
  <c r="N2" i="22"/>
  <c r="M2" i="22"/>
  <c r="L2" i="22"/>
  <c r="F67" i="2"/>
  <c r="G67" i="2" s="1"/>
  <c r="H67" i="2" s="1"/>
  <c r="M66" i="2"/>
  <c r="F66" i="2"/>
  <c r="M65" i="2"/>
  <c r="E64" i="2"/>
  <c r="F63" i="2"/>
  <c r="G63" i="2" s="1"/>
  <c r="H63" i="2" s="1"/>
  <c r="E62" i="2"/>
  <c r="F61" i="2"/>
  <c r="M60" i="2"/>
  <c r="N60" i="2" s="1"/>
  <c r="F60" i="2"/>
  <c r="M59" i="2"/>
  <c r="N59" i="2" s="1"/>
  <c r="F59" i="2"/>
  <c r="E58" i="2"/>
  <c r="F57" i="2"/>
  <c r="G57" i="2" s="1"/>
  <c r="H57" i="2" s="1"/>
  <c r="F55" i="2"/>
  <c r="M54" i="2"/>
  <c r="N54" i="2" s="1"/>
  <c r="F54" i="2"/>
  <c r="G54" i="2" s="1"/>
  <c r="M53" i="2"/>
  <c r="N53" i="2" s="1"/>
  <c r="F53" i="2"/>
  <c r="E52" i="2"/>
  <c r="E56" i="2" s="1"/>
  <c r="G51" i="2"/>
  <c r="H51" i="2" s="1"/>
  <c r="F49" i="2"/>
  <c r="M48" i="2"/>
  <c r="N48" i="2" s="1"/>
  <c r="F48" i="2"/>
  <c r="G48" i="2" s="1"/>
  <c r="M47" i="2"/>
  <c r="N47" i="2" s="1"/>
  <c r="F47" i="2"/>
  <c r="E46" i="2"/>
  <c r="E50" i="2" s="1"/>
  <c r="F45" i="2"/>
  <c r="G45" i="2" s="1"/>
  <c r="H45" i="2" s="1"/>
  <c r="F43" i="2"/>
  <c r="M42" i="2"/>
  <c r="N42" i="2" s="1"/>
  <c r="F42" i="2"/>
  <c r="M41" i="2"/>
  <c r="F41" i="2"/>
  <c r="E40" i="2"/>
  <c r="E44" i="2" s="1"/>
  <c r="F39" i="2"/>
  <c r="G39" i="2" s="1"/>
  <c r="H39" i="2" s="1"/>
  <c r="F37" i="2"/>
  <c r="M36" i="2"/>
  <c r="N36" i="2" s="1"/>
  <c r="F36" i="2"/>
  <c r="M35" i="2"/>
  <c r="N35" i="2" s="1"/>
  <c r="F35" i="2"/>
  <c r="E34" i="2"/>
  <c r="E38" i="2" s="1"/>
  <c r="F33" i="2"/>
  <c r="G33" i="2" s="1"/>
  <c r="H33" i="2" s="1"/>
  <c r="F31" i="2"/>
  <c r="M30" i="2"/>
  <c r="N30" i="2" s="1"/>
  <c r="F30" i="2"/>
  <c r="M29" i="2"/>
  <c r="N29" i="2" s="1"/>
  <c r="F29" i="2"/>
  <c r="E28" i="2"/>
  <c r="E32" i="2" s="1"/>
  <c r="F27" i="2"/>
  <c r="G27" i="2" s="1"/>
  <c r="H27" i="2" s="1"/>
  <c r="F25" i="2"/>
  <c r="G25" i="2" s="1"/>
  <c r="M24" i="2"/>
  <c r="N24" i="2" s="1"/>
  <c r="F24" i="2"/>
  <c r="M23" i="2"/>
  <c r="N23" i="2" s="1"/>
  <c r="F23" i="2"/>
  <c r="E22" i="2"/>
  <c r="E26" i="2" s="1"/>
  <c r="F21" i="2"/>
  <c r="G21" i="2" s="1"/>
  <c r="H21" i="2" s="1"/>
  <c r="F19" i="2"/>
  <c r="M18" i="2"/>
  <c r="N18" i="2" s="1"/>
  <c r="F18" i="2"/>
  <c r="M17" i="2"/>
  <c r="N17" i="2" s="1"/>
  <c r="F17" i="2"/>
  <c r="E16" i="2"/>
  <c r="E20" i="2" s="1"/>
  <c r="F15" i="2"/>
  <c r="H9" i="2"/>
  <c r="G9" i="2"/>
  <c r="F9" i="2"/>
  <c r="E7" i="2"/>
  <c r="N131" i="1"/>
  <c r="O131" i="1" s="1"/>
  <c r="F131" i="1"/>
  <c r="N130" i="1"/>
  <c r="O130" i="1" s="1"/>
  <c r="F130" i="1"/>
  <c r="H130" i="1" s="1"/>
  <c r="J130" i="1" s="1"/>
  <c r="N127" i="1"/>
  <c r="O127" i="1" s="1"/>
  <c r="F127" i="1"/>
  <c r="N126" i="1"/>
  <c r="O126" i="1" s="1"/>
  <c r="F126" i="1"/>
  <c r="N125" i="1"/>
  <c r="O125" i="1" s="1"/>
  <c r="F125" i="1"/>
  <c r="N124" i="1"/>
  <c r="F124" i="1"/>
  <c r="N123" i="1"/>
  <c r="O123" i="1" s="1"/>
  <c r="F123" i="1"/>
  <c r="N122" i="1"/>
  <c r="O122" i="1" s="1"/>
  <c r="F122" i="1"/>
  <c r="N121" i="1"/>
  <c r="O121" i="1" s="1"/>
  <c r="F121" i="1"/>
  <c r="D120" i="1"/>
  <c r="N119" i="1"/>
  <c r="O119" i="1" s="1"/>
  <c r="F119" i="1"/>
  <c r="N118" i="1"/>
  <c r="O118" i="1" s="1"/>
  <c r="F118" i="1"/>
  <c r="N117" i="1"/>
  <c r="O117" i="1" s="1"/>
  <c r="F117" i="1"/>
  <c r="N116" i="1"/>
  <c r="F116" i="1"/>
  <c r="D115" i="1"/>
  <c r="N114" i="1"/>
  <c r="F114" i="1"/>
  <c r="N113" i="1"/>
  <c r="O113" i="1" s="1"/>
  <c r="F113" i="1"/>
  <c r="D112" i="1"/>
  <c r="N111" i="1"/>
  <c r="O111" i="1" s="1"/>
  <c r="F111" i="1"/>
  <c r="N110" i="1"/>
  <c r="O110" i="1" s="1"/>
  <c r="F110" i="1"/>
  <c r="N109" i="1"/>
  <c r="F109" i="1"/>
  <c r="N108" i="1"/>
  <c r="O108" i="1" s="1"/>
  <c r="F108" i="1"/>
  <c r="D107" i="1"/>
  <c r="N106" i="1"/>
  <c r="O106" i="1" s="1"/>
  <c r="F106" i="1"/>
  <c r="N105" i="1"/>
  <c r="O105" i="1" s="1"/>
  <c r="F105" i="1"/>
  <c r="N104" i="1"/>
  <c r="F104" i="1"/>
  <c r="N103" i="1"/>
  <c r="O103" i="1" s="1"/>
  <c r="F103" i="1"/>
  <c r="D102" i="1"/>
  <c r="N101" i="1"/>
  <c r="O101" i="1" s="1"/>
  <c r="F101" i="1"/>
  <c r="N100" i="1"/>
  <c r="O100" i="1" s="1"/>
  <c r="F100" i="1"/>
  <c r="N99" i="1"/>
  <c r="F99" i="1"/>
  <c r="N98" i="1"/>
  <c r="O98" i="1" s="1"/>
  <c r="F98" i="1"/>
  <c r="N97" i="1"/>
  <c r="O97" i="1" s="1"/>
  <c r="F97" i="1"/>
  <c r="D96" i="1"/>
  <c r="N95" i="1"/>
  <c r="O95" i="1" s="1"/>
  <c r="F95" i="1"/>
  <c r="N94" i="1"/>
  <c r="F94" i="1"/>
  <c r="N93" i="1"/>
  <c r="O93" i="1" s="1"/>
  <c r="F93" i="1"/>
  <c r="N92" i="1"/>
  <c r="O92" i="1" s="1"/>
  <c r="F92" i="1"/>
  <c r="D91" i="1"/>
  <c r="N90" i="1"/>
  <c r="O90" i="1" s="1"/>
  <c r="F90" i="1"/>
  <c r="N89" i="1"/>
  <c r="O89" i="1" s="1"/>
  <c r="F89" i="1"/>
  <c r="N88" i="1"/>
  <c r="O88" i="1" s="1"/>
  <c r="F88" i="1"/>
  <c r="D87" i="1"/>
  <c r="N86" i="1"/>
  <c r="O86" i="1" s="1"/>
  <c r="F86" i="1"/>
  <c r="N85" i="1"/>
  <c r="O85" i="1" s="1"/>
  <c r="F85" i="1"/>
  <c r="N84" i="1"/>
  <c r="F84" i="1"/>
  <c r="D83" i="1"/>
  <c r="N82" i="1"/>
  <c r="O82" i="1" s="1"/>
  <c r="F82" i="1"/>
  <c r="N81" i="1"/>
  <c r="O81" i="1" s="1"/>
  <c r="F81" i="1"/>
  <c r="N80" i="1"/>
  <c r="O80" i="1" s="1"/>
  <c r="F80" i="1"/>
  <c r="N79" i="1"/>
  <c r="O79" i="1" s="1"/>
  <c r="F79" i="1"/>
  <c r="N78" i="1"/>
  <c r="O78" i="1" s="1"/>
  <c r="F78" i="1"/>
  <c r="D77" i="1"/>
  <c r="N76" i="1"/>
  <c r="O76" i="1" s="1"/>
  <c r="F76" i="1"/>
  <c r="N75" i="1"/>
  <c r="O75" i="1" s="1"/>
  <c r="F75" i="1"/>
  <c r="N74" i="1"/>
  <c r="O74" i="1" s="1"/>
  <c r="F74" i="1"/>
  <c r="N73" i="1"/>
  <c r="O73" i="1" s="1"/>
  <c r="F73" i="1"/>
  <c r="D72" i="1"/>
  <c r="J71" i="1"/>
  <c r="F71" i="1"/>
  <c r="N64" i="1"/>
  <c r="O64" i="1" s="1"/>
  <c r="F64" i="1"/>
  <c r="N63" i="1"/>
  <c r="F63" i="1"/>
  <c r="N62" i="1"/>
  <c r="O62" i="1" s="1"/>
  <c r="N61" i="1"/>
  <c r="O61" i="1" s="1"/>
  <c r="F61" i="1"/>
  <c r="N60" i="1"/>
  <c r="O60" i="1" s="1"/>
  <c r="F60" i="1"/>
  <c r="N59" i="1"/>
  <c r="O59" i="1" s="1"/>
  <c r="F59" i="1"/>
  <c r="N58" i="1"/>
  <c r="O58" i="1" s="1"/>
  <c r="F58" i="1"/>
  <c r="N57" i="1"/>
  <c r="O57" i="1" s="1"/>
  <c r="F57" i="1"/>
  <c r="N56" i="1"/>
  <c r="O56" i="1" s="1"/>
  <c r="F56" i="1"/>
  <c r="F55" i="1"/>
  <c r="H55" i="1" s="1"/>
  <c r="J55" i="1" s="1"/>
  <c r="N54" i="1"/>
  <c r="O54" i="1" s="1"/>
  <c r="F54" i="1"/>
  <c r="N53" i="1"/>
  <c r="O53" i="1" s="1"/>
  <c r="D53" i="1"/>
  <c r="N51" i="1"/>
  <c r="O51" i="1" s="1"/>
  <c r="F51" i="1"/>
  <c r="N50" i="1"/>
  <c r="O50" i="1" s="1"/>
  <c r="F50" i="1"/>
  <c r="N49" i="1"/>
  <c r="O49" i="1" s="1"/>
  <c r="F49" i="1"/>
  <c r="N48" i="1"/>
  <c r="O48" i="1" s="1"/>
  <c r="F48" i="1"/>
  <c r="N47" i="1"/>
  <c r="O47" i="1" s="1"/>
  <c r="F47" i="1"/>
  <c r="D46" i="1"/>
  <c r="N43" i="1"/>
  <c r="F43" i="1"/>
  <c r="N42" i="1"/>
  <c r="O42" i="1" s="1"/>
  <c r="F40" i="1"/>
  <c r="H40" i="1" s="1"/>
  <c r="J40" i="1" s="1"/>
  <c r="F38" i="1"/>
  <c r="H38" i="1" s="1"/>
  <c r="J38" i="1" s="1"/>
  <c r="F36" i="1"/>
  <c r="H36" i="1" s="1"/>
  <c r="J36" i="1" s="1"/>
  <c r="N35" i="1"/>
  <c r="O35" i="1" s="1"/>
  <c r="F33" i="1"/>
  <c r="N28" i="1"/>
  <c r="O28" i="1" s="1"/>
  <c r="F28" i="1"/>
  <c r="AN27" i="30" s="1"/>
  <c r="H27" i="1"/>
  <c r="J27" i="1" s="1"/>
  <c r="D24" i="1"/>
  <c r="AM26" i="30" s="1"/>
  <c r="F26" i="1"/>
  <c r="H26" i="1" s="1"/>
  <c r="N25" i="1"/>
  <c r="O25" i="1" s="1"/>
  <c r="F25" i="1"/>
  <c r="N22" i="1"/>
  <c r="O22" i="1" s="1"/>
  <c r="F22" i="1"/>
  <c r="AG27" i="30" s="1"/>
  <c r="H21" i="1"/>
  <c r="J21" i="1" s="1"/>
  <c r="D17" i="1"/>
  <c r="F20" i="1"/>
  <c r="H20" i="1" s="1"/>
  <c r="J20" i="1" s="1"/>
  <c r="F19" i="1"/>
  <c r="H19" i="1" s="1"/>
  <c r="J19" i="1" s="1"/>
  <c r="N18" i="1"/>
  <c r="O18" i="1" s="1"/>
  <c r="F18" i="1"/>
  <c r="H15" i="1"/>
  <c r="J15" i="1" s="1"/>
  <c r="D12" i="1"/>
  <c r="Y26" i="30" s="1"/>
  <c r="N14" i="1"/>
  <c r="O14" i="1" s="1"/>
  <c r="F14" i="1"/>
  <c r="Z27" i="30" s="1"/>
  <c r="N13" i="1"/>
  <c r="O13" i="1" s="1"/>
  <c r="F13" i="1"/>
  <c r="J10" i="1"/>
  <c r="H10" i="1"/>
  <c r="F10" i="1"/>
  <c r="D7" i="1"/>
  <c r="C3" i="33"/>
  <c r="D3" i="33" s="1"/>
  <c r="N2" i="33"/>
  <c r="N25" i="33" s="1"/>
  <c r="M2" i="33"/>
  <c r="M25" i="33" s="1"/>
  <c r="L2" i="33"/>
  <c r="L25" i="33" s="1"/>
  <c r="K2" i="33"/>
  <c r="K25" i="33" s="1"/>
  <c r="J2" i="33"/>
  <c r="J25" i="33" s="1"/>
  <c r="I2" i="33"/>
  <c r="I25" i="33" s="1"/>
  <c r="H2" i="33"/>
  <c r="H25" i="33" s="1"/>
  <c r="G2" i="33"/>
  <c r="G25" i="33" s="1"/>
  <c r="F2" i="33"/>
  <c r="F25" i="33" s="1"/>
  <c r="E2" i="33"/>
  <c r="E25" i="33" s="1"/>
  <c r="D2" i="33"/>
  <c r="D25" i="33" s="1"/>
  <c r="C2" i="33"/>
  <c r="C25" i="33" s="1"/>
  <c r="Q49" i="28"/>
  <c r="C37" i="28"/>
  <c r="D217" i="34" s="1"/>
  <c r="O36" i="28"/>
  <c r="P216" i="34" s="1"/>
  <c r="L35" i="28"/>
  <c r="I34" i="28"/>
  <c r="F33" i="28"/>
  <c r="G32" i="28"/>
  <c r="C32" i="28"/>
  <c r="O31" i="28"/>
  <c r="O30" i="28"/>
  <c r="O29" i="28"/>
  <c r="P208" i="34" s="1"/>
  <c r="O28" i="28"/>
  <c r="P26" i="28"/>
  <c r="L26" i="28"/>
  <c r="P25" i="28"/>
  <c r="L25" i="28"/>
  <c r="P24" i="28"/>
  <c r="L24" i="28"/>
  <c r="P23" i="28"/>
  <c r="L23" i="28"/>
  <c r="M21" i="28"/>
  <c r="I21" i="28"/>
  <c r="M20" i="28"/>
  <c r="I20" i="28"/>
  <c r="M19" i="28"/>
  <c r="I19" i="28"/>
  <c r="M18" i="28"/>
  <c r="N197" i="34" s="1"/>
  <c r="I18" i="28"/>
  <c r="J16" i="28"/>
  <c r="F16" i="28"/>
  <c r="J15" i="28"/>
  <c r="K194" i="34" s="1"/>
  <c r="F15" i="28"/>
  <c r="J14" i="28"/>
  <c r="F13" i="28"/>
  <c r="F9" i="28"/>
  <c r="Q96" i="30"/>
  <c r="P96" i="30"/>
  <c r="O96" i="30"/>
  <c r="N96" i="30"/>
  <c r="M96" i="30"/>
  <c r="L96" i="30"/>
  <c r="K96" i="30"/>
  <c r="J96" i="30"/>
  <c r="I96" i="30"/>
  <c r="H96" i="30"/>
  <c r="G96" i="30"/>
  <c r="F96" i="30"/>
  <c r="D64" i="30"/>
  <c r="N62" i="30"/>
  <c r="J62" i="30"/>
  <c r="I62" i="30"/>
  <c r="S53" i="30"/>
  <c r="T53" i="30" s="1"/>
  <c r="S52" i="30"/>
  <c r="T52" i="30" s="1"/>
  <c r="S51" i="30"/>
  <c r="B49" i="30"/>
  <c r="B50" i="30" s="1"/>
  <c r="B51" i="30" s="1"/>
  <c r="B52" i="30" s="1"/>
  <c r="B53" i="30" s="1"/>
  <c r="S44" i="30"/>
  <c r="S43" i="30"/>
  <c r="S41" i="30"/>
  <c r="U37" i="30"/>
  <c r="U29" i="30"/>
  <c r="L16" i="22"/>
  <c r="S25" i="30"/>
  <c r="B25" i="30"/>
  <c r="I12" i="22" s="1"/>
  <c r="S22" i="30"/>
  <c r="R22" i="30"/>
  <c r="R47" i="30" s="1"/>
  <c r="Q22" i="30"/>
  <c r="Q47" i="30" s="1"/>
  <c r="P22" i="30"/>
  <c r="P47" i="30" s="1"/>
  <c r="O22" i="30"/>
  <c r="O47" i="30" s="1"/>
  <c r="N22" i="30"/>
  <c r="N47" i="30" s="1"/>
  <c r="M22" i="30"/>
  <c r="M47" i="30" s="1"/>
  <c r="L22" i="30"/>
  <c r="L47" i="30" s="1"/>
  <c r="K22" i="30"/>
  <c r="K47" i="30" s="1"/>
  <c r="J22" i="30"/>
  <c r="J47" i="30" s="1"/>
  <c r="I22" i="30"/>
  <c r="I47" i="30" s="1"/>
  <c r="H22" i="30"/>
  <c r="H47" i="30" s="1"/>
  <c r="G22" i="30"/>
  <c r="G47" i="30" s="1"/>
  <c r="R19" i="30"/>
  <c r="Q19" i="30"/>
  <c r="P19" i="30"/>
  <c r="O19" i="30"/>
  <c r="N19" i="30"/>
  <c r="L19" i="30"/>
  <c r="K19" i="30"/>
  <c r="J19" i="30"/>
  <c r="I19" i="30"/>
  <c r="H19" i="30"/>
  <c r="S18" i="30"/>
  <c r="S16" i="30"/>
  <c r="T16" i="30" s="1"/>
  <c r="S14" i="30"/>
  <c r="T14" i="30" s="1"/>
  <c r="J60" i="27"/>
  <c r="H55" i="27"/>
  <c r="H53" i="27"/>
  <c r="M177" i="34" s="1"/>
  <c r="Q49" i="27"/>
  <c r="H49" i="27"/>
  <c r="J44" i="27"/>
  <c r="I44" i="27"/>
  <c r="H44" i="27"/>
  <c r="J39" i="27"/>
  <c r="Q158" i="34" s="1"/>
  <c r="I39" i="27"/>
  <c r="O158" i="34" s="1"/>
  <c r="H39" i="27"/>
  <c r="M158" i="34" s="1"/>
  <c r="G39" i="27"/>
  <c r="K158" i="34" s="1"/>
  <c r="K157" i="34"/>
  <c r="G28" i="27"/>
  <c r="K147" i="34" s="1"/>
  <c r="G18" i="27"/>
  <c r="K141" i="34" s="1"/>
  <c r="I15" i="27"/>
  <c r="O138" i="34" s="1"/>
  <c r="H15" i="27"/>
  <c r="M138" i="34" s="1"/>
  <c r="G15" i="27"/>
  <c r="Q15" i="27"/>
  <c r="G10" i="27"/>
  <c r="J100" i="32"/>
  <c r="R80" i="34" s="1"/>
  <c r="H93" i="32"/>
  <c r="I93" i="32" s="1"/>
  <c r="J93" i="32" s="1"/>
  <c r="H85" i="32"/>
  <c r="I85" i="32" s="1"/>
  <c r="G81" i="32"/>
  <c r="H78" i="32"/>
  <c r="M126" i="34" s="1"/>
  <c r="G69" i="32"/>
  <c r="K121" i="34" s="1"/>
  <c r="H65" i="32"/>
  <c r="G61" i="32"/>
  <c r="K116" i="34" s="1"/>
  <c r="G57" i="32"/>
  <c r="K112" i="34" s="1"/>
  <c r="L53" i="32"/>
  <c r="J53" i="32"/>
  <c r="I53" i="32"/>
  <c r="H53" i="32"/>
  <c r="H48" i="32"/>
  <c r="G45" i="32"/>
  <c r="G43" i="32"/>
  <c r="K102" i="34" s="1"/>
  <c r="G40" i="32"/>
  <c r="K99" i="34" s="1"/>
  <c r="J35" i="32"/>
  <c r="I35" i="32"/>
  <c r="H35" i="32"/>
  <c r="G35" i="32"/>
  <c r="G34" i="32" s="1"/>
  <c r="G10" i="32"/>
  <c r="G53" i="32" s="1"/>
  <c r="AP59" i="30"/>
  <c r="I33" i="20"/>
  <c r="R15" i="27" s="1"/>
  <c r="K28" i="20"/>
  <c r="M28" i="20" s="1"/>
  <c r="R12" i="20"/>
  <c r="M58" i="34"/>
  <c r="G10" i="20"/>
  <c r="G8" i="20"/>
  <c r="D57" i="29" s="1"/>
  <c r="G7" i="20"/>
  <c r="I5" i="20"/>
  <c r="E5" i="20"/>
  <c r="B6" i="32"/>
  <c r="E3" i="20"/>
  <c r="E3" i="27" s="1"/>
  <c r="P2" i="20"/>
  <c r="H58" i="26"/>
  <c r="K48" i="34" s="1"/>
  <c r="H57" i="26"/>
  <c r="K47" i="34" s="1"/>
  <c r="H56" i="26"/>
  <c r="K46" i="34" s="1"/>
  <c r="H55" i="26"/>
  <c r="K45" i="34" s="1"/>
  <c r="J52" i="26"/>
  <c r="H52" i="26"/>
  <c r="K43" i="34" s="1"/>
  <c r="H51" i="26"/>
  <c r="K42" i="34" s="1"/>
  <c r="H48" i="26"/>
  <c r="K39" i="34" s="1"/>
  <c r="D45" i="26"/>
  <c r="G42" i="26"/>
  <c r="F42" i="26"/>
  <c r="I34" i="34" s="1"/>
  <c r="E42" i="26"/>
  <c r="H34" i="34" s="1"/>
  <c r="D42" i="26"/>
  <c r="G34" i="34" s="1"/>
  <c r="H39" i="26"/>
  <c r="K32" i="34" s="1"/>
  <c r="H38" i="26"/>
  <c r="K31" i="34" s="1"/>
  <c r="H35" i="26"/>
  <c r="K29" i="34" s="1"/>
  <c r="E35" i="22"/>
  <c r="H32" i="26"/>
  <c r="K27" i="34" s="1"/>
  <c r="H30" i="26"/>
  <c r="K25" i="34" s="1"/>
  <c r="E22" i="22"/>
  <c r="H27" i="26"/>
  <c r="K23" i="34" s="1"/>
  <c r="H24" i="26"/>
  <c r="K21" i="34" s="1"/>
  <c r="H20" i="26"/>
  <c r="K19" i="34" s="1"/>
  <c r="H17" i="26"/>
  <c r="K17" i="34" s="1"/>
  <c r="I8" i="20"/>
  <c r="N3" i="26"/>
  <c r="G24" i="2" l="1"/>
  <c r="H24" i="2" s="1"/>
  <c r="G18" i="2"/>
  <c r="H18" i="2" s="1"/>
  <c r="G42" i="2"/>
  <c r="G51" i="27"/>
  <c r="G47" i="32" s="1"/>
  <c r="K105" i="34" s="1"/>
  <c r="D60" i="29"/>
  <c r="U38" i="30" s="1"/>
  <c r="F65" i="1"/>
  <c r="J65" i="1"/>
  <c r="D52" i="1"/>
  <c r="D45" i="1" s="1"/>
  <c r="D58" i="29"/>
  <c r="D61" i="29" s="1"/>
  <c r="AJ22" i="29"/>
  <c r="L32" i="29"/>
  <c r="L49" i="29" s="1"/>
  <c r="L53" i="29" s="1"/>
  <c r="AM35" i="29"/>
  <c r="AA41" i="29"/>
  <c r="L35" i="29"/>
  <c r="G76" i="32"/>
  <c r="G75" i="32" s="1"/>
  <c r="AG41" i="29"/>
  <c r="Q36" i="28" s="1"/>
  <c r="R216" i="34" s="1"/>
  <c r="AO26" i="30"/>
  <c r="G86" i="32"/>
  <c r="AF26" i="30"/>
  <c r="AA26" i="30"/>
  <c r="AC26" i="30" s="1"/>
  <c r="F12" i="1"/>
  <c r="Y27" i="30" s="1"/>
  <c r="M106" i="34"/>
  <c r="K193" i="34"/>
  <c r="N29" i="30"/>
  <c r="S22" i="22" s="1"/>
  <c r="S23" i="22" s="1"/>
  <c r="P37" i="30"/>
  <c r="L17" i="22"/>
  <c r="H22" i="1"/>
  <c r="J22" i="1" s="1"/>
  <c r="H123" i="1"/>
  <c r="B50" i="28"/>
  <c r="B81" i="34"/>
  <c r="J101" i="32"/>
  <c r="Q74" i="34"/>
  <c r="O74" i="34"/>
  <c r="D211" i="34"/>
  <c r="J10" i="29"/>
  <c r="G194" i="34"/>
  <c r="AD16" i="29"/>
  <c r="AJ16" i="29" s="1"/>
  <c r="Q202" i="34"/>
  <c r="AD18" i="29"/>
  <c r="AJ18" i="29" s="1"/>
  <c r="Q204" i="34"/>
  <c r="V3" i="29"/>
  <c r="V26" i="29" s="1"/>
  <c r="M188" i="34"/>
  <c r="V16" i="29"/>
  <c r="Z16" i="29" s="1"/>
  <c r="M202" i="34"/>
  <c r="V18" i="29"/>
  <c r="M204" i="34"/>
  <c r="J3" i="29"/>
  <c r="J26" i="29" s="1"/>
  <c r="G188" i="34"/>
  <c r="J9" i="29"/>
  <c r="N9" i="29" s="1"/>
  <c r="G193" i="34"/>
  <c r="J11" i="29"/>
  <c r="G195" i="34"/>
  <c r="P13" i="29"/>
  <c r="T13" i="29" s="1"/>
  <c r="J198" i="34"/>
  <c r="P15" i="29"/>
  <c r="S15" i="29" s="1"/>
  <c r="U15" i="29" s="1"/>
  <c r="K21" i="28" s="1"/>
  <c r="L200" i="34" s="1"/>
  <c r="J200" i="34"/>
  <c r="V17" i="29"/>
  <c r="Y17" i="29" s="1"/>
  <c r="AA17" i="29" s="1"/>
  <c r="N24" i="28" s="1"/>
  <c r="O203" i="34" s="1"/>
  <c r="M203" i="34"/>
  <c r="AB22" i="29"/>
  <c r="AF22" i="29" s="1"/>
  <c r="P209" i="34"/>
  <c r="P12" i="29"/>
  <c r="S12" i="29" s="1"/>
  <c r="U12" i="29" s="1"/>
  <c r="K18" i="28" s="1"/>
  <c r="L197" i="34" s="1"/>
  <c r="J197" i="34"/>
  <c r="AB20" i="29"/>
  <c r="AF20" i="29" s="1"/>
  <c r="P207" i="34"/>
  <c r="P3" i="29"/>
  <c r="P26" i="29" s="1"/>
  <c r="J188" i="34"/>
  <c r="M16" i="28"/>
  <c r="K195" i="34"/>
  <c r="X13" i="29"/>
  <c r="N198" i="34"/>
  <c r="X15" i="29"/>
  <c r="N200" i="34"/>
  <c r="AD17" i="29"/>
  <c r="Q203" i="34"/>
  <c r="AB23" i="29"/>
  <c r="AF23" i="29" s="1"/>
  <c r="P210" i="34"/>
  <c r="I37" i="28"/>
  <c r="J217" i="34" s="1"/>
  <c r="J214" i="34"/>
  <c r="E10" i="2"/>
  <c r="I49" i="27"/>
  <c r="M174" i="34"/>
  <c r="I55" i="27"/>
  <c r="O179" i="34" s="1"/>
  <c r="M179" i="34"/>
  <c r="I17" i="27"/>
  <c r="O140" i="34" s="1"/>
  <c r="M215" i="34"/>
  <c r="F37" i="28"/>
  <c r="G217" i="34" s="1"/>
  <c r="G213" i="34"/>
  <c r="AD19" i="29"/>
  <c r="Q205" i="34"/>
  <c r="V19" i="29"/>
  <c r="Y19" i="29" s="1"/>
  <c r="AA19" i="29" s="1"/>
  <c r="N26" i="28" s="1"/>
  <c r="O205" i="34" s="1"/>
  <c r="M205" i="34"/>
  <c r="X14" i="29"/>
  <c r="N199" i="34"/>
  <c r="P14" i="29"/>
  <c r="S14" i="29" s="1"/>
  <c r="U14" i="29" s="1"/>
  <c r="K20" i="28" s="1"/>
  <c r="L199" i="34" s="1"/>
  <c r="J199" i="34"/>
  <c r="H211" i="34"/>
  <c r="J8" i="29"/>
  <c r="G192" i="34"/>
  <c r="AG38" i="29"/>
  <c r="Q35" i="28" s="1"/>
  <c r="R215" i="34" s="1"/>
  <c r="P21" i="28"/>
  <c r="N65" i="2"/>
  <c r="G65" i="2"/>
  <c r="H65" i="2" s="1"/>
  <c r="E17" i="22"/>
  <c r="E18" i="22" s="1"/>
  <c r="G32" i="22"/>
  <c r="G33" i="22" s="1"/>
  <c r="F17" i="22"/>
  <c r="F18" i="22" s="1"/>
  <c r="X41" i="29"/>
  <c r="Z41" i="29" s="1"/>
  <c r="T52" i="29" s="1"/>
  <c r="G17" i="22"/>
  <c r="G18" i="22" s="1"/>
  <c r="E32" i="22"/>
  <c r="E33" i="22" s="1"/>
  <c r="AC21" i="29"/>
  <c r="AI21" i="29" s="1"/>
  <c r="P19" i="28"/>
  <c r="G29" i="2"/>
  <c r="F32" i="22"/>
  <c r="F33" i="22" s="1"/>
  <c r="F58" i="2"/>
  <c r="F62" i="2" s="1"/>
  <c r="S12" i="20"/>
  <c r="K12" i="20"/>
  <c r="H71" i="1"/>
  <c r="E23" i="22"/>
  <c r="D23" i="22"/>
  <c r="F16" i="2"/>
  <c r="F20" i="2" s="1"/>
  <c r="N66" i="29"/>
  <c r="E68" i="2"/>
  <c r="E14" i="2" s="1"/>
  <c r="F40" i="2"/>
  <c r="F44" i="2" s="1"/>
  <c r="F46" i="2"/>
  <c r="F50" i="2" s="1"/>
  <c r="K138" i="34"/>
  <c r="D32" i="22"/>
  <c r="D17" i="22"/>
  <c r="D18" i="22" s="1"/>
  <c r="H54" i="2"/>
  <c r="H56" i="1"/>
  <c r="J56" i="1" s="1"/>
  <c r="H64" i="1"/>
  <c r="J64" i="1" s="1"/>
  <c r="H57" i="1"/>
  <c r="J57" i="1" s="1"/>
  <c r="H98" i="1"/>
  <c r="J98" i="1" s="1"/>
  <c r="G19" i="2"/>
  <c r="H19" i="2" s="1"/>
  <c r="F34" i="2"/>
  <c r="F38" i="2" s="1"/>
  <c r="AL53" i="29"/>
  <c r="G31" i="2"/>
  <c r="F52" i="2"/>
  <c r="K33" i="20"/>
  <c r="S15" i="27" s="1"/>
  <c r="H17" i="27"/>
  <c r="M140" i="34" s="1"/>
  <c r="H49" i="1"/>
  <c r="J49" i="1" s="1"/>
  <c r="F53" i="1"/>
  <c r="F52" i="1" s="1"/>
  <c r="H78" i="1"/>
  <c r="H86" i="1"/>
  <c r="J86" i="1" s="1"/>
  <c r="H95" i="1"/>
  <c r="J95" i="1" s="1"/>
  <c r="B26" i="30"/>
  <c r="I14" i="22" s="1"/>
  <c r="C23" i="33"/>
  <c r="R8" i="22"/>
  <c r="H51" i="1"/>
  <c r="J51" i="1" s="1"/>
  <c r="H93" i="1"/>
  <c r="H110" i="1"/>
  <c r="J110" i="1" s="1"/>
  <c r="H84" i="1"/>
  <c r="H58" i="1"/>
  <c r="J58" i="1" s="1"/>
  <c r="H62" i="1"/>
  <c r="J62" i="1" s="1"/>
  <c r="F112" i="1"/>
  <c r="H18" i="1"/>
  <c r="H17" i="1" s="1"/>
  <c r="H122" i="1"/>
  <c r="J122" i="1" s="1"/>
  <c r="H131" i="1"/>
  <c r="S17" i="22"/>
  <c r="J34" i="34"/>
  <c r="G62" i="26"/>
  <c r="J51" i="34" s="1"/>
  <c r="E36" i="22"/>
  <c r="E37" i="22" s="1"/>
  <c r="G29" i="27"/>
  <c r="K148" i="34" s="1"/>
  <c r="E42" i="22"/>
  <c r="E43" i="22" s="1"/>
  <c r="G59" i="32"/>
  <c r="K114" i="34" s="1"/>
  <c r="H99" i="1"/>
  <c r="G53" i="2"/>
  <c r="G52" i="2" s="1"/>
  <c r="F42" i="22"/>
  <c r="F43" i="22" s="1"/>
  <c r="E45" i="26"/>
  <c r="H81" i="32"/>
  <c r="M128" i="34" s="1"/>
  <c r="H13" i="1"/>
  <c r="H92" i="1"/>
  <c r="J92" i="1" s="1"/>
  <c r="H100" i="1"/>
  <c r="J100" i="1" s="1"/>
  <c r="H111" i="1"/>
  <c r="J111" i="1" s="1"/>
  <c r="F115" i="1"/>
  <c r="G30" i="2"/>
  <c r="H30" i="2" s="1"/>
  <c r="G37" i="2"/>
  <c r="H42" i="2"/>
  <c r="AH53" i="29"/>
  <c r="C15" i="33"/>
  <c r="O84" i="1"/>
  <c r="F22" i="2"/>
  <c r="F26" i="2" s="1"/>
  <c r="U28" i="30"/>
  <c r="L32" i="28"/>
  <c r="C17" i="33"/>
  <c r="H101" i="1"/>
  <c r="J101" i="1" s="1"/>
  <c r="H105" i="1"/>
  <c r="J105" i="1" s="1"/>
  <c r="G47" i="2"/>
  <c r="H47" i="2" s="1"/>
  <c r="G59" i="2"/>
  <c r="H59" i="2" s="1"/>
  <c r="C19" i="33"/>
  <c r="C21" i="33"/>
  <c r="H74" i="1"/>
  <c r="H90" i="1"/>
  <c r="J90" i="1" s="1"/>
  <c r="H94" i="1"/>
  <c r="H106" i="1"/>
  <c r="J106" i="1" s="1"/>
  <c r="G36" i="2"/>
  <c r="H36" i="2" s="1"/>
  <c r="H37" i="27"/>
  <c r="M156" i="34" s="1"/>
  <c r="H28" i="27"/>
  <c r="M147" i="34" s="1"/>
  <c r="M134" i="34"/>
  <c r="M169" i="34" s="1"/>
  <c r="W18" i="29"/>
  <c r="AC18" i="29" s="1"/>
  <c r="AI18" i="29" s="1"/>
  <c r="AA35" i="29"/>
  <c r="N34" i="28" s="1"/>
  <c r="O214" i="34" s="1"/>
  <c r="AJ41" i="29"/>
  <c r="AD41" i="29"/>
  <c r="P36" i="28" s="1"/>
  <c r="Q216" i="34" s="1"/>
  <c r="AG35" i="29"/>
  <c r="Q34" i="28" s="1"/>
  <c r="R214" i="34" s="1"/>
  <c r="AJ38" i="29"/>
  <c r="G17" i="27"/>
  <c r="K140" i="34" s="1"/>
  <c r="O134" i="34"/>
  <c r="O169" i="34" s="1"/>
  <c r="B24" i="29"/>
  <c r="Q12" i="29"/>
  <c r="W12" i="29" s="1"/>
  <c r="AC12" i="29" s="1"/>
  <c r="AI12" i="29" s="1"/>
  <c r="AJ19" i="29"/>
  <c r="AC20" i="29"/>
  <c r="AI20" i="29" s="1"/>
  <c r="AC22" i="29"/>
  <c r="AI22" i="29" s="1"/>
  <c r="AD35" i="29"/>
  <c r="P34" i="28" s="1"/>
  <c r="Q214" i="34" s="1"/>
  <c r="AM41" i="29"/>
  <c r="Q13" i="29"/>
  <c r="W13" i="29" s="1"/>
  <c r="AC13" i="29" s="1"/>
  <c r="AI13" i="29" s="1"/>
  <c r="W16" i="29"/>
  <c r="AC16" i="29" s="1"/>
  <c r="AI16" i="29" s="1"/>
  <c r="R35" i="29"/>
  <c r="J34" i="28" s="1"/>
  <c r="K214" i="34" s="1"/>
  <c r="AJ35" i="29"/>
  <c r="F24" i="1"/>
  <c r="AM27" i="30" s="1"/>
  <c r="H54" i="1"/>
  <c r="H53" i="1" s="1"/>
  <c r="H75" i="1"/>
  <c r="J75" i="1" s="1"/>
  <c r="H117" i="1"/>
  <c r="J117" i="1" s="1"/>
  <c r="H14" i="1"/>
  <c r="J14" i="1" s="1"/>
  <c r="H25" i="1"/>
  <c r="J25" i="1" s="1"/>
  <c r="H43" i="1"/>
  <c r="F77" i="1"/>
  <c r="F91" i="1"/>
  <c r="O94" i="1"/>
  <c r="H104" i="1"/>
  <c r="O43" i="1"/>
  <c r="H59" i="1"/>
  <c r="J59" i="1" s="1"/>
  <c r="H76" i="1"/>
  <c r="J76" i="1" s="1"/>
  <c r="H85" i="1"/>
  <c r="J85" i="1" s="1"/>
  <c r="F102" i="1"/>
  <c r="H109" i="1"/>
  <c r="H119" i="1"/>
  <c r="F120" i="1"/>
  <c r="H51" i="27" s="1"/>
  <c r="H47" i="32" s="1"/>
  <c r="M105" i="34" s="1"/>
  <c r="H125" i="1"/>
  <c r="J125" i="1" s="1"/>
  <c r="H126" i="1"/>
  <c r="J126" i="1" s="1"/>
  <c r="H61" i="1"/>
  <c r="J61" i="1" s="1"/>
  <c r="H73" i="1"/>
  <c r="H79" i="1"/>
  <c r="J79" i="1" s="1"/>
  <c r="H81" i="1"/>
  <c r="J81" i="1" s="1"/>
  <c r="H82" i="1"/>
  <c r="J82" i="1" s="1"/>
  <c r="H97" i="1"/>
  <c r="J97" i="1" s="1"/>
  <c r="F107" i="1"/>
  <c r="H114" i="1"/>
  <c r="H118" i="1"/>
  <c r="J118" i="1" s="1"/>
  <c r="H121" i="1"/>
  <c r="M37" i="30"/>
  <c r="H43" i="32"/>
  <c r="M102" i="34" s="1"/>
  <c r="M13" i="22"/>
  <c r="N13" i="22"/>
  <c r="V13" i="22"/>
  <c r="O13" i="22"/>
  <c r="W13" i="22"/>
  <c r="R17" i="22"/>
  <c r="P13" i="22"/>
  <c r="D6" i="22"/>
  <c r="D7" i="22" s="1"/>
  <c r="G20" i="32" s="1"/>
  <c r="G19" i="32" s="1"/>
  <c r="D43" i="22"/>
  <c r="D44" i="22" s="1"/>
  <c r="H61" i="32"/>
  <c r="F35" i="22"/>
  <c r="B6" i="28"/>
  <c r="B6" i="27"/>
  <c r="L6" i="27" s="1"/>
  <c r="G6" i="32"/>
  <c r="F6" i="22"/>
  <c r="D36" i="22"/>
  <c r="H57" i="32"/>
  <c r="M112" i="34" s="1"/>
  <c r="G84" i="32"/>
  <c r="H40" i="32"/>
  <c r="M99" i="34" s="1"/>
  <c r="I53" i="27"/>
  <c r="O177" i="34" s="1"/>
  <c r="H45" i="32"/>
  <c r="J93" i="1"/>
  <c r="H69" i="32"/>
  <c r="K129" i="34"/>
  <c r="K128" i="34"/>
  <c r="R8" i="29"/>
  <c r="J32" i="28"/>
  <c r="M13" i="28"/>
  <c r="F57" i="29"/>
  <c r="F8" i="1"/>
  <c r="M96" i="1" s="1"/>
  <c r="Q11" i="20"/>
  <c r="I43" i="32"/>
  <c r="O102" i="34" s="1"/>
  <c r="J55" i="27"/>
  <c r="R11" i="29"/>
  <c r="H63" i="1"/>
  <c r="O63" i="1"/>
  <c r="F87" i="1"/>
  <c r="H88" i="1"/>
  <c r="E5" i="2"/>
  <c r="B8" i="27"/>
  <c r="L8" i="27" s="1"/>
  <c r="B8" i="32"/>
  <c r="H28" i="1"/>
  <c r="J28" i="1" s="1"/>
  <c r="R9" i="29"/>
  <c r="M14" i="28"/>
  <c r="N193" i="34" s="1"/>
  <c r="AB21" i="29"/>
  <c r="O32" i="28"/>
  <c r="I65" i="32"/>
  <c r="E9" i="22"/>
  <c r="E10" i="22" s="1"/>
  <c r="G8" i="27"/>
  <c r="Q8" i="27" s="1"/>
  <c r="G8" i="32"/>
  <c r="X12" i="29"/>
  <c r="P18" i="28"/>
  <c r="H5" i="1"/>
  <c r="K96" i="34"/>
  <c r="H34" i="32"/>
  <c r="R10" i="29"/>
  <c r="M15" i="28"/>
  <c r="N194" i="34" s="1"/>
  <c r="G44" i="27"/>
  <c r="Q10" i="27"/>
  <c r="H18" i="27"/>
  <c r="M141" i="34" s="1"/>
  <c r="I77" i="32"/>
  <c r="N39" i="28" s="1"/>
  <c r="G6" i="27"/>
  <c r="Q6" i="27" s="1"/>
  <c r="H80" i="1"/>
  <c r="J80" i="1" s="1"/>
  <c r="F96" i="1"/>
  <c r="F32" i="28"/>
  <c r="F47" i="28" s="1"/>
  <c r="V38" i="29"/>
  <c r="L37" i="28"/>
  <c r="D8" i="1"/>
  <c r="E8" i="2" s="1"/>
  <c r="G11" i="32" s="1"/>
  <c r="H47" i="1"/>
  <c r="H50" i="1"/>
  <c r="J50" i="1" s="1"/>
  <c r="F83" i="1"/>
  <c r="H89" i="1"/>
  <c r="J89" i="1" s="1"/>
  <c r="O99" i="1"/>
  <c r="O104" i="1"/>
  <c r="O109" i="1"/>
  <c r="O114" i="1"/>
  <c r="H70" i="2"/>
  <c r="D24" i="33"/>
  <c r="J32" i="33" s="1"/>
  <c r="D22" i="33"/>
  <c r="D20" i="33"/>
  <c r="D18" i="33"/>
  <c r="D16" i="33"/>
  <c r="D23" i="33"/>
  <c r="D21" i="33"/>
  <c r="D19" i="33"/>
  <c r="D17" i="33"/>
  <c r="D15" i="33"/>
  <c r="D6" i="33"/>
  <c r="C6" i="33" s="1"/>
  <c r="G43" i="2"/>
  <c r="H16" i="34"/>
  <c r="H36" i="34" s="1"/>
  <c r="M54" i="34" s="1"/>
  <c r="E3" i="22"/>
  <c r="F16" i="26"/>
  <c r="L10" i="28" s="1"/>
  <c r="G35" i="22"/>
  <c r="G36" i="22" s="1"/>
  <c r="E3" i="2"/>
  <c r="M33" i="20"/>
  <c r="I78" i="32"/>
  <c r="I32" i="28"/>
  <c r="I47" i="28" s="1"/>
  <c r="E3" i="33"/>
  <c r="J26" i="1"/>
  <c r="J78" i="1"/>
  <c r="E62" i="26"/>
  <c r="H51" i="34" s="1"/>
  <c r="B5" i="2"/>
  <c r="B5" i="1"/>
  <c r="P35" i="29"/>
  <c r="F17" i="1"/>
  <c r="AF27" i="30" s="1"/>
  <c r="G49" i="2"/>
  <c r="F62" i="26"/>
  <c r="I51" i="34" s="1"/>
  <c r="F3" i="32"/>
  <c r="I48" i="32"/>
  <c r="B8" i="30"/>
  <c r="D65" i="30" s="1"/>
  <c r="M8" i="29"/>
  <c r="O8" i="29" s="1"/>
  <c r="Q10" i="29"/>
  <c r="W10" i="29" s="1"/>
  <c r="AC10" i="29" s="1"/>
  <c r="AI10" i="29" s="1"/>
  <c r="N10" i="29"/>
  <c r="M10" i="29"/>
  <c r="O10" i="29" s="1"/>
  <c r="H15" i="28" s="1"/>
  <c r="Q11" i="29"/>
  <c r="W11" i="29" s="1"/>
  <c r="AC11" i="29" s="1"/>
  <c r="AI11" i="29" s="1"/>
  <c r="N11" i="29"/>
  <c r="M11" i="29"/>
  <c r="O11" i="29" s="1"/>
  <c r="T12" i="29"/>
  <c r="P20" i="28"/>
  <c r="AB41" i="29"/>
  <c r="O37" i="28"/>
  <c r="H60" i="1"/>
  <c r="J60" i="1" s="1"/>
  <c r="H103" i="1"/>
  <c r="H108" i="1"/>
  <c r="H113" i="1"/>
  <c r="O116" i="1"/>
  <c r="H116" i="1"/>
  <c r="F46" i="1"/>
  <c r="F72" i="1"/>
  <c r="Q15" i="29"/>
  <c r="W15" i="29" s="1"/>
  <c r="AC15" i="29" s="1"/>
  <c r="AI15" i="29" s="1"/>
  <c r="G66" i="2"/>
  <c r="N66" i="2"/>
  <c r="S8" i="22"/>
  <c r="H33" i="1"/>
  <c r="H48" i="1"/>
  <c r="H124" i="1"/>
  <c r="O124" i="1"/>
  <c r="H127" i="1"/>
  <c r="J127" i="1" s="1"/>
  <c r="F28" i="2"/>
  <c r="F32" i="2" s="1"/>
  <c r="C16" i="33"/>
  <c r="C18" i="33"/>
  <c r="C20" i="33"/>
  <c r="C22" i="33"/>
  <c r="C24" i="33"/>
  <c r="I32" i="33" s="1"/>
  <c r="G28" i="2"/>
  <c r="G35" i="2"/>
  <c r="G41" i="2"/>
  <c r="N41" i="2"/>
  <c r="H48" i="2"/>
  <c r="F56" i="2"/>
  <c r="G55" i="2"/>
  <c r="G60" i="2"/>
  <c r="H60" i="2" s="1"/>
  <c r="M8" i="22"/>
  <c r="U8" i="22"/>
  <c r="J131" i="1"/>
  <c r="H25" i="2"/>
  <c r="F64" i="2"/>
  <c r="J123" i="1"/>
  <c r="E13" i="2"/>
  <c r="H29" i="2"/>
  <c r="H28" i="2" s="1"/>
  <c r="L8" i="22"/>
  <c r="T8" i="22"/>
  <c r="T17" i="22"/>
  <c r="G15" i="2"/>
  <c r="G17" i="2"/>
  <c r="G61" i="2"/>
  <c r="Q13" i="22"/>
  <c r="M17" i="22"/>
  <c r="U17" i="22"/>
  <c r="G23" i="2"/>
  <c r="N8" i="22"/>
  <c r="V8" i="22"/>
  <c r="R13" i="22"/>
  <c r="N17" i="22"/>
  <c r="V17" i="22"/>
  <c r="J65" i="29"/>
  <c r="E45" i="29"/>
  <c r="O8" i="22"/>
  <c r="W8" i="22"/>
  <c r="S13" i="22"/>
  <c r="O17" i="22"/>
  <c r="W17" i="22"/>
  <c r="L13" i="22"/>
  <c r="T13" i="22"/>
  <c r="P17" i="22"/>
  <c r="K9" i="29"/>
  <c r="D10" i="22"/>
  <c r="D13" i="22" s="1"/>
  <c r="D14" i="22" s="1"/>
  <c r="U13" i="22"/>
  <c r="Q17" i="22"/>
  <c r="AJ17" i="29"/>
  <c r="AC23" i="29"/>
  <c r="AI23" i="29" s="1"/>
  <c r="AJ23" i="29"/>
  <c r="X38" i="29"/>
  <c r="M35" i="28" s="1"/>
  <c r="N215" i="34" s="1"/>
  <c r="AM38" i="29"/>
  <c r="AD49" i="29"/>
  <c r="Q134" i="34"/>
  <c r="Q169" i="34" s="1"/>
  <c r="U35" i="29"/>
  <c r="K34" i="28" s="1"/>
  <c r="L214" i="34" s="1"/>
  <c r="AA38" i="29"/>
  <c r="N35" i="28" s="1"/>
  <c r="O215" i="34" s="1"/>
  <c r="AJ49" i="29"/>
  <c r="AJ53" i="29" s="1"/>
  <c r="J230" i="34"/>
  <c r="X35" i="29"/>
  <c r="M34" i="28" s="1"/>
  <c r="N214" i="34" s="1"/>
  <c r="AD38" i="29"/>
  <c r="P35" i="28" s="1"/>
  <c r="Q215" i="34" s="1"/>
  <c r="X32" i="29"/>
  <c r="AA32" i="29"/>
  <c r="AD32" i="29"/>
  <c r="AG32" i="29"/>
  <c r="AJ32" i="29"/>
  <c r="O32" i="29"/>
  <c r="AM32" i="29"/>
  <c r="R32" i="29"/>
  <c r="U32" i="29"/>
  <c r="J32" i="29"/>
  <c r="J85" i="32"/>
  <c r="N37" i="30"/>
  <c r="O37" i="30"/>
  <c r="G37" i="30"/>
  <c r="J37" i="30"/>
  <c r="R37" i="30"/>
  <c r="L29" i="30"/>
  <c r="Q22" i="22" s="1"/>
  <c r="Q23" i="22" s="1"/>
  <c r="L37" i="30"/>
  <c r="G29" i="30"/>
  <c r="O29" i="30"/>
  <c r="T22" i="22" s="1"/>
  <c r="T23" i="22" s="1"/>
  <c r="I37" i="30"/>
  <c r="Q37" i="30"/>
  <c r="H29" i="30"/>
  <c r="M22" i="22" s="1"/>
  <c r="M23" i="22" s="1"/>
  <c r="P29" i="30"/>
  <c r="U22" i="22" s="1"/>
  <c r="U23" i="22" s="1"/>
  <c r="I29" i="30"/>
  <c r="N22" i="22" s="1"/>
  <c r="N23" i="22" s="1"/>
  <c r="Q29" i="30"/>
  <c r="V22" i="22" s="1"/>
  <c r="V23" i="22" s="1"/>
  <c r="K37" i="30"/>
  <c r="J29" i="30"/>
  <c r="O22" i="22" s="1"/>
  <c r="O23" i="22" s="1"/>
  <c r="R29" i="30"/>
  <c r="W22" i="22" s="1"/>
  <c r="W23" i="22" s="1"/>
  <c r="K29" i="30"/>
  <c r="P22" i="22" s="1"/>
  <c r="P23" i="22" s="1"/>
  <c r="M29" i="30"/>
  <c r="R22" i="22" s="1"/>
  <c r="R23" i="22" s="1"/>
  <c r="H37" i="30"/>
  <c r="D62" i="26"/>
  <c r="G51" i="34" s="1"/>
  <c r="H42" i="26"/>
  <c r="K34" i="34" s="1"/>
  <c r="S27" i="30"/>
  <c r="G6" i="22"/>
  <c r="F36" i="22"/>
  <c r="P8" i="22"/>
  <c r="Q8" i="22"/>
  <c r="E6" i="22"/>
  <c r="G91" i="32"/>
  <c r="D35" i="1"/>
  <c r="D41" i="1" s="1"/>
  <c r="D11" i="1"/>
  <c r="K56" i="34"/>
  <c r="G64" i="32"/>
  <c r="D34" i="1"/>
  <c r="D39" i="1"/>
  <c r="B61" i="27"/>
  <c r="B101" i="30"/>
  <c r="Q50" i="28"/>
  <c r="B100" i="32"/>
  <c r="B35" i="20"/>
  <c r="G46" i="2" l="1"/>
  <c r="L47" i="28"/>
  <c r="AE23" i="29"/>
  <c r="AG23" i="29" s="1"/>
  <c r="Q31" i="28" s="1"/>
  <c r="R210" i="34" s="1"/>
  <c r="AE22" i="29"/>
  <c r="AG22" i="29" s="1"/>
  <c r="Q30" i="28" s="1"/>
  <c r="R209" i="34" s="1"/>
  <c r="P211" i="34"/>
  <c r="O47" i="28"/>
  <c r="P227" i="34" s="1"/>
  <c r="V24" i="29"/>
  <c r="Y16" i="29"/>
  <c r="AA16" i="29" s="1"/>
  <c r="N23" i="28" s="1"/>
  <c r="O202" i="34" s="1"/>
  <c r="F60" i="29"/>
  <c r="H65" i="1"/>
  <c r="F58" i="29"/>
  <c r="F59" i="29" s="1"/>
  <c r="H13" i="28"/>
  <c r="I192" i="34" s="1"/>
  <c r="H16" i="28"/>
  <c r="I195" i="34" s="1"/>
  <c r="L44" i="29"/>
  <c r="G33" i="28"/>
  <c r="G37" i="28" s="1"/>
  <c r="S13" i="29"/>
  <c r="U13" i="29" s="1"/>
  <c r="K19" i="28" s="1"/>
  <c r="L198" i="34" s="1"/>
  <c r="D24" i="22"/>
  <c r="G25" i="27"/>
  <c r="E24" i="22"/>
  <c r="H25" i="27"/>
  <c r="J119" i="1"/>
  <c r="Z17" i="29"/>
  <c r="AF17" i="29" s="1"/>
  <c r="Z19" i="29"/>
  <c r="AE19" i="29" s="1"/>
  <c r="AG19" i="29" s="1"/>
  <c r="Q26" i="28" s="1"/>
  <c r="R205" i="34" s="1"/>
  <c r="AE20" i="29"/>
  <c r="AG20" i="29" s="1"/>
  <c r="Q28" i="28" s="1"/>
  <c r="R207" i="34" s="1"/>
  <c r="T15" i="29"/>
  <c r="AB24" i="29"/>
  <c r="N192" i="34"/>
  <c r="H76" i="32"/>
  <c r="H75" i="32" s="1"/>
  <c r="H120" i="1"/>
  <c r="I51" i="27" s="1"/>
  <c r="I47" i="32" s="1"/>
  <c r="O105" i="34" s="1"/>
  <c r="AO27" i="30"/>
  <c r="AR26" i="30"/>
  <c r="AS26" i="30" s="1"/>
  <c r="AQ26" i="30"/>
  <c r="AH27" i="30"/>
  <c r="H86" i="32"/>
  <c r="AH26" i="30"/>
  <c r="J13" i="1"/>
  <c r="F35" i="1"/>
  <c r="F41" i="1" s="1"/>
  <c r="AA27" i="30"/>
  <c r="AE26" i="30"/>
  <c r="O219" i="34"/>
  <c r="K125" i="34"/>
  <c r="O106" i="34"/>
  <c r="Q9" i="29"/>
  <c r="W9" i="29" s="1"/>
  <c r="AC9" i="29" s="1"/>
  <c r="AI9" i="29" s="1"/>
  <c r="M9" i="29"/>
  <c r="O9" i="29" s="1"/>
  <c r="G211" i="34"/>
  <c r="O38" i="30"/>
  <c r="O28" i="30"/>
  <c r="T18" i="22" s="1"/>
  <c r="T19" i="22" s="1"/>
  <c r="J104" i="1"/>
  <c r="J43" i="1"/>
  <c r="J91" i="1"/>
  <c r="H29" i="27"/>
  <c r="M148" i="34" s="1"/>
  <c r="U50" i="30"/>
  <c r="J74" i="1"/>
  <c r="M217" i="34"/>
  <c r="M227" i="34"/>
  <c r="J211" i="34"/>
  <c r="T14" i="29"/>
  <c r="Z14" i="29" s="1"/>
  <c r="I69" i="32"/>
  <c r="I31" i="27" s="1"/>
  <c r="O150" i="34" s="1"/>
  <c r="K41" i="28"/>
  <c r="AD13" i="29"/>
  <c r="AJ13" i="29" s="1"/>
  <c r="Q198" i="34"/>
  <c r="N8" i="29"/>
  <c r="T8" i="29" s="1"/>
  <c r="J17" i="27"/>
  <c r="Q140" i="34" s="1"/>
  <c r="P217" i="34"/>
  <c r="Q8" i="29"/>
  <c r="W8" i="29" s="1"/>
  <c r="AC8" i="29" s="1"/>
  <c r="AI8" i="29" s="1"/>
  <c r="P24" i="29"/>
  <c r="J24" i="29"/>
  <c r="AD12" i="29"/>
  <c r="AJ12" i="29" s="1"/>
  <c r="Q197" i="34"/>
  <c r="AD15" i="29"/>
  <c r="AJ15" i="29" s="1"/>
  <c r="Q200" i="34"/>
  <c r="P16" i="28"/>
  <c r="Q195" i="34" s="1"/>
  <c r="N195" i="34"/>
  <c r="G48" i="27"/>
  <c r="J81" i="32"/>
  <c r="Q129" i="34" s="1"/>
  <c r="Q179" i="34"/>
  <c r="I81" i="32"/>
  <c r="O128" i="34" s="1"/>
  <c r="J49" i="27"/>
  <c r="O174" i="34"/>
  <c r="P4" i="29"/>
  <c r="P27" i="29" s="1"/>
  <c r="J189" i="34"/>
  <c r="J4" i="29"/>
  <c r="G189" i="34"/>
  <c r="H77" i="1"/>
  <c r="F68" i="2"/>
  <c r="F14" i="2" s="1"/>
  <c r="F10" i="2"/>
  <c r="H213" i="34"/>
  <c r="M211" i="34"/>
  <c r="AD14" i="29"/>
  <c r="AJ14" i="29" s="1"/>
  <c r="Q199" i="34"/>
  <c r="K211" i="34"/>
  <c r="AE52" i="29"/>
  <c r="R24" i="29"/>
  <c r="Z18" i="29"/>
  <c r="H91" i="1"/>
  <c r="E11" i="2"/>
  <c r="E12" i="2" s="1"/>
  <c r="J94" i="1"/>
  <c r="M12" i="20"/>
  <c r="Q58" i="34" s="1"/>
  <c r="J84" i="1"/>
  <c r="J83" i="1" s="1"/>
  <c r="L67" i="29"/>
  <c r="J18" i="1"/>
  <c r="J17" i="1" s="1"/>
  <c r="G34" i="30"/>
  <c r="H34" i="30" s="1"/>
  <c r="G32" i="2"/>
  <c r="K181" i="34"/>
  <c r="J109" i="1"/>
  <c r="J54" i="1"/>
  <c r="J53" i="1" s="1"/>
  <c r="H91" i="32"/>
  <c r="H92" i="32" s="1"/>
  <c r="H89" i="32" s="1"/>
  <c r="M130" i="34" s="1"/>
  <c r="G42" i="22"/>
  <c r="G43" i="22" s="1"/>
  <c r="G46" i="22" s="1"/>
  <c r="G47" i="22" s="1"/>
  <c r="J15" i="32" s="1"/>
  <c r="F11" i="2"/>
  <c r="H53" i="2"/>
  <c r="H52" i="2" s="1"/>
  <c r="D33" i="22"/>
  <c r="I26" i="27"/>
  <c r="G26" i="27"/>
  <c r="E46" i="22"/>
  <c r="E47" i="22" s="1"/>
  <c r="H15" i="32" s="1"/>
  <c r="E44" i="22"/>
  <c r="G39" i="22"/>
  <c r="G40" i="22" s="1"/>
  <c r="J31" i="32" s="1"/>
  <c r="H31" i="2"/>
  <c r="H32" i="2" s="1"/>
  <c r="J121" i="1"/>
  <c r="E39" i="22"/>
  <c r="E40" i="22" s="1"/>
  <c r="H31" i="32" s="1"/>
  <c r="H26" i="27"/>
  <c r="H58" i="2"/>
  <c r="B27" i="30"/>
  <c r="I16" i="22" s="1"/>
  <c r="P66" i="29"/>
  <c r="I61" i="32"/>
  <c r="J61" i="32" s="1"/>
  <c r="G28" i="30"/>
  <c r="L18" i="22" s="1"/>
  <c r="L19" i="22" s="1"/>
  <c r="I28" i="30"/>
  <c r="N18" i="22" s="1"/>
  <c r="N19" i="22" s="1"/>
  <c r="L28" i="30"/>
  <c r="Q18" i="22" s="1"/>
  <c r="Q19" i="22" s="1"/>
  <c r="R28" i="30"/>
  <c r="W18" i="22" s="1"/>
  <c r="W19" i="22" s="1"/>
  <c r="Q28" i="30"/>
  <c r="V18" i="22" s="1"/>
  <c r="V19" i="22" s="1"/>
  <c r="P28" i="30"/>
  <c r="U18" i="22" s="1"/>
  <c r="U19" i="22" s="1"/>
  <c r="J28" i="30"/>
  <c r="O18" i="22" s="1"/>
  <c r="O19" i="22" s="1"/>
  <c r="H28" i="30"/>
  <c r="M18" i="22" s="1"/>
  <c r="M19" i="22" s="1"/>
  <c r="K28" i="30"/>
  <c r="P18" i="22" s="1"/>
  <c r="P19" i="22" s="1"/>
  <c r="N28" i="30"/>
  <c r="S18" i="22" s="1"/>
  <c r="S19" i="22" s="1"/>
  <c r="M28" i="30"/>
  <c r="R18" i="22" s="1"/>
  <c r="R19" i="22" s="1"/>
  <c r="M129" i="34"/>
  <c r="J114" i="1"/>
  <c r="F45" i="1"/>
  <c r="G129" i="1" s="1"/>
  <c r="H72" i="1"/>
  <c r="H96" i="1"/>
  <c r="D59" i="29"/>
  <c r="H30" i="33"/>
  <c r="H31" i="27"/>
  <c r="M150" i="34" s="1"/>
  <c r="D42" i="1"/>
  <c r="D39" i="22"/>
  <c r="D40" i="22" s="1"/>
  <c r="G31" i="32" s="1"/>
  <c r="G33" i="32" s="1"/>
  <c r="E129" i="1"/>
  <c r="E124" i="1"/>
  <c r="E112" i="1"/>
  <c r="E91" i="1"/>
  <c r="E46" i="1"/>
  <c r="E127" i="1"/>
  <c r="E131" i="1"/>
  <c r="E125" i="1"/>
  <c r="E128" i="1"/>
  <c r="E65" i="1"/>
  <c r="E102" i="1"/>
  <c r="E96" i="1"/>
  <c r="E77" i="1"/>
  <c r="E94" i="1"/>
  <c r="E87" i="1"/>
  <c r="E120" i="1"/>
  <c r="E115" i="1"/>
  <c r="E107" i="1"/>
  <c r="E126" i="1"/>
  <c r="E130" i="1"/>
  <c r="E72" i="1"/>
  <c r="G18" i="20"/>
  <c r="K64" i="34" s="1"/>
  <c r="E52" i="1"/>
  <c r="E83" i="1"/>
  <c r="E95" i="1"/>
  <c r="G58" i="2"/>
  <c r="G62" i="2" s="1"/>
  <c r="H37" i="2"/>
  <c r="H24" i="1"/>
  <c r="I64" i="32" s="1"/>
  <c r="O58" i="34"/>
  <c r="F13" i="2"/>
  <c r="J99" i="1"/>
  <c r="J96" i="1" s="1"/>
  <c r="H12" i="1"/>
  <c r="H49" i="26"/>
  <c r="K40" i="34" s="1"/>
  <c r="J15" i="27"/>
  <c r="Q138" i="34" s="1"/>
  <c r="J40" i="34"/>
  <c r="D46" i="22"/>
  <c r="D47" i="22" s="1"/>
  <c r="G15" i="32" s="1"/>
  <c r="F34" i="1"/>
  <c r="G24" i="27"/>
  <c r="N67" i="29"/>
  <c r="J24" i="1"/>
  <c r="J63" i="1"/>
  <c r="G38" i="30"/>
  <c r="E7" i="22"/>
  <c r="H20" i="32" s="1"/>
  <c r="G11" i="27"/>
  <c r="Q11" i="27" s="1"/>
  <c r="F7" i="22"/>
  <c r="I20" i="32" s="1"/>
  <c r="AM44" i="29"/>
  <c r="R42" i="30"/>
  <c r="K42" i="30"/>
  <c r="O42" i="30"/>
  <c r="H42" i="30"/>
  <c r="L42" i="30"/>
  <c r="P42" i="30"/>
  <c r="I42" i="30"/>
  <c r="M42" i="30"/>
  <c r="Q42" i="30"/>
  <c r="J42" i="30"/>
  <c r="N42" i="30"/>
  <c r="G42" i="30"/>
  <c r="K38" i="30"/>
  <c r="R38" i="30"/>
  <c r="M38" i="30"/>
  <c r="J120" i="1"/>
  <c r="J73" i="1"/>
  <c r="J38" i="30"/>
  <c r="P38" i="30"/>
  <c r="N38" i="30"/>
  <c r="L38" i="30"/>
  <c r="Q38" i="30"/>
  <c r="H38" i="30"/>
  <c r="I38" i="30"/>
  <c r="J77" i="1"/>
  <c r="H83" i="1"/>
  <c r="M116" i="34"/>
  <c r="H30" i="27"/>
  <c r="M149" i="34" s="1"/>
  <c r="G37" i="22"/>
  <c r="I57" i="32"/>
  <c r="O112" i="34" s="1"/>
  <c r="E26" i="22"/>
  <c r="I31" i="33"/>
  <c r="F28" i="33"/>
  <c r="G29" i="33"/>
  <c r="M77" i="1"/>
  <c r="D37" i="22"/>
  <c r="M112" i="1"/>
  <c r="M34" i="1"/>
  <c r="D11" i="22"/>
  <c r="E13" i="22"/>
  <c r="E14" i="22" s="1"/>
  <c r="E11" i="22"/>
  <c r="H24" i="27"/>
  <c r="J48" i="1"/>
  <c r="I18" i="27"/>
  <c r="O141" i="34" s="1"/>
  <c r="J77" i="32"/>
  <c r="Q39" i="28" s="1"/>
  <c r="I37" i="27"/>
  <c r="O156" i="34" s="1"/>
  <c r="G44" i="22"/>
  <c r="G64" i="2"/>
  <c r="H66" i="2"/>
  <c r="H115" i="1"/>
  <c r="J116" i="1"/>
  <c r="AF16" i="29"/>
  <c r="AE16" i="29"/>
  <c r="AG16" i="29" s="1"/>
  <c r="Q23" i="28" s="1"/>
  <c r="R202" i="34" s="1"/>
  <c r="S10" i="29"/>
  <c r="U10" i="29" s="1"/>
  <c r="K15" i="28" s="1"/>
  <c r="L194" i="34" s="1"/>
  <c r="T10" i="29"/>
  <c r="AL23" i="29"/>
  <c r="AK23" i="29"/>
  <c r="AM23" i="29" s="1"/>
  <c r="AK22" i="29"/>
  <c r="AM22" i="29" s="1"/>
  <c r="AL22" i="29"/>
  <c r="M96" i="34"/>
  <c r="I34" i="32"/>
  <c r="J65" i="32"/>
  <c r="F37" i="1"/>
  <c r="S13" i="30"/>
  <c r="G11" i="20"/>
  <c r="J227" i="34"/>
  <c r="G9" i="22"/>
  <c r="G10" i="22" s="1"/>
  <c r="F9" i="22"/>
  <c r="F10" i="22" s="1"/>
  <c r="M107" i="1"/>
  <c r="M87" i="1"/>
  <c r="M115" i="1"/>
  <c r="M72" i="1"/>
  <c r="M46" i="1"/>
  <c r="M12" i="1"/>
  <c r="M21" i="1"/>
  <c r="J33" i="1"/>
  <c r="I28" i="27"/>
  <c r="O147" i="34" s="1"/>
  <c r="J48" i="32"/>
  <c r="F8" i="2"/>
  <c r="H48" i="29"/>
  <c r="I48" i="29" s="1"/>
  <c r="G40" i="2"/>
  <c r="G44" i="2" s="1"/>
  <c r="H41" i="2"/>
  <c r="H40" i="2" s="1"/>
  <c r="F39" i="1"/>
  <c r="H84" i="32"/>
  <c r="I16" i="34"/>
  <c r="I36" i="34" s="1"/>
  <c r="O54" i="34" s="1"/>
  <c r="F3" i="22"/>
  <c r="G16" i="26"/>
  <c r="O10" i="28" s="1"/>
  <c r="K8" i="20"/>
  <c r="F45" i="26"/>
  <c r="H46" i="1"/>
  <c r="J47" i="1"/>
  <c r="H64" i="32"/>
  <c r="H62" i="32" s="1"/>
  <c r="M117" i="34" s="1"/>
  <c r="F11" i="1"/>
  <c r="H87" i="1"/>
  <c r="J88" i="1"/>
  <c r="J87" i="1" s="1"/>
  <c r="H35" i="2"/>
  <c r="H34" i="2" s="1"/>
  <c r="G34" i="2"/>
  <c r="G38" i="2" s="1"/>
  <c r="H112" i="1"/>
  <c r="J113" i="1"/>
  <c r="H52" i="1"/>
  <c r="M24" i="1"/>
  <c r="M41" i="1"/>
  <c r="M102" i="1"/>
  <c r="J124" i="1"/>
  <c r="H107" i="1"/>
  <c r="J108" i="1"/>
  <c r="AF41" i="29"/>
  <c r="AB44" i="29"/>
  <c r="AB52" i="29"/>
  <c r="Z12" i="29"/>
  <c r="Y12" i="29"/>
  <c r="AA12" i="29" s="1"/>
  <c r="N18" i="28" s="1"/>
  <c r="O197" i="34" s="1"/>
  <c r="T9" i="29"/>
  <c r="S9" i="29"/>
  <c r="U9" i="29" s="1"/>
  <c r="K14" i="28" s="1"/>
  <c r="L193" i="34" s="1"/>
  <c r="G50" i="2"/>
  <c r="H49" i="2"/>
  <c r="P50" i="29"/>
  <c r="T35" i="29"/>
  <c r="P44" i="29"/>
  <c r="O126" i="34"/>
  <c r="J78" i="32"/>
  <c r="Q126" i="34" s="1"/>
  <c r="H46" i="2"/>
  <c r="AF19" i="29"/>
  <c r="AF21" i="29"/>
  <c r="AE21" i="29"/>
  <c r="AG21" i="29" s="1"/>
  <c r="Q29" i="28" s="1"/>
  <c r="R208" i="34" s="1"/>
  <c r="H15" i="2"/>
  <c r="X11" i="29"/>
  <c r="AD11" i="29"/>
  <c r="M52" i="1"/>
  <c r="M83" i="1"/>
  <c r="F22" i="22"/>
  <c r="F23" i="22" s="1"/>
  <c r="G22" i="22"/>
  <c r="G23" i="22" s="1"/>
  <c r="Y13" i="29"/>
  <c r="AA13" i="29" s="1"/>
  <c r="N19" i="28" s="1"/>
  <c r="O198" i="34" s="1"/>
  <c r="Z13" i="29"/>
  <c r="M121" i="34"/>
  <c r="M91" i="1"/>
  <c r="M17" i="1"/>
  <c r="M27" i="1"/>
  <c r="H61" i="2"/>
  <c r="H62" i="2" s="1"/>
  <c r="H102" i="1"/>
  <c r="J103" i="1"/>
  <c r="E24" i="33"/>
  <c r="K32" i="33" s="1"/>
  <c r="E22" i="33"/>
  <c r="E20" i="33"/>
  <c r="E18" i="33"/>
  <c r="E16" i="33"/>
  <c r="E7" i="33"/>
  <c r="E15" i="33"/>
  <c r="F3" i="33"/>
  <c r="E23" i="33"/>
  <c r="E21" i="33"/>
  <c r="E17" i="33"/>
  <c r="E19" i="33"/>
  <c r="I40" i="32"/>
  <c r="O99" i="34" s="1"/>
  <c r="X9" i="29"/>
  <c r="P14" i="28"/>
  <c r="X8" i="29"/>
  <c r="P13" i="28"/>
  <c r="M32" i="28"/>
  <c r="I29" i="27" s="1"/>
  <c r="O148" i="34" s="1"/>
  <c r="X10" i="29"/>
  <c r="P15" i="28"/>
  <c r="M55" i="1"/>
  <c r="M120" i="1"/>
  <c r="J53" i="27"/>
  <c r="Q177" i="34" s="1"/>
  <c r="I45" i="32"/>
  <c r="X44" i="29"/>
  <c r="H23" i="2"/>
  <c r="H22" i="2" s="1"/>
  <c r="H26" i="2" s="1"/>
  <c r="G22" i="2"/>
  <c r="G26" i="2" s="1"/>
  <c r="G16" i="2"/>
  <c r="G20" i="2" s="1"/>
  <c r="H17" i="2"/>
  <c r="H16" i="2" s="1"/>
  <c r="H20" i="2" s="1"/>
  <c r="G56" i="2"/>
  <c r="H55" i="2"/>
  <c r="H56" i="2" s="1"/>
  <c r="AK20" i="29"/>
  <c r="AM20" i="29" s="1"/>
  <c r="AL20" i="29"/>
  <c r="T11" i="29"/>
  <c r="S11" i="29"/>
  <c r="U11" i="29" s="1"/>
  <c r="K16" i="28" s="1"/>
  <c r="L195" i="34" s="1"/>
  <c r="T15" i="27"/>
  <c r="H43" i="2"/>
  <c r="V51" i="29"/>
  <c r="Z38" i="29"/>
  <c r="V44" i="29"/>
  <c r="Z15" i="29"/>
  <c r="Y15" i="29"/>
  <c r="AA15" i="29" s="1"/>
  <c r="N21" i="28" s="1"/>
  <c r="O200" i="34" s="1"/>
  <c r="H82" i="32"/>
  <c r="M33" i="28"/>
  <c r="AG44" i="29"/>
  <c r="Q33" i="28"/>
  <c r="U44" i="29"/>
  <c r="K33" i="28"/>
  <c r="AD44" i="29"/>
  <c r="P33" i="28"/>
  <c r="I82" i="32"/>
  <c r="R48" i="29"/>
  <c r="R44" i="29"/>
  <c r="J33" i="28"/>
  <c r="G82" i="32"/>
  <c r="AA44" i="29"/>
  <c r="N33" i="28"/>
  <c r="O44" i="29"/>
  <c r="H33" i="28"/>
  <c r="J82" i="32"/>
  <c r="AJ44" i="29"/>
  <c r="J49" i="29"/>
  <c r="J53" i="29" s="1"/>
  <c r="N32" i="29"/>
  <c r="J44" i="29"/>
  <c r="K88" i="34"/>
  <c r="K110" i="34" s="1"/>
  <c r="K135" i="34" s="1"/>
  <c r="L28" i="32"/>
  <c r="L16" i="32"/>
  <c r="G54" i="32"/>
  <c r="L32" i="32"/>
  <c r="L24" i="32"/>
  <c r="S37" i="30"/>
  <c r="T37" i="30" s="1"/>
  <c r="L22" i="22"/>
  <c r="L23" i="22" s="1"/>
  <c r="S29" i="30"/>
  <c r="T29" i="30" s="1"/>
  <c r="D26" i="22"/>
  <c r="H62" i="26"/>
  <c r="K51" i="34" s="1"/>
  <c r="G23" i="32"/>
  <c r="G25" i="32" s="1"/>
  <c r="F46" i="22"/>
  <c r="F47" i="22" s="1"/>
  <c r="I15" i="32" s="1"/>
  <c r="F39" i="22"/>
  <c r="F40" i="22" s="1"/>
  <c r="I31" i="32" s="1"/>
  <c r="F44" i="22"/>
  <c r="K92" i="34"/>
  <c r="F37" i="22"/>
  <c r="G7" i="22"/>
  <c r="J20" i="32" s="1"/>
  <c r="G92" i="32"/>
  <c r="G89" i="32" s="1"/>
  <c r="G62" i="32"/>
  <c r="K117" i="34" s="1"/>
  <c r="G30" i="20"/>
  <c r="D37" i="1"/>
  <c r="D32" i="1" s="1"/>
  <c r="H71" i="2"/>
  <c r="AP60" i="30"/>
  <c r="B135" i="1"/>
  <c r="B71" i="2" s="1"/>
  <c r="P45" i="29" l="1"/>
  <c r="G17" i="32"/>
  <c r="B28" i="30"/>
  <c r="I18" i="22" s="1"/>
  <c r="J102" i="1"/>
  <c r="AE17" i="29"/>
  <c r="AG17" i="29" s="1"/>
  <c r="Q24" i="28" s="1"/>
  <c r="R203" i="34" s="1"/>
  <c r="H227" i="34"/>
  <c r="AI24" i="29"/>
  <c r="H50" i="2"/>
  <c r="H60" i="29"/>
  <c r="H58" i="29"/>
  <c r="H61" i="29" s="1"/>
  <c r="H14" i="28"/>
  <c r="I193" i="34" s="1"/>
  <c r="G24" i="22"/>
  <c r="J25" i="27"/>
  <c r="F24" i="22"/>
  <c r="I25" i="27"/>
  <c r="J115" i="1"/>
  <c r="J45" i="29"/>
  <c r="J27" i="29"/>
  <c r="M24" i="29"/>
  <c r="Y14" i="29"/>
  <c r="AA14" i="29" s="1"/>
  <c r="N20" i="28" s="1"/>
  <c r="O199" i="34" s="1"/>
  <c r="N24" i="29"/>
  <c r="S8" i="29"/>
  <c r="S24" i="29" s="1"/>
  <c r="Q192" i="34"/>
  <c r="I76" i="32"/>
  <c r="I75" i="32" s="1"/>
  <c r="R66" i="29"/>
  <c r="I86" i="32"/>
  <c r="AR27" i="30"/>
  <c r="AS27" i="30" s="1"/>
  <c r="AQ27" i="30"/>
  <c r="AJ26" i="30"/>
  <c r="AT26" i="30" s="1"/>
  <c r="H33" i="30" s="1"/>
  <c r="I33" i="30" s="1"/>
  <c r="J33" i="30" s="1"/>
  <c r="K33" i="30" s="1"/>
  <c r="L33" i="30" s="1"/>
  <c r="M33" i="30" s="1"/>
  <c r="N33" i="30" s="1"/>
  <c r="O33" i="30" s="1"/>
  <c r="P33" i="30" s="1"/>
  <c r="Q33" i="30" s="1"/>
  <c r="R33" i="30" s="1"/>
  <c r="AK26" i="30"/>
  <c r="G35" i="30"/>
  <c r="H35" i="30" s="1"/>
  <c r="I35" i="30" s="1"/>
  <c r="J35" i="30" s="1"/>
  <c r="K35" i="30" s="1"/>
  <c r="L35" i="30" s="1"/>
  <c r="M35" i="30" s="1"/>
  <c r="N35" i="30" s="1"/>
  <c r="O35" i="30" s="1"/>
  <c r="P35" i="30" s="1"/>
  <c r="Q35" i="30" s="1"/>
  <c r="R35" i="30" s="1"/>
  <c r="AJ27" i="30"/>
  <c r="AK27" i="30"/>
  <c r="AL27" i="30" s="1"/>
  <c r="AD27" i="30"/>
  <c r="AC27" i="30"/>
  <c r="AE27" i="30"/>
  <c r="H35" i="1"/>
  <c r="J12" i="1"/>
  <c r="J11" i="1" s="1"/>
  <c r="J86" i="32"/>
  <c r="R219" i="34"/>
  <c r="M125" i="34"/>
  <c r="O24" i="29"/>
  <c r="G227" i="34"/>
  <c r="Q106" i="34"/>
  <c r="AC24" i="29"/>
  <c r="G49" i="30"/>
  <c r="S49" i="30" s="1"/>
  <c r="T49" i="30" s="1"/>
  <c r="P50" i="30"/>
  <c r="G50" i="30"/>
  <c r="I50" i="30"/>
  <c r="H50" i="30"/>
  <c r="R50" i="30"/>
  <c r="Q50" i="30"/>
  <c r="J107" i="1"/>
  <c r="J112" i="1"/>
  <c r="J60" i="29" s="1"/>
  <c r="J46" i="1"/>
  <c r="J51" i="27"/>
  <c r="J47" i="32" s="1"/>
  <c r="Q105" i="34" s="1"/>
  <c r="M50" i="30"/>
  <c r="J50" i="30"/>
  <c r="J72" i="1"/>
  <c r="N50" i="30"/>
  <c r="L50" i="30"/>
  <c r="K50" i="30"/>
  <c r="O50" i="30"/>
  <c r="N211" i="34"/>
  <c r="L221" i="34"/>
  <c r="J69" i="32"/>
  <c r="Q41" i="28" s="1"/>
  <c r="N41" i="28"/>
  <c r="L65" i="29"/>
  <c r="X24" i="29"/>
  <c r="AD10" i="29"/>
  <c r="AJ10" i="29" s="1"/>
  <c r="Q194" i="34"/>
  <c r="AD9" i="29"/>
  <c r="AJ9" i="29" s="1"/>
  <c r="Q193" i="34"/>
  <c r="I194" i="34"/>
  <c r="Q128" i="34"/>
  <c r="O129" i="34"/>
  <c r="G94" i="32"/>
  <c r="K131" i="34" s="1"/>
  <c r="G54" i="27"/>
  <c r="Q174" i="34"/>
  <c r="J43" i="32"/>
  <c r="Q102" i="34" s="1"/>
  <c r="N65" i="29"/>
  <c r="G68" i="2"/>
  <c r="G11" i="2" s="1"/>
  <c r="G10" i="2"/>
  <c r="K11" i="20" s="1"/>
  <c r="M37" i="28"/>
  <c r="N213" i="34"/>
  <c r="H37" i="28"/>
  <c r="I217" i="34" s="1"/>
  <c r="I213" i="34"/>
  <c r="P37" i="28"/>
  <c r="Q213" i="34"/>
  <c r="N37" i="28"/>
  <c r="O217" i="34" s="1"/>
  <c r="O213" i="34"/>
  <c r="K37" i="28"/>
  <c r="L217" i="34" s="1"/>
  <c r="L213" i="34"/>
  <c r="J37" i="28"/>
  <c r="J47" i="28" s="1"/>
  <c r="K213" i="34"/>
  <c r="Q37" i="28"/>
  <c r="R217" i="34" s="1"/>
  <c r="R213" i="34"/>
  <c r="G35" i="27"/>
  <c r="K154" i="34" s="1"/>
  <c r="H217" i="34"/>
  <c r="K61" i="34"/>
  <c r="G42" i="32"/>
  <c r="C4" i="33" s="1"/>
  <c r="C5" i="33" s="1"/>
  <c r="K173" i="34"/>
  <c r="H57" i="27"/>
  <c r="M181" i="34" s="1"/>
  <c r="J231" i="34"/>
  <c r="K170" i="34"/>
  <c r="T24" i="29"/>
  <c r="Y18" i="29"/>
  <c r="AA18" i="29" s="1"/>
  <c r="N25" i="28" s="1"/>
  <c r="O204" i="34" s="1"/>
  <c r="D49" i="22"/>
  <c r="F32" i="1"/>
  <c r="J26" i="27"/>
  <c r="D50" i="22"/>
  <c r="G19" i="27" s="1"/>
  <c r="H44" i="2"/>
  <c r="H38" i="2"/>
  <c r="G95" i="32"/>
  <c r="O116" i="34"/>
  <c r="G14" i="2"/>
  <c r="E27" i="22"/>
  <c r="H27" i="32" s="1"/>
  <c r="E50" i="22"/>
  <c r="E61" i="26" s="1"/>
  <c r="H50" i="34" s="1"/>
  <c r="H23" i="32"/>
  <c r="I30" i="27"/>
  <c r="O149" i="34" s="1"/>
  <c r="S28" i="30"/>
  <c r="T28" i="30" s="1"/>
  <c r="H34" i="1"/>
  <c r="H39" i="1"/>
  <c r="J84" i="32"/>
  <c r="J39" i="1"/>
  <c r="J52" i="1"/>
  <c r="H45" i="1"/>
  <c r="I129" i="1" s="1"/>
  <c r="I84" i="32"/>
  <c r="H11" i="1"/>
  <c r="Q42" i="27"/>
  <c r="E49" i="22"/>
  <c r="E60" i="26" s="1"/>
  <c r="H49" i="34" s="1"/>
  <c r="G45" i="27"/>
  <c r="F42" i="1"/>
  <c r="H42" i="1" s="1"/>
  <c r="J42" i="1" s="1"/>
  <c r="U36" i="30"/>
  <c r="AJ11" i="29"/>
  <c r="J64" i="32"/>
  <c r="J62" i="32" s="1"/>
  <c r="Q117" i="34" s="1"/>
  <c r="J34" i="1"/>
  <c r="I91" i="32"/>
  <c r="I92" i="32" s="1"/>
  <c r="I89" i="32" s="1"/>
  <c r="O130" i="34" s="1"/>
  <c r="H19" i="32"/>
  <c r="S38" i="30"/>
  <c r="T38" i="30" s="1"/>
  <c r="J57" i="32"/>
  <c r="Q112" i="34" s="1"/>
  <c r="S42" i="30"/>
  <c r="T42" i="30" s="1"/>
  <c r="L64" i="2"/>
  <c r="L40" i="2"/>
  <c r="F61" i="29"/>
  <c r="U30" i="30" s="1"/>
  <c r="I30" i="20"/>
  <c r="M75" i="34" s="1"/>
  <c r="Q116" i="34"/>
  <c r="J30" i="27"/>
  <c r="Q149" i="34" s="1"/>
  <c r="L28" i="2"/>
  <c r="H11" i="27"/>
  <c r="R42" i="27" s="1"/>
  <c r="I30" i="33"/>
  <c r="L16" i="2"/>
  <c r="L34" i="2"/>
  <c r="H11" i="32"/>
  <c r="M28" i="32" s="1"/>
  <c r="L58" i="2"/>
  <c r="L52" i="2"/>
  <c r="L22" i="2"/>
  <c r="L46" i="2"/>
  <c r="AF38" i="29"/>
  <c r="T51" i="29"/>
  <c r="AE51" i="29"/>
  <c r="F8" i="33"/>
  <c r="F23" i="33"/>
  <c r="F21" i="33"/>
  <c r="F19" i="33"/>
  <c r="F17" i="33"/>
  <c r="F15" i="33"/>
  <c r="F24" i="33"/>
  <c r="L32" i="33" s="1"/>
  <c r="G3" i="33"/>
  <c r="F22" i="33"/>
  <c r="F20" i="33"/>
  <c r="F18" i="33"/>
  <c r="F16" i="33"/>
  <c r="O121" i="34"/>
  <c r="O96" i="34"/>
  <c r="J34" i="32"/>
  <c r="Q96" i="34" s="1"/>
  <c r="AF14" i="29"/>
  <c r="AE14" i="29"/>
  <c r="AG14" i="29" s="1"/>
  <c r="Q20" i="28" s="1"/>
  <c r="R199" i="34" s="1"/>
  <c r="J45" i="32"/>
  <c r="X51" i="29"/>
  <c r="X53" i="29" s="1"/>
  <c r="V53" i="29"/>
  <c r="Z8" i="29"/>
  <c r="Y8" i="29"/>
  <c r="G68" i="32"/>
  <c r="G107" i="1"/>
  <c r="G128" i="1"/>
  <c r="G46" i="1"/>
  <c r="G112" i="1"/>
  <c r="G87" i="1"/>
  <c r="I18" i="20"/>
  <c r="M64" i="34" s="1"/>
  <c r="G120" i="1"/>
  <c r="G65" i="1"/>
  <c r="G96" i="1"/>
  <c r="G127" i="1"/>
  <c r="G131" i="1"/>
  <c r="G72" i="1"/>
  <c r="G126" i="1"/>
  <c r="G83" i="1"/>
  <c r="G125" i="1"/>
  <c r="G91" i="1"/>
  <c r="G95" i="1"/>
  <c r="G52" i="1"/>
  <c r="G130" i="1"/>
  <c r="G94" i="1"/>
  <c r="G102" i="1"/>
  <c r="G124" i="1"/>
  <c r="G77" i="1"/>
  <c r="G115" i="1"/>
  <c r="AF18" i="29"/>
  <c r="AE18" i="29"/>
  <c r="AG18" i="29" s="1"/>
  <c r="Q25" i="28" s="1"/>
  <c r="R204" i="34" s="1"/>
  <c r="Z9" i="29"/>
  <c r="Y9" i="29"/>
  <c r="AA9" i="29" s="1"/>
  <c r="N14" i="28" s="1"/>
  <c r="O193" i="34" s="1"/>
  <c r="K57" i="34"/>
  <c r="G52" i="27"/>
  <c r="K176" i="34" s="1"/>
  <c r="Q13" i="27"/>
  <c r="G14" i="20"/>
  <c r="H48" i="27"/>
  <c r="I11" i="20"/>
  <c r="H54" i="27" s="1"/>
  <c r="D7" i="33"/>
  <c r="C7" i="33"/>
  <c r="AE13" i="29"/>
  <c r="AG13" i="29" s="1"/>
  <c r="Q19" i="28" s="1"/>
  <c r="R198" i="34" s="1"/>
  <c r="AF13" i="29"/>
  <c r="AK21" i="29"/>
  <c r="AM21" i="29" s="1"/>
  <c r="AL21" i="29"/>
  <c r="H57" i="29"/>
  <c r="H8" i="1"/>
  <c r="R11" i="20"/>
  <c r="I24" i="27"/>
  <c r="F11" i="22"/>
  <c r="F13" i="22"/>
  <c r="AL17" i="29"/>
  <c r="AK17" i="29"/>
  <c r="AM17" i="29" s="1"/>
  <c r="G30" i="32"/>
  <c r="H33" i="32" s="1"/>
  <c r="G28" i="33"/>
  <c r="AL19" i="29"/>
  <c r="AK19" i="29"/>
  <c r="AM19" i="29" s="1"/>
  <c r="AF12" i="29"/>
  <c r="AE12" i="29"/>
  <c r="AG12" i="29" s="1"/>
  <c r="Q18" i="28" s="1"/>
  <c r="R197" i="34" s="1"/>
  <c r="F12" i="2"/>
  <c r="J16" i="34"/>
  <c r="J36" i="34" s="1"/>
  <c r="Q54" i="34" s="1"/>
  <c r="H8" i="2"/>
  <c r="G3" i="22"/>
  <c r="J8" i="1"/>
  <c r="M8" i="20"/>
  <c r="J11" i="32"/>
  <c r="J11" i="27"/>
  <c r="G45" i="26"/>
  <c r="J28" i="27"/>
  <c r="Q147" i="34" s="1"/>
  <c r="J24" i="27"/>
  <c r="G11" i="22"/>
  <c r="G13" i="22"/>
  <c r="R13" i="30"/>
  <c r="W3" i="22" s="1"/>
  <c r="W4" i="22" s="1"/>
  <c r="J13" i="30"/>
  <c r="O3" i="22" s="1"/>
  <c r="O4" i="22" s="1"/>
  <c r="K13" i="30"/>
  <c r="P3" i="22" s="1"/>
  <c r="P4" i="22" s="1"/>
  <c r="N13" i="30"/>
  <c r="S3" i="22" s="1"/>
  <c r="S4" i="22" s="1"/>
  <c r="P13" i="30"/>
  <c r="U3" i="22" s="1"/>
  <c r="U4" i="22" s="1"/>
  <c r="S15" i="30"/>
  <c r="G15" i="30" s="1"/>
  <c r="I13" i="30"/>
  <c r="N3" i="22" s="1"/>
  <c r="N4" i="22" s="1"/>
  <c r="Q13" i="30"/>
  <c r="V3" i="22" s="1"/>
  <c r="V4" i="22" s="1"/>
  <c r="G13" i="30"/>
  <c r="O13" i="30"/>
  <c r="T3" i="22" s="1"/>
  <c r="T4" i="22" s="1"/>
  <c r="M13" i="30"/>
  <c r="H13" i="30"/>
  <c r="L13" i="30"/>
  <c r="Z10" i="29"/>
  <c r="Y10" i="29"/>
  <c r="AA10" i="29" s="1"/>
  <c r="N15" i="28" s="1"/>
  <c r="O194" i="34" s="1"/>
  <c r="B29" i="30"/>
  <c r="H29" i="33"/>
  <c r="G26" i="22"/>
  <c r="Z35" i="29"/>
  <c r="Y50" i="29"/>
  <c r="AD52" i="29"/>
  <c r="AD53" i="29" s="1"/>
  <c r="AB53" i="29"/>
  <c r="P67" i="29"/>
  <c r="P32" i="28"/>
  <c r="AD8" i="29"/>
  <c r="Z11" i="29"/>
  <c r="Y11" i="29"/>
  <c r="AA11" i="29" s="1"/>
  <c r="N16" i="28" s="1"/>
  <c r="O195" i="34" s="1"/>
  <c r="J40" i="32"/>
  <c r="Q99" i="34" s="1"/>
  <c r="F26" i="22"/>
  <c r="R50" i="29"/>
  <c r="R53" i="29" s="1"/>
  <c r="P53" i="29"/>
  <c r="J37" i="27"/>
  <c r="Q156" i="34" s="1"/>
  <c r="J18" i="27"/>
  <c r="Q141" i="34" s="1"/>
  <c r="K30" i="20"/>
  <c r="O75" i="34" s="1"/>
  <c r="I62" i="32"/>
  <c r="O117" i="34" s="1"/>
  <c r="AF15" i="29"/>
  <c r="AE15" i="29"/>
  <c r="AG15" i="29" s="1"/>
  <c r="Q21" i="28" s="1"/>
  <c r="R200" i="34" s="1"/>
  <c r="J31" i="33"/>
  <c r="G13" i="2"/>
  <c r="AK52" i="29"/>
  <c r="AL41" i="29"/>
  <c r="AF52" i="29" s="1"/>
  <c r="Z52" i="29"/>
  <c r="AK16" i="29"/>
  <c r="AM16" i="29" s="1"/>
  <c r="AL16" i="29"/>
  <c r="H64" i="2"/>
  <c r="H10" i="2" s="1"/>
  <c r="M49" i="29"/>
  <c r="M53" i="29" s="1"/>
  <c r="S49" i="29"/>
  <c r="S53" i="29" s="1"/>
  <c r="N44" i="29"/>
  <c r="T32" i="29"/>
  <c r="C49" i="35"/>
  <c r="C2" i="35"/>
  <c r="C26" i="35" s="1"/>
  <c r="D27" i="22"/>
  <c r="G27" i="32" s="1"/>
  <c r="G29" i="32" s="1"/>
  <c r="G14" i="32"/>
  <c r="D31" i="1"/>
  <c r="D44" i="1" s="1"/>
  <c r="G17" i="20" s="1"/>
  <c r="Q40" i="27"/>
  <c r="K130" i="34"/>
  <c r="I34" i="30"/>
  <c r="J34" i="30" s="1"/>
  <c r="K34" i="30" s="1"/>
  <c r="L34" i="30" s="1"/>
  <c r="M34" i="30" s="1"/>
  <c r="N34" i="30" s="1"/>
  <c r="O34" i="30" s="1"/>
  <c r="P34" i="30" s="1"/>
  <c r="Q34" i="30" s="1"/>
  <c r="R34" i="30" s="1"/>
  <c r="K75" i="34"/>
  <c r="J58" i="29" l="1"/>
  <c r="J59" i="29" s="1"/>
  <c r="Q217" i="34"/>
  <c r="P47" i="28"/>
  <c r="Q227" i="34" s="1"/>
  <c r="N217" i="34"/>
  <c r="M47" i="28"/>
  <c r="N227" i="34" s="1"/>
  <c r="H32" i="28"/>
  <c r="U8" i="29"/>
  <c r="J35" i="1"/>
  <c r="J41" i="1" s="1"/>
  <c r="H41" i="1"/>
  <c r="K217" i="34"/>
  <c r="H35" i="27"/>
  <c r="M154" i="34" s="1"/>
  <c r="R67" i="29"/>
  <c r="J91" i="32"/>
  <c r="J92" i="32" s="1"/>
  <c r="J89" i="32" s="1"/>
  <c r="Q130" i="34" s="1"/>
  <c r="AU26" i="30"/>
  <c r="AL26" i="30"/>
  <c r="AV26" i="30" s="1"/>
  <c r="G32" i="30" s="1"/>
  <c r="AU27" i="30"/>
  <c r="H37" i="1"/>
  <c r="H32" i="1" s="1"/>
  <c r="S40" i="27" s="1"/>
  <c r="AV27" i="30"/>
  <c r="R40" i="27"/>
  <c r="AT27" i="30"/>
  <c r="O125" i="34"/>
  <c r="I57" i="27"/>
  <c r="O181" i="34" s="1"/>
  <c r="K120" i="34"/>
  <c r="S50" i="30"/>
  <c r="T50" i="30" s="1"/>
  <c r="G87" i="32"/>
  <c r="G83" i="32" s="1"/>
  <c r="G36" i="27" s="1"/>
  <c r="K155" i="34" s="1"/>
  <c r="J29" i="27"/>
  <c r="O30" i="30"/>
  <c r="T24" i="22" s="1"/>
  <c r="T25" i="22" s="1"/>
  <c r="G30" i="30"/>
  <c r="H30" i="30"/>
  <c r="M24" i="22" s="1"/>
  <c r="M25" i="22" s="1"/>
  <c r="J30" i="30"/>
  <c r="O24" i="22" s="1"/>
  <c r="O25" i="22" s="1"/>
  <c r="R30" i="30"/>
  <c r="W24" i="22" s="1"/>
  <c r="W25" i="22" s="1"/>
  <c r="K30" i="30"/>
  <c r="P24" i="22" s="1"/>
  <c r="P25" i="22" s="1"/>
  <c r="M30" i="30"/>
  <c r="R24" i="22" s="1"/>
  <c r="R25" i="22" s="1"/>
  <c r="N30" i="30"/>
  <c r="S24" i="22" s="1"/>
  <c r="S25" i="22" s="1"/>
  <c r="P30" i="30"/>
  <c r="U24" i="22" s="1"/>
  <c r="U25" i="22" s="1"/>
  <c r="Q30" i="30"/>
  <c r="V24" i="22" s="1"/>
  <c r="V25" i="22" s="1"/>
  <c r="L30" i="30"/>
  <c r="Q24" i="22" s="1"/>
  <c r="Q25" i="22" s="1"/>
  <c r="I30" i="30"/>
  <c r="N24" i="22" s="1"/>
  <c r="N25" i="22" s="1"/>
  <c r="G46" i="27"/>
  <c r="J35" i="27"/>
  <c r="Q154" i="34" s="1"/>
  <c r="I35" i="27"/>
  <c r="O154" i="34" s="1"/>
  <c r="O221" i="34"/>
  <c r="R221" i="34"/>
  <c r="K227" i="34"/>
  <c r="AD24" i="29"/>
  <c r="K101" i="34"/>
  <c r="H56" i="27"/>
  <c r="M180" i="34" s="1"/>
  <c r="V4" i="29"/>
  <c r="M189" i="34"/>
  <c r="Q211" i="34"/>
  <c r="H42" i="32"/>
  <c r="M101" i="34" s="1"/>
  <c r="M173" i="34"/>
  <c r="H95" i="32"/>
  <c r="G80" i="32"/>
  <c r="G79" i="32" s="1"/>
  <c r="K127" i="34" s="1"/>
  <c r="K178" i="34"/>
  <c r="Z24" i="29"/>
  <c r="AA8" i="29"/>
  <c r="AA24" i="29" s="1"/>
  <c r="Y24" i="29"/>
  <c r="K13" i="28"/>
  <c r="U24" i="29"/>
  <c r="R3" i="22"/>
  <c r="R4" i="22" s="1"/>
  <c r="Q3" i="22"/>
  <c r="Q4" i="22" s="1"/>
  <c r="L3" i="22"/>
  <c r="L4" i="22" s="1"/>
  <c r="M3" i="22"/>
  <c r="M4" i="22" s="1"/>
  <c r="H28" i="20"/>
  <c r="L74" i="34" s="1"/>
  <c r="H19" i="20"/>
  <c r="L65" i="34" s="1"/>
  <c r="G12" i="2"/>
  <c r="M145" i="34"/>
  <c r="G44" i="32"/>
  <c r="K104" i="34"/>
  <c r="M92" i="34"/>
  <c r="M11" i="20"/>
  <c r="H68" i="2"/>
  <c r="G27" i="22"/>
  <c r="J27" i="32" s="1"/>
  <c r="G50" i="22"/>
  <c r="F27" i="22"/>
  <c r="I27" i="32" s="1"/>
  <c r="F50" i="22"/>
  <c r="I48" i="27"/>
  <c r="H19" i="27"/>
  <c r="M142" i="34" s="1"/>
  <c r="I19" i="32"/>
  <c r="E50" i="26"/>
  <c r="H41" i="34" s="1"/>
  <c r="J45" i="1"/>
  <c r="K129" i="1" s="1"/>
  <c r="O145" i="34"/>
  <c r="K145" i="34"/>
  <c r="H59" i="29"/>
  <c r="M30" i="20"/>
  <c r="Q75" i="34" s="1"/>
  <c r="F31" i="1"/>
  <c r="F44" i="1" s="1"/>
  <c r="D132" i="1"/>
  <c r="K63" i="34"/>
  <c r="R36" i="30"/>
  <c r="H36" i="30"/>
  <c r="G36" i="30"/>
  <c r="K36" i="30"/>
  <c r="N36" i="30"/>
  <c r="P36" i="30"/>
  <c r="J36" i="30"/>
  <c r="Q36" i="30"/>
  <c r="O36" i="30"/>
  <c r="L36" i="30"/>
  <c r="M36" i="30"/>
  <c r="I36" i="30"/>
  <c r="D60" i="26"/>
  <c r="G49" i="34" s="1"/>
  <c r="H54" i="32"/>
  <c r="AJ8" i="29"/>
  <c r="Q121" i="34"/>
  <c r="J31" i="27"/>
  <c r="Q150" i="34" s="1"/>
  <c r="G14" i="22"/>
  <c r="F14" i="22"/>
  <c r="H45" i="27"/>
  <c r="M88" i="34"/>
  <c r="M110" i="34" s="1"/>
  <c r="M135" i="34" s="1"/>
  <c r="M16" i="32"/>
  <c r="R11" i="27"/>
  <c r="D49" i="35" s="1"/>
  <c r="M32" i="32"/>
  <c r="M24" i="32"/>
  <c r="G49" i="22"/>
  <c r="G60" i="26" s="1"/>
  <c r="J49" i="34" s="1"/>
  <c r="H28" i="33"/>
  <c r="G22" i="32"/>
  <c r="K93" i="34" s="1"/>
  <c r="K31" i="33"/>
  <c r="F49" i="22"/>
  <c r="F60" i="26" s="1"/>
  <c r="I49" i="34" s="1"/>
  <c r="J30" i="33"/>
  <c r="C8" i="33"/>
  <c r="D8" i="33"/>
  <c r="E8" i="33"/>
  <c r="J57" i="29"/>
  <c r="P189" i="34"/>
  <c r="S11" i="20"/>
  <c r="AL18" i="29"/>
  <c r="AK18" i="29"/>
  <c r="AM18" i="29" s="1"/>
  <c r="G9" i="33"/>
  <c r="G23" i="33"/>
  <c r="G21" i="33"/>
  <c r="G19" i="33"/>
  <c r="G17" i="33"/>
  <c r="G15" i="33"/>
  <c r="G22" i="33"/>
  <c r="G20" i="33"/>
  <c r="G18" i="33"/>
  <c r="G16" i="33"/>
  <c r="H3" i="33"/>
  <c r="G24" i="33"/>
  <c r="M32" i="33" s="1"/>
  <c r="AK15" i="29"/>
  <c r="AM15" i="29" s="1"/>
  <c r="AL15" i="29"/>
  <c r="AL12" i="29"/>
  <c r="AK12" i="29"/>
  <c r="AM12" i="29" s="1"/>
  <c r="AF10" i="29"/>
  <c r="AE10" i="29"/>
  <c r="AG10" i="29" s="1"/>
  <c r="Q15" i="28" s="1"/>
  <c r="R194" i="34" s="1"/>
  <c r="J15" i="30"/>
  <c r="M15" i="30"/>
  <c r="Q15" i="30"/>
  <c r="R15" i="30"/>
  <c r="I15" i="30"/>
  <c r="P15" i="30"/>
  <c r="H15" i="30"/>
  <c r="L15" i="30"/>
  <c r="N15" i="30"/>
  <c r="K15" i="30"/>
  <c r="O15" i="30"/>
  <c r="O91" i="1"/>
  <c r="O83" i="1"/>
  <c r="O52" i="1"/>
  <c r="O96" i="1"/>
  <c r="O41" i="1"/>
  <c r="O46" i="1"/>
  <c r="O87" i="1"/>
  <c r="O24" i="1"/>
  <c r="O27" i="1"/>
  <c r="O77" i="1"/>
  <c r="O55" i="1"/>
  <c r="O17" i="1"/>
  <c r="O102" i="1"/>
  <c r="O72" i="1"/>
  <c r="O115" i="1"/>
  <c r="O120" i="1"/>
  <c r="O12" i="1"/>
  <c r="O34" i="1"/>
  <c r="O112" i="1"/>
  <c r="O107" i="1"/>
  <c r="O21" i="1"/>
  <c r="K95" i="34"/>
  <c r="T50" i="29"/>
  <c r="AE50" i="29"/>
  <c r="AF35" i="29"/>
  <c r="I22" i="22"/>
  <c r="B30" i="30"/>
  <c r="K60" i="34"/>
  <c r="H29" i="20"/>
  <c r="L75" i="34" s="1"/>
  <c r="H18" i="20"/>
  <c r="L64" i="34" s="1"/>
  <c r="H17" i="20"/>
  <c r="L63" i="34" s="1"/>
  <c r="H24" i="20"/>
  <c r="L70" i="34" s="1"/>
  <c r="H30" i="20"/>
  <c r="H16" i="20"/>
  <c r="H23" i="20"/>
  <c r="L69" i="34" s="1"/>
  <c r="H15" i="20"/>
  <c r="L61" i="34" s="1"/>
  <c r="Z51" i="29"/>
  <c r="AK51" i="29"/>
  <c r="AL38" i="29"/>
  <c r="AF51" i="29" s="1"/>
  <c r="H30" i="32"/>
  <c r="I33" i="32" s="1"/>
  <c r="H13" i="2"/>
  <c r="N58" i="2"/>
  <c r="N52" i="2"/>
  <c r="N46" i="2"/>
  <c r="N40" i="2"/>
  <c r="N34" i="2"/>
  <c r="N28" i="2"/>
  <c r="N22" i="2"/>
  <c r="N64" i="2"/>
  <c r="N16" i="2"/>
  <c r="P65" i="29"/>
  <c r="AL13" i="29"/>
  <c r="AK13" i="29"/>
  <c r="AM13" i="29" s="1"/>
  <c r="C3" i="35"/>
  <c r="Q14" i="27"/>
  <c r="K78" i="34" s="1"/>
  <c r="I72" i="1"/>
  <c r="K18" i="20"/>
  <c r="O64" i="34" s="1"/>
  <c r="I124" i="1"/>
  <c r="I94" i="1"/>
  <c r="I131" i="1"/>
  <c r="I107" i="1"/>
  <c r="I125" i="1"/>
  <c r="I96" i="1"/>
  <c r="I127" i="1"/>
  <c r="I115" i="1"/>
  <c r="I65" i="1"/>
  <c r="I126" i="1"/>
  <c r="I102" i="1"/>
  <c r="I87" i="1"/>
  <c r="I91" i="1"/>
  <c r="I52" i="1"/>
  <c r="I83" i="1"/>
  <c r="I128" i="1"/>
  <c r="I120" i="1"/>
  <c r="I77" i="1"/>
  <c r="I130" i="1"/>
  <c r="I46" i="1"/>
  <c r="I112" i="1"/>
  <c r="I95" i="1"/>
  <c r="N112" i="1"/>
  <c r="G8" i="2"/>
  <c r="N24" i="1"/>
  <c r="N83" i="1"/>
  <c r="N27" i="1"/>
  <c r="N120" i="1"/>
  <c r="N46" i="1"/>
  <c r="N96" i="1"/>
  <c r="N107" i="1"/>
  <c r="N115" i="1"/>
  <c r="N102" i="1"/>
  <c r="N87" i="1"/>
  <c r="N41" i="1"/>
  <c r="N55" i="1"/>
  <c r="N12" i="1"/>
  <c r="N91" i="1"/>
  <c r="N17" i="1"/>
  <c r="N21" i="1"/>
  <c r="N52" i="1"/>
  <c r="N77" i="1"/>
  <c r="N72" i="1"/>
  <c r="N34" i="1"/>
  <c r="O57" i="34"/>
  <c r="S13" i="27"/>
  <c r="K14" i="20"/>
  <c r="I54" i="27"/>
  <c r="I52" i="27"/>
  <c r="O176" i="34" s="1"/>
  <c r="M57" i="34"/>
  <c r="R13" i="27"/>
  <c r="I14" i="20"/>
  <c r="H52" i="27"/>
  <c r="M176" i="34" s="1"/>
  <c r="J61" i="29"/>
  <c r="M61" i="34"/>
  <c r="AF9" i="29"/>
  <c r="AE9" i="29"/>
  <c r="AG9" i="29" s="1"/>
  <c r="Q14" i="28" s="1"/>
  <c r="R193" i="34" s="1"/>
  <c r="AF8" i="29"/>
  <c r="AE8" i="29"/>
  <c r="H68" i="32"/>
  <c r="I29" i="33"/>
  <c r="O61" i="34"/>
  <c r="Q88" i="34"/>
  <c r="Q110" i="34" s="1"/>
  <c r="Q135" i="34" s="1"/>
  <c r="O24" i="32"/>
  <c r="J54" i="32"/>
  <c r="O16" i="32"/>
  <c r="O32" i="32"/>
  <c r="O28" i="32"/>
  <c r="AF11" i="29"/>
  <c r="AE11" i="29"/>
  <c r="AG11" i="29" s="1"/>
  <c r="Q16" i="28" s="1"/>
  <c r="R195" i="34" s="1"/>
  <c r="T42" i="27"/>
  <c r="T11" i="27"/>
  <c r="J45" i="27"/>
  <c r="AK14" i="29"/>
  <c r="AM14" i="29" s="1"/>
  <c r="AL14" i="29"/>
  <c r="Y49" i="29"/>
  <c r="Y53" i="29" s="1"/>
  <c r="T44" i="29"/>
  <c r="G72" i="32"/>
  <c r="Z32" i="29"/>
  <c r="D61" i="26"/>
  <c r="G50" i="34" s="1"/>
  <c r="K142" i="34"/>
  <c r="K90" i="34"/>
  <c r="H17" i="32"/>
  <c r="H14" i="32" s="1"/>
  <c r="S34" i="30"/>
  <c r="E31" i="1"/>
  <c r="E11" i="1"/>
  <c r="Q41" i="27"/>
  <c r="J37" i="1" l="1"/>
  <c r="J32" i="1" s="1"/>
  <c r="J31" i="1" s="1"/>
  <c r="J44" i="1" s="1"/>
  <c r="I211" i="34"/>
  <c r="N13" i="28"/>
  <c r="J57" i="27"/>
  <c r="Q181" i="34" s="1"/>
  <c r="V45" i="29"/>
  <c r="V27" i="29"/>
  <c r="K171" i="34"/>
  <c r="G58" i="27"/>
  <c r="K182" i="34" s="1"/>
  <c r="H32" i="30"/>
  <c r="I32" i="30" s="1"/>
  <c r="J32" i="30" s="1"/>
  <c r="K32" i="30" s="1"/>
  <c r="L32" i="30" s="1"/>
  <c r="M32" i="30" s="1"/>
  <c r="N32" i="30" s="1"/>
  <c r="O32" i="30" s="1"/>
  <c r="P32" i="30" s="1"/>
  <c r="Q32" i="30" s="1"/>
  <c r="R32" i="30" s="1"/>
  <c r="I95" i="32"/>
  <c r="M120" i="34"/>
  <c r="I56" i="27"/>
  <c r="O180" i="34" s="1"/>
  <c r="N48" i="30"/>
  <c r="N54" i="30" s="1"/>
  <c r="O48" i="30"/>
  <c r="O54" i="30" s="1"/>
  <c r="P48" i="30"/>
  <c r="P54" i="30" s="1"/>
  <c r="L48" i="30"/>
  <c r="L54" i="30" s="1"/>
  <c r="G39" i="32"/>
  <c r="S30" i="30"/>
  <c r="T30" i="30" s="1"/>
  <c r="L24" i="22"/>
  <c r="L25" i="22" s="1"/>
  <c r="R48" i="30"/>
  <c r="R54" i="30" s="1"/>
  <c r="G48" i="30"/>
  <c r="G54" i="30" s="1"/>
  <c r="K48" i="30"/>
  <c r="K54" i="30" s="1"/>
  <c r="I48" i="30"/>
  <c r="I54" i="30" s="1"/>
  <c r="J48" i="30"/>
  <c r="J54" i="30" s="1"/>
  <c r="Q48" i="30"/>
  <c r="Q54" i="30" s="1"/>
  <c r="M48" i="30"/>
  <c r="M54" i="30" s="1"/>
  <c r="H48" i="30"/>
  <c r="H54" i="30" s="1"/>
  <c r="K103" i="34"/>
  <c r="G41" i="32"/>
  <c r="K100" i="34" s="1"/>
  <c r="I46" i="27"/>
  <c r="H46" i="27"/>
  <c r="G26" i="32"/>
  <c r="K94" i="34" s="1"/>
  <c r="N23" i="30"/>
  <c r="S10" i="22" s="1"/>
  <c r="S11" i="22" s="1"/>
  <c r="P23" i="30"/>
  <c r="U10" i="22" s="1"/>
  <c r="U11" i="22" s="1"/>
  <c r="M23" i="30"/>
  <c r="R10" i="22" s="1"/>
  <c r="R11" i="22" s="1"/>
  <c r="G23" i="30"/>
  <c r="L10" i="22" s="1"/>
  <c r="L11" i="22" s="1"/>
  <c r="I23" i="30"/>
  <c r="N10" i="22" s="1"/>
  <c r="N11" i="22" s="1"/>
  <c r="O23" i="30"/>
  <c r="T10" i="22" s="1"/>
  <c r="T11" i="22" s="1"/>
  <c r="L23" i="30"/>
  <c r="Q10" i="22" s="1"/>
  <c r="Q11" i="22" s="1"/>
  <c r="R23" i="30"/>
  <c r="W10" i="22" s="1"/>
  <c r="W11" i="22" s="1"/>
  <c r="J23" i="30"/>
  <c r="O10" i="22" s="1"/>
  <c r="O11" i="22" s="1"/>
  <c r="K23" i="30"/>
  <c r="P10" i="22" s="1"/>
  <c r="P11" i="22" s="1"/>
  <c r="H23" i="30"/>
  <c r="M10" i="22" s="1"/>
  <c r="M11" i="22" s="1"/>
  <c r="Q23" i="30"/>
  <c r="V10" i="22" s="1"/>
  <c r="V11" i="22" s="1"/>
  <c r="K32" i="28"/>
  <c r="K47" i="28" s="1"/>
  <c r="L192" i="34"/>
  <c r="M17" i="20"/>
  <c r="Q63" i="34" s="1"/>
  <c r="N32" i="28"/>
  <c r="N47" i="28" s="1"/>
  <c r="O192" i="34"/>
  <c r="R41" i="27"/>
  <c r="I17" i="20"/>
  <c r="J17" i="20" s="1"/>
  <c r="N63" i="34" s="1"/>
  <c r="O92" i="34"/>
  <c r="J19" i="32"/>
  <c r="Q92" i="34" s="1"/>
  <c r="G74" i="32"/>
  <c r="I80" i="32"/>
  <c r="I79" i="32" s="1"/>
  <c r="O127" i="34" s="1"/>
  <c r="O178" i="34"/>
  <c r="I42" i="32"/>
  <c r="O101" i="34" s="1"/>
  <c r="O173" i="34"/>
  <c r="H80" i="32"/>
  <c r="H79" i="32" s="1"/>
  <c r="M127" i="34" s="1"/>
  <c r="M178" i="34"/>
  <c r="P231" i="34"/>
  <c r="Q170" i="34"/>
  <c r="L231" i="34"/>
  <c r="M170" i="34"/>
  <c r="AF24" i="29"/>
  <c r="AG8" i="29"/>
  <c r="AG24" i="29" s="1"/>
  <c r="AE24" i="29"/>
  <c r="AJ24" i="29"/>
  <c r="J76" i="32" s="1"/>
  <c r="J75" i="32" s="1"/>
  <c r="H31" i="1"/>
  <c r="H44" i="1" s="1"/>
  <c r="J28" i="20"/>
  <c r="N74" i="34" s="1"/>
  <c r="L28" i="20"/>
  <c r="P74" i="34" s="1"/>
  <c r="T40" i="27"/>
  <c r="F132" i="1"/>
  <c r="G11" i="1"/>
  <c r="D50" i="26"/>
  <c r="K95" i="1"/>
  <c r="K94" i="1"/>
  <c r="K65" i="1"/>
  <c r="K115" i="1"/>
  <c r="K131" i="1"/>
  <c r="K125" i="1"/>
  <c r="K96" i="1"/>
  <c r="K126" i="1"/>
  <c r="K127" i="1"/>
  <c r="K130" i="1"/>
  <c r="K102" i="1"/>
  <c r="K52" i="1"/>
  <c r="K77" i="1"/>
  <c r="M18" i="20"/>
  <c r="Q64" i="34" s="1"/>
  <c r="K107" i="1"/>
  <c r="K72" i="1"/>
  <c r="K124" i="1"/>
  <c r="K112" i="1"/>
  <c r="K91" i="1"/>
  <c r="K87" i="1"/>
  <c r="K83" i="1"/>
  <c r="K120" i="1"/>
  <c r="K128" i="1"/>
  <c r="K46" i="1"/>
  <c r="G31" i="1"/>
  <c r="K31" i="1"/>
  <c r="T41" i="27"/>
  <c r="J132" i="1"/>
  <c r="K11" i="1"/>
  <c r="Q145" i="34"/>
  <c r="J48" i="27"/>
  <c r="H44" i="32"/>
  <c r="M103" i="34" s="1"/>
  <c r="M104" i="34"/>
  <c r="I44" i="32"/>
  <c r="O103" i="34" s="1"/>
  <c r="O104" i="34"/>
  <c r="H94" i="32"/>
  <c r="H87" i="32" s="1"/>
  <c r="H11" i="2"/>
  <c r="J54" i="27" s="1"/>
  <c r="Q178" i="34" s="1"/>
  <c r="H14" i="2"/>
  <c r="I19" i="27"/>
  <c r="O142" i="34" s="1"/>
  <c r="J23" i="32"/>
  <c r="S36" i="30"/>
  <c r="T36" i="30" s="1"/>
  <c r="H25" i="32"/>
  <c r="Q148" i="34"/>
  <c r="G70" i="32"/>
  <c r="D2" i="35"/>
  <c r="D26" i="35" s="1"/>
  <c r="M95" i="34"/>
  <c r="L31" i="33"/>
  <c r="H60" i="26"/>
  <c r="K49" i="34" s="1"/>
  <c r="AL10" i="29"/>
  <c r="AK10" i="29"/>
  <c r="AM10" i="29" s="1"/>
  <c r="I39" i="32"/>
  <c r="AK9" i="29"/>
  <c r="AM9" i="29" s="1"/>
  <c r="AL9" i="29"/>
  <c r="J19" i="27"/>
  <c r="Q142" i="34" s="1"/>
  <c r="G61" i="26"/>
  <c r="J50" i="34" s="1"/>
  <c r="T5" i="22"/>
  <c r="T6" i="22" s="1"/>
  <c r="T9" i="22" s="1"/>
  <c r="K12" i="33"/>
  <c r="G12" i="33"/>
  <c r="G13" i="33" s="1"/>
  <c r="G26" i="33" s="1"/>
  <c r="P5" i="22"/>
  <c r="P6" i="22" s="1"/>
  <c r="P9" i="22" s="1"/>
  <c r="L12" i="33"/>
  <c r="U5" i="22"/>
  <c r="U6" i="22" s="1"/>
  <c r="U9" i="22" s="1"/>
  <c r="I12" i="33"/>
  <c r="R5" i="22"/>
  <c r="R6" i="22" s="1"/>
  <c r="R9" i="22" s="1"/>
  <c r="H23" i="33"/>
  <c r="H21" i="33"/>
  <c r="H19" i="33"/>
  <c r="H17" i="33"/>
  <c r="H15" i="33"/>
  <c r="I3" i="33"/>
  <c r="H24" i="33"/>
  <c r="N32" i="33" s="1"/>
  <c r="H22" i="33"/>
  <c r="H20" i="33"/>
  <c r="H18" i="33"/>
  <c r="H16" i="33"/>
  <c r="H10" i="33"/>
  <c r="M60" i="34"/>
  <c r="J24" i="20"/>
  <c r="N70" i="34" s="1"/>
  <c r="J30" i="20"/>
  <c r="J15" i="20"/>
  <c r="N61" i="34" s="1"/>
  <c r="J23" i="20"/>
  <c r="N69" i="34" s="1"/>
  <c r="J18" i="20"/>
  <c r="N64" i="34" s="1"/>
  <c r="J29" i="20"/>
  <c r="N75" i="34" s="1"/>
  <c r="M46" i="2"/>
  <c r="M22" i="2"/>
  <c r="M28" i="2"/>
  <c r="I11" i="27"/>
  <c r="M64" i="2"/>
  <c r="M52" i="2"/>
  <c r="M34" i="2"/>
  <c r="I11" i="32"/>
  <c r="M58" i="2"/>
  <c r="M16" i="2"/>
  <c r="M40" i="2"/>
  <c r="B31" i="30"/>
  <c r="B32" i="30" s="1"/>
  <c r="B33" i="30" s="1"/>
  <c r="B34" i="30" s="1"/>
  <c r="B35" i="30" s="1"/>
  <c r="B36" i="30" s="1"/>
  <c r="B37" i="30" s="1"/>
  <c r="B38" i="30" s="1"/>
  <c r="B39" i="30" s="1"/>
  <c r="B40" i="30" s="1"/>
  <c r="B41" i="30" s="1"/>
  <c r="B42" i="30" s="1"/>
  <c r="B43" i="30" s="1"/>
  <c r="B44" i="30" s="1"/>
  <c r="I24" i="22"/>
  <c r="S5" i="22"/>
  <c r="S6" i="22" s="1"/>
  <c r="S9" i="22" s="1"/>
  <c r="J12" i="33"/>
  <c r="F12" i="33"/>
  <c r="F13" i="33" s="1"/>
  <c r="F26" i="33" s="1"/>
  <c r="O5" i="22"/>
  <c r="O6" i="22" s="1"/>
  <c r="O9" i="22" s="1"/>
  <c r="I28" i="33"/>
  <c r="AH4" i="29"/>
  <c r="AH27" i="29" s="1"/>
  <c r="AB4" i="29"/>
  <c r="AB27" i="29" s="1"/>
  <c r="D3" i="35"/>
  <c r="R14" i="27"/>
  <c r="M78" i="34" s="1"/>
  <c r="O60" i="34"/>
  <c r="L24" i="20"/>
  <c r="P70" i="34" s="1"/>
  <c r="L30" i="20"/>
  <c r="L15" i="20"/>
  <c r="P61" i="34" s="1"/>
  <c r="L23" i="20"/>
  <c r="P69" i="34" s="1"/>
  <c r="L18" i="20"/>
  <c r="P64" i="34" s="1"/>
  <c r="L29" i="20"/>
  <c r="P75" i="34" s="1"/>
  <c r="L62" i="34"/>
  <c r="J16" i="20"/>
  <c r="L5" i="22"/>
  <c r="L6" i="22" s="1"/>
  <c r="L9" i="22" s="1"/>
  <c r="C12" i="33"/>
  <c r="J29" i="33"/>
  <c r="F9" i="33"/>
  <c r="E9" i="33"/>
  <c r="D9" i="33"/>
  <c r="AL11" i="29"/>
  <c r="AK11" i="29"/>
  <c r="AM11" i="29" s="1"/>
  <c r="E3" i="35"/>
  <c r="S14" i="27"/>
  <c r="O78" i="34" s="1"/>
  <c r="Z50" i="29"/>
  <c r="AK50" i="29"/>
  <c r="AL35" i="29"/>
  <c r="AF50" i="29" s="1"/>
  <c r="Q5" i="22"/>
  <c r="Q6" i="22" s="1"/>
  <c r="Q9" i="22" s="1"/>
  <c r="H12" i="33"/>
  <c r="H13" i="33" s="1"/>
  <c r="H26" i="33" s="1"/>
  <c r="E12" i="33"/>
  <c r="E13" i="33" s="1"/>
  <c r="E26" i="33" s="1"/>
  <c r="N5" i="22"/>
  <c r="N6" i="22" s="1"/>
  <c r="N9" i="22" s="1"/>
  <c r="K30" i="33"/>
  <c r="F49" i="35"/>
  <c r="F2" i="35"/>
  <c r="F26" i="35" s="1"/>
  <c r="N12" i="33"/>
  <c r="W5" i="22"/>
  <c r="W6" i="22" s="1"/>
  <c r="W9" i="22" s="1"/>
  <c r="AL8" i="29"/>
  <c r="AK8" i="29"/>
  <c r="I68" i="32"/>
  <c r="D12" i="33"/>
  <c r="D13" i="33" s="1"/>
  <c r="D26" i="33" s="1"/>
  <c r="M5" i="22"/>
  <c r="M6" i="22" s="1"/>
  <c r="M9" i="22" s="1"/>
  <c r="V5" i="22"/>
  <c r="V6" i="22" s="1"/>
  <c r="V9" i="22" s="1"/>
  <c r="M12" i="33"/>
  <c r="Q57" i="34"/>
  <c r="M14" i="20"/>
  <c r="T13" i="27"/>
  <c r="J52" i="27"/>
  <c r="Q176" i="34" s="1"/>
  <c r="G21" i="20"/>
  <c r="H21" i="20" s="1"/>
  <c r="L67" i="34" s="1"/>
  <c r="H72" i="32"/>
  <c r="AF32" i="29"/>
  <c r="T49" i="29"/>
  <c r="T53" i="29" s="1"/>
  <c r="AE49" i="29"/>
  <c r="AE53" i="29" s="1"/>
  <c r="Z44" i="29"/>
  <c r="M19" i="30"/>
  <c r="M90" i="34"/>
  <c r="I17" i="32"/>
  <c r="I14" i="32" s="1"/>
  <c r="I30" i="32"/>
  <c r="Q27" i="27" l="1"/>
  <c r="Q29" i="27"/>
  <c r="I94" i="32"/>
  <c r="I87" i="32" s="1"/>
  <c r="G41" i="34"/>
  <c r="K98" i="34"/>
  <c r="G19" i="20"/>
  <c r="G20" i="20" s="1"/>
  <c r="G22" i="20" s="1"/>
  <c r="J95" i="32"/>
  <c r="J56" i="27"/>
  <c r="J94" i="32" s="1"/>
  <c r="J87" i="32" s="1"/>
  <c r="J83" i="32" s="1"/>
  <c r="Q125" i="34"/>
  <c r="T108" i="27"/>
  <c r="S32" i="30"/>
  <c r="M171" i="34"/>
  <c r="H58" i="27"/>
  <c r="M182" i="34" s="1"/>
  <c r="O171" i="34"/>
  <c r="I58" i="27"/>
  <c r="O182" i="34" s="1"/>
  <c r="K124" i="34"/>
  <c r="O120" i="34"/>
  <c r="S48" i="30"/>
  <c r="G31" i="30"/>
  <c r="H31" i="30" s="1"/>
  <c r="O131" i="34"/>
  <c r="I83" i="32"/>
  <c r="I74" i="32" s="1"/>
  <c r="S27" i="27" s="1"/>
  <c r="H39" i="32"/>
  <c r="M98" i="34" s="1"/>
  <c r="J46" i="27"/>
  <c r="O211" i="34"/>
  <c r="Q13" i="28"/>
  <c r="Q32" i="28" s="1"/>
  <c r="Q47" i="28" s="1"/>
  <c r="S23" i="30"/>
  <c r="T23" i="30" s="1"/>
  <c r="G27" i="27"/>
  <c r="G40" i="27" s="1"/>
  <c r="K159" i="34" s="1"/>
  <c r="S41" i="27"/>
  <c r="K17" i="20"/>
  <c r="O63" i="34" s="1"/>
  <c r="M63" i="34"/>
  <c r="L211" i="34"/>
  <c r="J42" i="32"/>
  <c r="Q101" i="34" s="1"/>
  <c r="Q173" i="34"/>
  <c r="I11" i="1"/>
  <c r="AM8" i="29"/>
  <c r="AM24" i="29" s="1"/>
  <c r="AK24" i="29"/>
  <c r="I31" i="1"/>
  <c r="AL24" i="29"/>
  <c r="J68" i="32" s="1"/>
  <c r="H132" i="1"/>
  <c r="N28" i="20"/>
  <c r="R74" i="34" s="1"/>
  <c r="H41" i="32"/>
  <c r="M100" i="34" s="1"/>
  <c r="J44" i="32"/>
  <c r="Q103" i="34" s="1"/>
  <c r="Q104" i="34"/>
  <c r="I41" i="32"/>
  <c r="O100" i="34" s="1"/>
  <c r="M131" i="34"/>
  <c r="H22" i="32"/>
  <c r="M93" i="34" s="1"/>
  <c r="N15" i="20"/>
  <c r="R61" i="34" s="1"/>
  <c r="H12" i="2"/>
  <c r="Q18" i="27"/>
  <c r="H20" i="20"/>
  <c r="K66" i="34"/>
  <c r="I23" i="32"/>
  <c r="F61" i="26"/>
  <c r="I50" i="34" s="1"/>
  <c r="E14" i="33"/>
  <c r="F27" i="33" s="1"/>
  <c r="K122" i="34"/>
  <c r="H70" i="32"/>
  <c r="M122" i="34" s="1"/>
  <c r="F14" i="33"/>
  <c r="G27" i="33" s="1"/>
  <c r="G50" i="26"/>
  <c r="M31" i="33"/>
  <c r="J28" i="33"/>
  <c r="G18" i="32"/>
  <c r="D14" i="33"/>
  <c r="E27" i="33" s="1"/>
  <c r="K67" i="34"/>
  <c r="S11" i="27"/>
  <c r="I45" i="27"/>
  <c r="S42" i="27"/>
  <c r="K29" i="33"/>
  <c r="N62" i="34"/>
  <c r="L16" i="20"/>
  <c r="I16" i="20"/>
  <c r="C9" i="33"/>
  <c r="L30" i="33"/>
  <c r="H14" i="33"/>
  <c r="I27" i="33" s="1"/>
  <c r="G14" i="33"/>
  <c r="H27" i="33" s="1"/>
  <c r="N32" i="32"/>
  <c r="N24" i="32"/>
  <c r="O88" i="34"/>
  <c r="O110" i="34" s="1"/>
  <c r="O135" i="34" s="1"/>
  <c r="N28" i="32"/>
  <c r="N16" i="32"/>
  <c r="I54" i="32"/>
  <c r="I23" i="33"/>
  <c r="I21" i="33"/>
  <c r="I19" i="33"/>
  <c r="I17" i="33"/>
  <c r="I15" i="33"/>
  <c r="J3" i="33"/>
  <c r="I20" i="33"/>
  <c r="I18" i="33"/>
  <c r="I16" i="33"/>
  <c r="I22" i="33"/>
  <c r="I24" i="33"/>
  <c r="I13" i="33"/>
  <c r="J80" i="32"/>
  <c r="J79" i="32" s="1"/>
  <c r="C13" i="33"/>
  <c r="C14" i="33" s="1"/>
  <c r="R65" i="29"/>
  <c r="AB45" i="29"/>
  <c r="Q60" i="34"/>
  <c r="N30" i="20"/>
  <c r="N17" i="20"/>
  <c r="R63" i="34" s="1"/>
  <c r="N23" i="20"/>
  <c r="R69" i="34" s="1"/>
  <c r="N18" i="20"/>
  <c r="R64" i="34" s="1"/>
  <c r="N29" i="20"/>
  <c r="R75" i="34" s="1"/>
  <c r="N24" i="20"/>
  <c r="R70" i="34" s="1"/>
  <c r="F3" i="35"/>
  <c r="T14" i="27"/>
  <c r="Q78" i="34" s="1"/>
  <c r="AH45" i="29"/>
  <c r="H11" i="33"/>
  <c r="E10" i="33"/>
  <c r="F10" i="33"/>
  <c r="F11" i="33" s="1"/>
  <c r="G10" i="33"/>
  <c r="G11" i="33" s="1"/>
  <c r="O98" i="34"/>
  <c r="H29" i="32"/>
  <c r="Z49" i="29"/>
  <c r="Z53" i="29" s="1"/>
  <c r="AK49" i="29"/>
  <c r="AF44" i="29"/>
  <c r="AL32" i="29"/>
  <c r="AL44" i="29" s="1"/>
  <c r="I72" i="32"/>
  <c r="S19" i="30"/>
  <c r="O90" i="34"/>
  <c r="J17" i="32"/>
  <c r="J14" i="32" s="1"/>
  <c r="O95" i="34"/>
  <c r="J33" i="32"/>
  <c r="S35" i="30"/>
  <c r="J58" i="27" l="1"/>
  <c r="Q131" i="34"/>
  <c r="Q180" i="34"/>
  <c r="R192" i="34"/>
  <c r="O124" i="34"/>
  <c r="K19" i="20"/>
  <c r="L19" i="20" s="1"/>
  <c r="P65" i="34" s="1"/>
  <c r="Q120" i="34"/>
  <c r="T114" i="27"/>
  <c r="I19" i="20"/>
  <c r="J19" i="20" s="1"/>
  <c r="N65" i="34" s="1"/>
  <c r="H83" i="32"/>
  <c r="H36" i="27" s="1"/>
  <c r="M155" i="34" s="1"/>
  <c r="S54" i="30"/>
  <c r="T48" i="30"/>
  <c r="O26" i="30"/>
  <c r="T14" i="22" s="1"/>
  <c r="T15" i="22" s="1"/>
  <c r="T26" i="22" s="1"/>
  <c r="T27" i="22" s="1"/>
  <c r="Q31" i="30" s="1"/>
  <c r="H26" i="30"/>
  <c r="M14" i="22" s="1"/>
  <c r="M15" i="22" s="1"/>
  <c r="M26" i="22" s="1"/>
  <c r="M27" i="22" s="1"/>
  <c r="J31" i="30" s="1"/>
  <c r="N26" i="30"/>
  <c r="S14" i="22" s="1"/>
  <c r="S15" i="22" s="1"/>
  <c r="S26" i="22" s="1"/>
  <c r="S27" i="22" s="1"/>
  <c r="P31" i="30" s="1"/>
  <c r="I26" i="30"/>
  <c r="N14" i="22" s="1"/>
  <c r="N15" i="22" s="1"/>
  <c r="N26" i="22" s="1"/>
  <c r="N27" i="22" s="1"/>
  <c r="K31" i="30" s="1"/>
  <c r="L26" i="30"/>
  <c r="Q14" i="22" s="1"/>
  <c r="Q15" i="22" s="1"/>
  <c r="Q26" i="22" s="1"/>
  <c r="Q27" i="22" s="1"/>
  <c r="N31" i="30" s="1"/>
  <c r="K26" i="30"/>
  <c r="P14" i="22" s="1"/>
  <c r="P15" i="22" s="1"/>
  <c r="P26" i="22" s="1"/>
  <c r="P27" i="22" s="1"/>
  <c r="M31" i="30" s="1"/>
  <c r="R26" i="30"/>
  <c r="W14" i="22" s="1"/>
  <c r="W15" i="22" s="1"/>
  <c r="W26" i="22" s="1"/>
  <c r="W27" i="22" s="1"/>
  <c r="Q26" i="30"/>
  <c r="V14" i="22" s="1"/>
  <c r="V15" i="22" s="1"/>
  <c r="V26" i="22" s="1"/>
  <c r="V27" i="22" s="1"/>
  <c r="J26" i="30"/>
  <c r="O14" i="22" s="1"/>
  <c r="O15" i="22" s="1"/>
  <c r="O26" i="22" s="1"/>
  <c r="O27" i="22" s="1"/>
  <c r="L31" i="30" s="1"/>
  <c r="M26" i="30"/>
  <c r="R14" i="22" s="1"/>
  <c r="R15" i="22" s="1"/>
  <c r="R26" i="22" s="1"/>
  <c r="R27" i="22" s="1"/>
  <c r="O31" i="30" s="1"/>
  <c r="P26" i="30"/>
  <c r="U14" i="22" s="1"/>
  <c r="U15" i="22" s="1"/>
  <c r="U26" i="22" s="1"/>
  <c r="U27" i="22" s="1"/>
  <c r="R31" i="30" s="1"/>
  <c r="I59" i="27"/>
  <c r="I27" i="27" s="1"/>
  <c r="O146" i="34" s="1"/>
  <c r="H59" i="27"/>
  <c r="H27" i="27" s="1"/>
  <c r="M146" i="34" s="1"/>
  <c r="L17" i="20"/>
  <c r="P63" i="34" s="1"/>
  <c r="Q20" i="27"/>
  <c r="Q21" i="27"/>
  <c r="C30" i="35" s="1"/>
  <c r="R211" i="34"/>
  <c r="J36" i="27"/>
  <c r="K146" i="34"/>
  <c r="N231" i="34"/>
  <c r="O170" i="34"/>
  <c r="F50" i="26"/>
  <c r="D65" i="26" s="1"/>
  <c r="H61" i="26"/>
  <c r="K50" i="34" s="1"/>
  <c r="J41" i="32"/>
  <c r="Q100" i="34" s="1"/>
  <c r="I25" i="32"/>
  <c r="Q61" i="34"/>
  <c r="H22" i="20"/>
  <c r="L66" i="34"/>
  <c r="Q19" i="27"/>
  <c r="C27" i="35" s="1"/>
  <c r="K68" i="34"/>
  <c r="M30" i="33"/>
  <c r="J41" i="34"/>
  <c r="I70" i="32"/>
  <c r="O122" i="34" s="1"/>
  <c r="K28" i="33"/>
  <c r="G13" i="32"/>
  <c r="K89" i="34" s="1"/>
  <c r="K91" i="34"/>
  <c r="J30" i="32"/>
  <c r="J12" i="30"/>
  <c r="F29" i="33"/>
  <c r="F33" i="33" s="1"/>
  <c r="J17" i="30" s="1"/>
  <c r="J20" i="30" s="1"/>
  <c r="K3" i="33"/>
  <c r="J24" i="33"/>
  <c r="J22" i="33"/>
  <c r="J20" i="33"/>
  <c r="J18" i="33"/>
  <c r="J16" i="33"/>
  <c r="J23" i="33"/>
  <c r="J21" i="33"/>
  <c r="J19" i="33"/>
  <c r="J15" i="33"/>
  <c r="J17" i="33"/>
  <c r="J13" i="33"/>
  <c r="J26" i="33" s="1"/>
  <c r="I21" i="20"/>
  <c r="I26" i="33"/>
  <c r="I33" i="33" s="1"/>
  <c r="M17" i="30" s="1"/>
  <c r="M20" i="30" s="1"/>
  <c r="I14" i="33"/>
  <c r="J27" i="33" s="1"/>
  <c r="K12" i="30"/>
  <c r="G30" i="33"/>
  <c r="G33" i="33" s="1"/>
  <c r="K17" i="30" s="1"/>
  <c r="K20" i="30" s="1"/>
  <c r="N31" i="33"/>
  <c r="E49" i="35"/>
  <c r="E2" i="35"/>
  <c r="E26" i="35" s="1"/>
  <c r="M62" i="34"/>
  <c r="Q127" i="34"/>
  <c r="J74" i="32"/>
  <c r="T27" i="27" s="1"/>
  <c r="D10" i="33"/>
  <c r="E11" i="33"/>
  <c r="L29" i="33"/>
  <c r="P62" i="34"/>
  <c r="N16" i="20"/>
  <c r="K16" i="20"/>
  <c r="L12" i="30"/>
  <c r="H31" i="33"/>
  <c r="H33" i="33" s="1"/>
  <c r="L17" i="30" s="1"/>
  <c r="L20" i="30" s="1"/>
  <c r="H26" i="32"/>
  <c r="H18" i="32" s="1"/>
  <c r="AF49" i="29"/>
  <c r="AF53" i="29" s="1"/>
  <c r="J72" i="32"/>
  <c r="Q90" i="34"/>
  <c r="S33" i="30"/>
  <c r="O65" i="34" l="1"/>
  <c r="H74" i="32"/>
  <c r="R27" i="27" s="1"/>
  <c r="M65" i="34"/>
  <c r="I20" i="20"/>
  <c r="J20" i="20" s="1"/>
  <c r="N66" i="34" s="1"/>
  <c r="I36" i="27"/>
  <c r="O155" i="34" s="1"/>
  <c r="Q155" i="34"/>
  <c r="O183" i="34"/>
  <c r="M183" i="34"/>
  <c r="S26" i="30"/>
  <c r="T26" i="30" s="1"/>
  <c r="L14" i="22"/>
  <c r="L15" i="22" s="1"/>
  <c r="L26" i="22" s="1"/>
  <c r="L27" i="22" s="1"/>
  <c r="I31" i="30" s="1"/>
  <c r="S31" i="30" s="1"/>
  <c r="H50" i="26"/>
  <c r="K41" i="34" s="1"/>
  <c r="J50" i="26"/>
  <c r="Q22" i="27"/>
  <c r="I41" i="34"/>
  <c r="L68" i="34"/>
  <c r="I22" i="32"/>
  <c r="J25" i="32" s="1"/>
  <c r="J39" i="32"/>
  <c r="Q98" i="34" s="1"/>
  <c r="Q171" i="34"/>
  <c r="M67" i="34"/>
  <c r="J21" i="20"/>
  <c r="N67" i="34" s="1"/>
  <c r="Q95" i="34"/>
  <c r="J70" i="32"/>
  <c r="Q122" i="34" s="1"/>
  <c r="M29" i="33"/>
  <c r="N30" i="33"/>
  <c r="J14" i="33"/>
  <c r="K27" i="33" s="1"/>
  <c r="M91" i="34"/>
  <c r="H13" i="32"/>
  <c r="M89" i="34" s="1"/>
  <c r="I29" i="32"/>
  <c r="M94" i="34"/>
  <c r="C10" i="33"/>
  <c r="C11" i="33" s="1"/>
  <c r="G12" i="30" s="1"/>
  <c r="D11" i="33"/>
  <c r="O62" i="34"/>
  <c r="K20" i="20"/>
  <c r="L20" i="20" s="1"/>
  <c r="J33" i="33"/>
  <c r="N17" i="30" s="1"/>
  <c r="N20" i="30" s="1"/>
  <c r="R62" i="34"/>
  <c r="M16" i="20"/>
  <c r="L3" i="33"/>
  <c r="K24" i="33"/>
  <c r="K22" i="33"/>
  <c r="K20" i="33"/>
  <c r="K18" i="33"/>
  <c r="K16" i="33"/>
  <c r="K23" i="33"/>
  <c r="K21" i="33"/>
  <c r="K19" i="33"/>
  <c r="K17" i="33"/>
  <c r="K15" i="33"/>
  <c r="K13" i="33"/>
  <c r="K26" i="33" s="1"/>
  <c r="Q124" i="34"/>
  <c r="I12" i="30"/>
  <c r="E28" i="33"/>
  <c r="E33" i="33" s="1"/>
  <c r="I17" i="30" s="1"/>
  <c r="I20" i="30" s="1"/>
  <c r="L28" i="33"/>
  <c r="M66" i="34" l="1"/>
  <c r="R18" i="27"/>
  <c r="I22" i="20"/>
  <c r="R21" i="27" s="1"/>
  <c r="D30" i="35" s="1"/>
  <c r="M124" i="34"/>
  <c r="R19" i="27"/>
  <c r="D27" i="35" s="1"/>
  <c r="J22" i="32"/>
  <c r="O93" i="34"/>
  <c r="M19" i="20"/>
  <c r="N19" i="20" s="1"/>
  <c r="R65" i="34" s="1"/>
  <c r="J59" i="27"/>
  <c r="J27" i="27" s="1"/>
  <c r="Q182" i="34"/>
  <c r="P66" i="34"/>
  <c r="S19" i="27"/>
  <c r="E27" i="35" s="1"/>
  <c r="I26" i="32"/>
  <c r="O94" i="34" s="1"/>
  <c r="M28" i="33"/>
  <c r="K21" i="20"/>
  <c r="K33" i="33"/>
  <c r="O17" i="30" s="1"/>
  <c r="O20" i="30" s="1"/>
  <c r="K14" i="33"/>
  <c r="L27" i="33" s="1"/>
  <c r="N29" i="33"/>
  <c r="S18" i="27"/>
  <c r="O66" i="34"/>
  <c r="L24" i="33"/>
  <c r="L22" i="33"/>
  <c r="L20" i="33"/>
  <c r="L18" i="33"/>
  <c r="L16" i="33"/>
  <c r="L23" i="33"/>
  <c r="L21" i="33"/>
  <c r="L19" i="33"/>
  <c r="L17" i="33"/>
  <c r="L15" i="33"/>
  <c r="M3" i="33"/>
  <c r="L13" i="33"/>
  <c r="L26" i="33" s="1"/>
  <c r="H12" i="30"/>
  <c r="D27" i="33"/>
  <c r="D33" i="33" s="1"/>
  <c r="H17" i="30" s="1"/>
  <c r="H20" i="30" s="1"/>
  <c r="Q62" i="34"/>
  <c r="C26" i="33"/>
  <c r="C33" i="33" s="1"/>
  <c r="G17" i="30" s="1"/>
  <c r="G20" i="30" s="1"/>
  <c r="J22" i="20" l="1"/>
  <c r="N68" i="34" s="1"/>
  <c r="Q93" i="34"/>
  <c r="R20" i="27"/>
  <c r="R22" i="27"/>
  <c r="M68" i="34"/>
  <c r="M20" i="20"/>
  <c r="N20" i="20" s="1"/>
  <c r="T19" i="27" s="1"/>
  <c r="F27" i="35" s="1"/>
  <c r="Q65" i="34"/>
  <c r="Q146" i="34"/>
  <c r="Q183" i="34"/>
  <c r="K22" i="20"/>
  <c r="S21" i="27" s="1"/>
  <c r="E30" i="35" s="1"/>
  <c r="L21" i="20"/>
  <c r="P67" i="34" s="1"/>
  <c r="J29" i="32"/>
  <c r="J26" i="32" s="1"/>
  <c r="Q94" i="34" s="1"/>
  <c r="O67" i="34"/>
  <c r="I18" i="32"/>
  <c r="I13" i="32" s="1"/>
  <c r="O89" i="34" s="1"/>
  <c r="L33" i="33"/>
  <c r="P17" i="30" s="1"/>
  <c r="P20" i="30" s="1"/>
  <c r="L14" i="33"/>
  <c r="M27" i="33" s="1"/>
  <c r="M24" i="33"/>
  <c r="M22" i="33"/>
  <c r="M20" i="33"/>
  <c r="M18" i="33"/>
  <c r="M16" i="33"/>
  <c r="M23" i="33"/>
  <c r="M21" i="33"/>
  <c r="M19" i="33"/>
  <c r="M17" i="33"/>
  <c r="M15" i="33"/>
  <c r="N3" i="33"/>
  <c r="M13" i="33"/>
  <c r="M26" i="33" s="1"/>
  <c r="N28" i="33"/>
  <c r="S22" i="27" l="1"/>
  <c r="L22" i="20"/>
  <c r="S20" i="27"/>
  <c r="Q66" i="34"/>
  <c r="R66" i="34"/>
  <c r="T18" i="27"/>
  <c r="O68" i="34"/>
  <c r="M21" i="20"/>
  <c r="J18" i="32"/>
  <c r="J13" i="32" s="1"/>
  <c r="Q89" i="34" s="1"/>
  <c r="O91" i="34"/>
  <c r="M14" i="33"/>
  <c r="N27" i="33" s="1"/>
  <c r="N23" i="33"/>
  <c r="N21" i="33"/>
  <c r="N19" i="33"/>
  <c r="N17" i="33"/>
  <c r="N15" i="33"/>
  <c r="N18" i="33"/>
  <c r="N16" i="33"/>
  <c r="N24" i="33"/>
  <c r="N22" i="33"/>
  <c r="N20" i="33"/>
  <c r="N13" i="33"/>
  <c r="N26" i="33" s="1"/>
  <c r="M33" i="33"/>
  <c r="Q17" i="30" s="1"/>
  <c r="P68" i="34" l="1"/>
  <c r="Q67" i="34"/>
  <c r="N21" i="20"/>
  <c r="R67" i="34" s="1"/>
  <c r="M22" i="20"/>
  <c r="Q91" i="34"/>
  <c r="N14" i="33"/>
  <c r="Q20" i="30"/>
  <c r="N33" i="33"/>
  <c r="R17" i="30" s="1"/>
  <c r="R20" i="30" s="1"/>
  <c r="T20" i="27" l="1"/>
  <c r="T21" i="27"/>
  <c r="F30" i="35" s="1"/>
  <c r="Q68" i="34"/>
  <c r="N22" i="20"/>
  <c r="S17" i="30"/>
  <c r="S20" i="30"/>
  <c r="T22" i="27" l="1"/>
  <c r="R68" i="34"/>
  <c r="C47" i="28" l="1"/>
  <c r="D227" i="34" s="1"/>
  <c r="G16" i="27"/>
  <c r="K139" i="34" s="1"/>
  <c r="D223" i="34"/>
  <c r="I223" i="34" l="1"/>
  <c r="K123" i="34"/>
  <c r="H33" i="27"/>
  <c r="M152" i="34" s="1"/>
  <c r="G67" i="32"/>
  <c r="Q108" i="27" s="1"/>
  <c r="U39" i="30" l="1"/>
  <c r="Q109" i="27"/>
  <c r="Q114" i="27"/>
  <c r="R107" i="27"/>
  <c r="H16" i="27"/>
  <c r="M139" i="34" s="1"/>
  <c r="H67" i="32"/>
  <c r="R108" i="27" s="1"/>
  <c r="M123" i="34"/>
  <c r="K119" i="34"/>
  <c r="Q44" i="27"/>
  <c r="C51" i="35" s="1"/>
  <c r="G25" i="20" l="1"/>
  <c r="G26" i="20" s="1"/>
  <c r="G27" i="20" s="1"/>
  <c r="Q102" i="27" s="1"/>
  <c r="P39" i="30"/>
  <c r="K39" i="30"/>
  <c r="O39" i="30"/>
  <c r="L39" i="30"/>
  <c r="G39" i="30"/>
  <c r="Q39" i="30"/>
  <c r="R39" i="30"/>
  <c r="M39" i="30"/>
  <c r="J39" i="30"/>
  <c r="N39" i="30"/>
  <c r="I39" i="30"/>
  <c r="H39" i="30"/>
  <c r="I227" i="34"/>
  <c r="R114" i="27"/>
  <c r="S107" i="27"/>
  <c r="I67" i="32"/>
  <c r="S108" i="27" s="1"/>
  <c r="O123" i="34"/>
  <c r="I16" i="27"/>
  <c r="O139" i="34" s="1"/>
  <c r="I33" i="27"/>
  <c r="O152" i="34" s="1"/>
  <c r="L223" i="34"/>
  <c r="M119" i="34"/>
  <c r="R44" i="27"/>
  <c r="D51" i="35" s="1"/>
  <c r="K71" i="34" l="1"/>
  <c r="H25" i="20"/>
  <c r="L71" i="34" s="1"/>
  <c r="H26" i="20"/>
  <c r="L72" i="34" s="1"/>
  <c r="K72" i="34"/>
  <c r="S39" i="30"/>
  <c r="T39" i="30" s="1"/>
  <c r="T107" i="27"/>
  <c r="S114" i="27"/>
  <c r="L227" i="34"/>
  <c r="I25" i="20"/>
  <c r="J33" i="27"/>
  <c r="Q152" i="34" s="1"/>
  <c r="Q123" i="34"/>
  <c r="J67" i="32"/>
  <c r="J16" i="27"/>
  <c r="Q139" i="34" s="1"/>
  <c r="S44" i="27"/>
  <c r="E51" i="35" s="1"/>
  <c r="O119" i="34"/>
  <c r="O223" i="34"/>
  <c r="G14" i="27"/>
  <c r="G20" i="27" s="1"/>
  <c r="G31" i="20"/>
  <c r="Q23" i="27" s="1"/>
  <c r="H27" i="20"/>
  <c r="L73" i="34" s="1"/>
  <c r="U40" i="30"/>
  <c r="K73" i="34"/>
  <c r="T44" i="27" l="1"/>
  <c r="F51" i="35" s="1"/>
  <c r="Q119" i="34"/>
  <c r="K25" i="20"/>
  <c r="O227" i="34"/>
  <c r="M71" i="34"/>
  <c r="I26" i="20"/>
  <c r="J25" i="20"/>
  <c r="N71" i="34" s="1"/>
  <c r="R223" i="34"/>
  <c r="Q31" i="27"/>
  <c r="J237" i="34" s="1"/>
  <c r="Q32" i="27"/>
  <c r="J238" i="34" s="1"/>
  <c r="K137" i="34"/>
  <c r="K76" i="34"/>
  <c r="H31" i="20"/>
  <c r="Q24" i="27" s="1"/>
  <c r="C28" i="35" s="1"/>
  <c r="G60" i="32"/>
  <c r="H58" i="32" s="1"/>
  <c r="G41" i="27"/>
  <c r="K143" i="34"/>
  <c r="G40" i="30"/>
  <c r="Q40" i="30"/>
  <c r="Q45" i="30" s="1"/>
  <c r="Q56" i="30" s="1"/>
  <c r="P97" i="30" s="1"/>
  <c r="P40" i="30"/>
  <c r="P45" i="30" s="1"/>
  <c r="P56" i="30" s="1"/>
  <c r="O97" i="30" s="1"/>
  <c r="R40" i="30"/>
  <c r="R45" i="30" s="1"/>
  <c r="R56" i="30" s="1"/>
  <c r="Q97" i="30" s="1"/>
  <c r="L40" i="30"/>
  <c r="L45" i="30" s="1"/>
  <c r="L56" i="30" s="1"/>
  <c r="K97" i="30" s="1"/>
  <c r="M40" i="30"/>
  <c r="M45" i="30" s="1"/>
  <c r="M56" i="30" s="1"/>
  <c r="L97" i="30" s="1"/>
  <c r="H40" i="30"/>
  <c r="H45" i="30" s="1"/>
  <c r="H56" i="30" s="1"/>
  <c r="G97" i="30" s="1"/>
  <c r="K40" i="30"/>
  <c r="K45" i="30" s="1"/>
  <c r="K56" i="30" s="1"/>
  <c r="J97" i="30" s="1"/>
  <c r="I40" i="30"/>
  <c r="I45" i="30" s="1"/>
  <c r="I56" i="30" s="1"/>
  <c r="H97" i="30" s="1"/>
  <c r="O40" i="30"/>
  <c r="O45" i="30" s="1"/>
  <c r="O56" i="30" s="1"/>
  <c r="N97" i="30" s="1"/>
  <c r="N40" i="30"/>
  <c r="N45" i="30" s="1"/>
  <c r="N56" i="30" s="1"/>
  <c r="M97" i="30" s="1"/>
  <c r="J40" i="30"/>
  <c r="J45" i="30" s="1"/>
  <c r="J56" i="30" s="1"/>
  <c r="I97" i="30" s="1"/>
  <c r="Q33" i="27" l="1"/>
  <c r="J239" i="34" s="1"/>
  <c r="I27" i="20"/>
  <c r="I31" i="20" s="1"/>
  <c r="J26" i="20"/>
  <c r="N72" i="34" s="1"/>
  <c r="M72" i="34"/>
  <c r="O71" i="34"/>
  <c r="K26" i="20"/>
  <c r="L25" i="20"/>
  <c r="P71" i="34" s="1"/>
  <c r="R227" i="34"/>
  <c r="M25" i="20"/>
  <c r="K115" i="34"/>
  <c r="G56" i="32"/>
  <c r="L76" i="34"/>
  <c r="K160" i="34"/>
  <c r="G42" i="27"/>
  <c r="K161" i="34" s="1"/>
  <c r="S40" i="30"/>
  <c r="T40" i="30" s="1"/>
  <c r="G45" i="30"/>
  <c r="M113" i="34"/>
  <c r="M76" i="34" l="1"/>
  <c r="J31" i="20"/>
  <c r="R24" i="27" s="1"/>
  <c r="D28" i="35" s="1"/>
  <c r="K27" i="20"/>
  <c r="K31" i="20" s="1"/>
  <c r="L26" i="20"/>
  <c r="P72" i="34" s="1"/>
  <c r="O72" i="34"/>
  <c r="H60" i="32"/>
  <c r="M115" i="34" s="1"/>
  <c r="R23" i="27"/>
  <c r="M26" i="20"/>
  <c r="Q71" i="34"/>
  <c r="N25" i="20"/>
  <c r="R71" i="34" s="1"/>
  <c r="R102" i="27"/>
  <c r="M73" i="34"/>
  <c r="H14" i="27"/>
  <c r="J27" i="20"/>
  <c r="N73" i="34" s="1"/>
  <c r="K111" i="34"/>
  <c r="Q104" i="27"/>
  <c r="Q105" i="27" s="1"/>
  <c r="G98" i="32"/>
  <c r="G49" i="32" s="1"/>
  <c r="S45" i="30"/>
  <c r="G56" i="30"/>
  <c r="Q115" i="27" l="1"/>
  <c r="I14" i="27"/>
  <c r="S31" i="27" s="1"/>
  <c r="N237" i="34" s="1"/>
  <c r="N76" i="34"/>
  <c r="I60" i="32"/>
  <c r="O115" i="34" s="1"/>
  <c r="O76" i="34"/>
  <c r="S23" i="27"/>
  <c r="L31" i="20"/>
  <c r="R31" i="27"/>
  <c r="L237" i="34" s="1"/>
  <c r="H20" i="27"/>
  <c r="M143" i="34" s="1"/>
  <c r="M137" i="34"/>
  <c r="R32" i="27"/>
  <c r="N26" i="20"/>
  <c r="R72" i="34" s="1"/>
  <c r="M27" i="20"/>
  <c r="Q72" i="34"/>
  <c r="S102" i="27"/>
  <c r="L27" i="20"/>
  <c r="P73" i="34" s="1"/>
  <c r="O73" i="34"/>
  <c r="R103" i="27"/>
  <c r="Q111" i="27"/>
  <c r="Q16" i="27" s="1"/>
  <c r="Q43" i="27"/>
  <c r="Q47" i="27" s="1"/>
  <c r="Q35" i="27"/>
  <c r="J241" i="34" s="1"/>
  <c r="C4" i="35"/>
  <c r="K132" i="34"/>
  <c r="S56" i="30"/>
  <c r="F97" i="30"/>
  <c r="R97" i="30" s="1"/>
  <c r="K107" i="34"/>
  <c r="G38" i="32"/>
  <c r="Q37" i="27"/>
  <c r="Q25" i="27" l="1"/>
  <c r="C29" i="35" s="1"/>
  <c r="S32" i="27"/>
  <c r="N238" i="34" s="1"/>
  <c r="I20" i="27"/>
  <c r="O143" i="34" s="1"/>
  <c r="O137" i="34"/>
  <c r="Q36" i="27"/>
  <c r="J242" i="34" s="1"/>
  <c r="R33" i="27"/>
  <c r="L239" i="34" s="1"/>
  <c r="L238" i="34"/>
  <c r="S24" i="27"/>
  <c r="E28" i="35" s="1"/>
  <c r="P76" i="34"/>
  <c r="T102" i="27"/>
  <c r="Q73" i="34"/>
  <c r="N27" i="20"/>
  <c r="R73" i="34" s="1"/>
  <c r="M31" i="20"/>
  <c r="J14" i="27"/>
  <c r="C5" i="35"/>
  <c r="C50" i="35"/>
  <c r="J243" i="34"/>
  <c r="Q38" i="27"/>
  <c r="J244" i="34" s="1"/>
  <c r="K97" i="34"/>
  <c r="G51" i="32"/>
  <c r="K108" i="34" s="1"/>
  <c r="R48" i="27"/>
  <c r="C52" i="35"/>
  <c r="S33" i="27" l="1"/>
  <c r="N239" i="34" s="1"/>
  <c r="T31" i="27"/>
  <c r="P237" i="34" s="1"/>
  <c r="Q137" i="34"/>
  <c r="J20" i="27"/>
  <c r="Q143" i="34" s="1"/>
  <c r="T32" i="27"/>
  <c r="Q76" i="34"/>
  <c r="J60" i="32"/>
  <c r="Q115" i="34" s="1"/>
  <c r="N31" i="20"/>
  <c r="T23" i="27"/>
  <c r="Q30" i="27"/>
  <c r="J236" i="34" s="1"/>
  <c r="J235" i="34"/>
  <c r="H38" i="27"/>
  <c r="R49" i="27"/>
  <c r="J233" i="34"/>
  <c r="Q28" i="27"/>
  <c r="J234" i="34" s="1"/>
  <c r="T24" i="27" l="1"/>
  <c r="F28" i="35" s="1"/>
  <c r="R76" i="34"/>
  <c r="T33" i="27"/>
  <c r="P239" i="34" s="1"/>
  <c r="P238" i="34"/>
  <c r="H40" i="27"/>
  <c r="H59" i="32"/>
  <c r="M157" i="34"/>
  <c r="M114" i="34" l="1"/>
  <c r="H56" i="32"/>
  <c r="R104" i="27" s="1"/>
  <c r="I58" i="32"/>
  <c r="M159" i="34"/>
  <c r="H41" i="27"/>
  <c r="S103" i="27" l="1"/>
  <c r="R105" i="27"/>
  <c r="M111" i="34"/>
  <c r="H98" i="32"/>
  <c r="O113" i="34"/>
  <c r="H42" i="27"/>
  <c r="M161" i="34" s="1"/>
  <c r="M160" i="34"/>
  <c r="R43" i="27" l="1"/>
  <c r="R35" i="27"/>
  <c r="D4" i="35"/>
  <c r="H49" i="32"/>
  <c r="M132" i="34"/>
  <c r="G57" i="30" l="1"/>
  <c r="H11" i="30" s="1"/>
  <c r="H57" i="30" s="1"/>
  <c r="R115" i="27"/>
  <c r="R36" i="27"/>
  <c r="L242" i="34" s="1"/>
  <c r="L241" i="34"/>
  <c r="H38" i="32"/>
  <c r="M107" i="34"/>
  <c r="R37" i="27"/>
  <c r="D50" i="35"/>
  <c r="R47" i="27"/>
  <c r="F98" i="30" l="1"/>
  <c r="I11" i="30"/>
  <c r="I57" i="30" s="1"/>
  <c r="G98" i="30"/>
  <c r="L243" i="34"/>
  <c r="R38" i="27"/>
  <c r="L244" i="34" s="1"/>
  <c r="D52" i="35"/>
  <c r="S48" i="27"/>
  <c r="H51" i="32"/>
  <c r="M97" i="34"/>
  <c r="J11" i="30" l="1"/>
  <c r="J57" i="30" s="1"/>
  <c r="H98" i="30"/>
  <c r="M108" i="34"/>
  <c r="R30" i="27"/>
  <c r="L236" i="34" s="1"/>
  <c r="L235" i="34"/>
  <c r="I38" i="27"/>
  <c r="S49" i="27"/>
  <c r="R28" i="27"/>
  <c r="L234" i="34" s="1"/>
  <c r="L233" i="34"/>
  <c r="I98" i="30" l="1"/>
  <c r="K11" i="30"/>
  <c r="K57" i="30" s="1"/>
  <c r="I40" i="27"/>
  <c r="O157" i="34"/>
  <c r="I59" i="32"/>
  <c r="J98" i="30" l="1"/>
  <c r="L11" i="30"/>
  <c r="L57" i="30" s="1"/>
  <c r="O114" i="34"/>
  <c r="J58" i="32"/>
  <c r="I56" i="32"/>
  <c r="S104" i="27" s="1"/>
  <c r="O159" i="34"/>
  <c r="I41" i="27"/>
  <c r="T103" i="27" l="1"/>
  <c r="S105" i="27"/>
  <c r="K98" i="30"/>
  <c r="M11" i="30"/>
  <c r="M57" i="30" s="1"/>
  <c r="I98" i="32"/>
  <c r="O111" i="34"/>
  <c r="I42" i="27"/>
  <c r="O161" i="34" s="1"/>
  <c r="O160" i="34"/>
  <c r="Q113" i="34"/>
  <c r="N11" i="30" l="1"/>
  <c r="N57" i="30" s="1"/>
  <c r="L98" i="30"/>
  <c r="I49" i="32"/>
  <c r="S35" i="27"/>
  <c r="S43" i="27"/>
  <c r="O132" i="34"/>
  <c r="E4" i="35"/>
  <c r="S115" i="27" l="1"/>
  <c r="M98" i="30"/>
  <c r="O11" i="30"/>
  <c r="O57" i="30" s="1"/>
  <c r="S47" i="27"/>
  <c r="E50" i="35"/>
  <c r="S36" i="27"/>
  <c r="N242" i="34" s="1"/>
  <c r="N241" i="34"/>
  <c r="O107" i="34"/>
  <c r="I38" i="32"/>
  <c r="S37" i="27"/>
  <c r="N98" i="30" l="1"/>
  <c r="P11" i="30"/>
  <c r="P57" i="30" s="1"/>
  <c r="N243" i="34"/>
  <c r="S38" i="27"/>
  <c r="N244" i="34" s="1"/>
  <c r="I51" i="32"/>
  <c r="O97" i="34"/>
  <c r="T48" i="27"/>
  <c r="E52" i="35"/>
  <c r="Q11" i="30" l="1"/>
  <c r="Q57" i="30" s="1"/>
  <c r="O98" i="30"/>
  <c r="S28" i="27"/>
  <c r="N234" i="34" s="1"/>
  <c r="N233" i="34"/>
  <c r="S30" i="27"/>
  <c r="N236" i="34" s="1"/>
  <c r="N235" i="34"/>
  <c r="J38" i="27"/>
  <c r="J40" i="27" s="1"/>
  <c r="T49" i="27"/>
  <c r="O108" i="34"/>
  <c r="P98" i="30" l="1"/>
  <c r="R11" i="30"/>
  <c r="R57" i="30" s="1"/>
  <c r="Q98" i="30" s="1"/>
  <c r="J59" i="32"/>
  <c r="Q157" i="34"/>
  <c r="Q114" i="34" l="1"/>
  <c r="J56" i="32"/>
  <c r="T104" i="27" s="1"/>
  <c r="T105" i="27" s="1"/>
  <c r="Q159" i="34"/>
  <c r="J41" i="27"/>
  <c r="J42" i="27" l="1"/>
  <c r="Q161" i="34" s="1"/>
  <c r="Q160" i="34"/>
  <c r="Q111" i="34"/>
  <c r="J98" i="32"/>
  <c r="T43" i="27" l="1"/>
  <c r="F4" i="35"/>
  <c r="J49" i="32"/>
  <c r="Q132" i="34"/>
  <c r="T35" i="27"/>
  <c r="T115" i="27" l="1"/>
  <c r="Q107" i="34"/>
  <c r="J38" i="32"/>
  <c r="T37" i="27"/>
  <c r="T47" i="27"/>
  <c r="F52" i="35" s="1"/>
  <c r="F50" i="35"/>
  <c r="P241" i="34"/>
  <c r="T36" i="27"/>
  <c r="P242" i="34" s="1"/>
  <c r="P243" i="34" l="1"/>
  <c r="T38" i="27"/>
  <c r="P244" i="34" s="1"/>
  <c r="J51" i="32"/>
  <c r="Q97" i="34"/>
  <c r="T30" i="27" l="1"/>
  <c r="P236" i="34" s="1"/>
  <c r="P235" i="34"/>
  <c r="T28" i="27"/>
  <c r="P234" i="34" s="1"/>
  <c r="P233" i="34"/>
  <c r="Q108" i="34"/>
  <c r="L98" i="32"/>
  <c r="T109" i="27" l="1"/>
  <c r="T111" i="27" s="1"/>
  <c r="T16" i="27" s="1"/>
  <c r="T25" i="27" s="1"/>
  <c r="F29" i="35" s="1"/>
  <c r="S109" i="27"/>
  <c r="S111" i="27" s="1"/>
  <c r="S16" i="27" s="1"/>
  <c r="S25" i="27" s="1"/>
  <c r="E29" i="35" s="1"/>
  <c r="R109" i="27"/>
  <c r="R111" i="27" s="1"/>
  <c r="R16" i="27" s="1"/>
  <c r="R25" i="27" l="1"/>
  <c r="D29" i="35" s="1"/>
  <c r="D5" i="35"/>
  <c r="E5" i="35"/>
  <c r="F5"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Ari Järvinen</author>
    <author>Företagstolken</author>
    <author>Jadelcons</author>
    <author>Yritystulkki</author>
  </authors>
  <commentList>
    <comment ref="D16" authorId="0" shapeId="0" xr:uid="{498B80B9-52A9-4150-B732-FE134DED0B39}">
      <text>
        <r>
          <rPr>
            <sz val="10"/>
            <color indexed="81"/>
            <rFont val="Tahoma"/>
            <family val="2"/>
          </rPr>
          <t>Räkenskapsperiodens slutningsår. Om räkenskaps-perioden är annan än 12 månader ( 6 - 18 månader), förändra året motsvarande. Observera följande perioden, periodens längd 12 månader.</t>
        </r>
      </text>
    </comment>
    <comment ref="C20" authorId="0" shapeId="0" xr:uid="{1B345E88-EDFF-4D31-A487-B2ED2257BD76}">
      <text>
        <r>
          <rPr>
            <sz val="10"/>
            <color indexed="81"/>
            <rFont val="Tahoma"/>
            <family val="2"/>
          </rPr>
          <t>Här skrivas endast</t>
        </r>
        <r>
          <rPr>
            <b/>
            <i/>
            <sz val="10"/>
            <color indexed="81"/>
            <rFont val="Tahoma"/>
            <family val="2"/>
          </rPr>
          <t xml:space="preserve"> </t>
        </r>
        <r>
          <rPr>
            <b/>
            <sz val="10"/>
            <color indexed="81"/>
            <rFont val="Tahoma"/>
            <family val="2"/>
          </rPr>
          <t xml:space="preserve">Moms-avdragbara och avskrivnings-bara investeringar ! </t>
        </r>
        <r>
          <rPr>
            <sz val="10"/>
            <color indexed="81"/>
            <rFont val="Tahoma"/>
            <family val="2"/>
          </rPr>
          <t>Hälso- och socialbransch samt vid företagsförvärv Moms 0 %!</t>
        </r>
        <r>
          <rPr>
            <b/>
            <i/>
            <sz val="10"/>
            <color indexed="81"/>
            <rFont val="Tahoma"/>
            <family val="2"/>
          </rPr>
          <t xml:space="preserve"> </t>
        </r>
        <r>
          <rPr>
            <sz val="10"/>
            <color indexed="81"/>
            <rFont val="Tahoma"/>
            <family val="2"/>
          </rPr>
          <t xml:space="preserve">I punkt 3 skrivas investeringar Moms 0 %. </t>
        </r>
      </text>
    </comment>
    <comment ref="D22" authorId="1" shapeId="0" xr:uid="{76FAD007-4B97-4806-B5A1-2BC8E9CACD7E}">
      <text>
        <r>
          <rPr>
            <sz val="10"/>
            <color indexed="81"/>
            <rFont val="Tahoma"/>
            <family val="2"/>
          </rPr>
          <t>Mervärdesskattesats 
- 24 % Allmän 
- 0 %, om företagets bransch är hälso- och socialvård 
  eller finansierings- och försäkringstjänster.
- 0 %, om företagets årsomsättning är under 15 000 euro.
- 0 % vid förvärv av företagsverksamheten</t>
        </r>
      </text>
    </comment>
    <comment ref="C24" authorId="0" shapeId="0" xr:uid="{1DBAE9D4-B6EF-4958-B75E-100CFDC19F9F}">
      <text>
        <r>
          <rPr>
            <sz val="10"/>
            <color indexed="81"/>
            <rFont val="Tahoma"/>
            <family val="2"/>
          </rPr>
          <t>Här skrivas</t>
        </r>
        <r>
          <rPr>
            <b/>
            <sz val="10"/>
            <color indexed="81"/>
            <rFont val="Tahoma"/>
            <family val="2"/>
          </rPr>
          <t xml:space="preserve"> endast avskrivningsbara investeringar Moms 0 %. </t>
        </r>
      </text>
    </comment>
    <comment ref="C27" authorId="0" shapeId="0" xr:uid="{ED5936E5-D1B1-4E44-B169-66ED274288A4}">
      <text>
        <r>
          <rPr>
            <sz val="10"/>
            <color indexed="81"/>
            <rFont val="Tahoma"/>
            <family val="2"/>
          </rPr>
          <t>Anskaffningar, av vilka Moms kan avdrags. Hälso- och socialbransch samt vid företagsförvärv Moms  0 %! Använd punkt 5.</t>
        </r>
      </text>
    </comment>
    <comment ref="D27" authorId="0" shapeId="0" xr:uid="{50CE7302-B831-4D9D-AC59-916DDAE4CD93}">
      <text>
        <r>
          <rPr>
            <sz val="10"/>
            <color indexed="81"/>
            <rFont val="Tahoma"/>
            <family val="2"/>
          </rPr>
          <t>Vid bytesaffär belopp av mellangift!</t>
        </r>
      </text>
    </comment>
    <comment ref="D28" authorId="1" shapeId="0" xr:uid="{47C2426E-2AB1-4029-8D36-3043BB576477}">
      <text>
        <r>
          <rPr>
            <sz val="10"/>
            <color indexed="81"/>
            <rFont val="Tahoma"/>
            <family val="2"/>
          </rPr>
          <t>Mervärdesskattesats 
- 24 % Allmän 
- 0 %, om företagets bransch är hälso- och socialvård 
  eller finansierings- och försäkringstjänster.
- 0 %, om företagets årsomsättning är under 15 000 euro.
- 0 % vid förvärv av företagsverksamheten</t>
        </r>
      </text>
    </comment>
    <comment ref="C30" authorId="0" shapeId="0" xr:uid="{180F005F-5C4F-4182-911D-6736AC3BEA0F}">
      <text>
        <r>
          <rPr>
            <sz val="10"/>
            <color indexed="81"/>
            <rFont val="Tahoma"/>
            <family val="2"/>
          </rPr>
          <t>Här endast</t>
        </r>
        <r>
          <rPr>
            <b/>
            <i/>
            <sz val="10"/>
            <color indexed="81"/>
            <rFont val="Tahoma"/>
            <family val="2"/>
          </rPr>
          <t xml:space="preserve"> i</t>
        </r>
        <r>
          <rPr>
            <b/>
            <sz val="10"/>
            <color indexed="81"/>
            <rFont val="Tahoma"/>
            <family val="2"/>
          </rPr>
          <t>nvesteringar Moms 0 %.</t>
        </r>
        <r>
          <rPr>
            <b/>
            <i/>
            <sz val="10"/>
            <color indexed="81"/>
            <rFont val="Tahoma"/>
            <family val="2"/>
          </rPr>
          <t xml:space="preserve"> </t>
        </r>
        <r>
          <rPr>
            <sz val="10"/>
            <color indexed="81"/>
            <rFont val="Tahoma"/>
            <family val="2"/>
          </rPr>
          <t xml:space="preserve">Hälso- och socialbransch, anskaffningar från utomlands eller från privata personer samt vid företagsförvärv och/eller t.ex. inventarier för företagets personal. </t>
        </r>
      </text>
    </comment>
    <comment ref="D30" authorId="0" shapeId="0" xr:uid="{2C733B3B-0332-4D06-8A99-149EAE8D83B2}">
      <text>
        <r>
          <rPr>
            <sz val="10"/>
            <color indexed="81"/>
            <rFont val="Tahoma"/>
            <family val="2"/>
          </rPr>
          <t>Vid bytesaffär belopp av mellangift!</t>
        </r>
      </text>
    </comment>
    <comment ref="C32" authorId="0" shapeId="0" xr:uid="{120D5E0B-581D-481B-9CB8-934B9A2CD6CC}">
      <text>
        <r>
          <rPr>
            <sz val="10"/>
            <color indexed="81"/>
            <rFont val="Tahoma"/>
            <family val="2"/>
          </rPr>
          <t xml:space="preserve">- Asfaltbeläggning, täckdikning av ett tomt, 
  </t>
        </r>
        <r>
          <rPr>
            <b/>
            <sz val="10"/>
            <color indexed="81"/>
            <rFont val="Tahoma"/>
            <family val="2"/>
          </rPr>
          <t xml:space="preserve">som företaget äger </t>
        </r>
        <r>
          <rPr>
            <sz val="10"/>
            <color indexed="81"/>
            <rFont val="Tahoma"/>
            <family val="2"/>
          </rPr>
          <t xml:space="preserve">
- grustag mm. (avskrivning enligt förbrukning)</t>
        </r>
      </text>
    </comment>
    <comment ref="D32" authorId="0" shapeId="0" xr:uid="{E0A3E947-10CC-430D-9620-4C018E0ACECE}">
      <text>
        <r>
          <rPr>
            <sz val="10"/>
            <color indexed="81"/>
            <rFont val="Tahoma"/>
            <family val="2"/>
          </rPr>
          <t>Vid bytesaffär belopp av mellangift!</t>
        </r>
      </text>
    </comment>
    <comment ref="D33" authorId="1" shapeId="0" xr:uid="{1156ADDC-54EF-4E31-BA91-2FE4A87C8A04}">
      <text>
        <r>
          <rPr>
            <sz val="10"/>
            <color indexed="81"/>
            <rFont val="Tahoma"/>
            <family val="2"/>
          </rPr>
          <t>Mervärdesskattesats 
- 24 % Allmän 
- 0 %, om företagets bransch är hälso- och socialvård 
  eller finansierings- och försäkringstjänster.
- 0 %, om företagets årsomsättning är under 15 000 euro.
- 0 % vid förvärv av företagsverksamheten</t>
        </r>
      </text>
    </comment>
    <comment ref="C35" authorId="0" shapeId="0" xr:uid="{C01337C1-55AC-487F-A137-1F51983AFF78}">
      <text>
        <r>
          <rPr>
            <b/>
            <sz val="10"/>
            <color indexed="81"/>
            <rFont val="Tahoma"/>
            <family val="2"/>
          </rPr>
          <t xml:space="preserve">Immateriella nyttigheter, linjär avskrivning t.ex. 5 år
- </t>
        </r>
        <r>
          <rPr>
            <sz val="10"/>
            <color indexed="81"/>
            <rFont val="Tahoma"/>
            <family val="2"/>
          </rPr>
          <t>Patent, goodwill, varumärke. köpta datorproggram osv.  
- Grundförbättring av hyres- och aktiebostad
- Vid företagsförvärv Moms 0 %
- Långsiktiga utvecklingskostnader (om innehåller material-
  kostnader, skrivs dom här (Moms 0 %). Motsvarande belopp
  minskas i tabell 4. E2 OMSÄTTNING.  
- Om utvecklingskostnaderna innehåller lönekostnader och  
  lönebikostnader, skrivs dom här (Moms 0 %). Motsvarande 
  belopp minskas i tabell 3. E1 VERKSAMHETSKOSTNADER.  
- Längsiktiga marknadsföringskostanader. Motsvarande 
  belopp minskas i tabell 3. E1 VERKSAMHETSKOSTNADER.</t>
        </r>
      </text>
    </comment>
    <comment ref="D36" authorId="1" shapeId="0" xr:uid="{E6CE19DC-0370-4CBA-9096-75D8DAB35942}">
      <text>
        <r>
          <rPr>
            <sz val="10"/>
            <color indexed="81"/>
            <rFont val="Tahoma"/>
            <family val="2"/>
          </rPr>
          <t>Mervärdesskattesats 
- 24 % Allmän 
- 0 %, om företagets bransch är hälso- och socialvård 
  eller finansierings- och försäkringstjänster.
- 0 %, om företagets årsomsättning är under 15 000 euro.
- 0 % vid förvärv av företagsverksamheten</t>
        </r>
      </text>
    </comment>
    <comment ref="D41" authorId="2" shapeId="0" xr:uid="{E7A6361E-346A-4BEA-BA89-685E6D099117}">
      <text>
        <r>
          <rPr>
            <sz val="10"/>
            <color indexed="81"/>
            <rFont val="Tahoma"/>
            <family val="2"/>
          </rPr>
          <t xml:space="preserve">- Vid företagsförvärv, anskaffning av omsättningstillgångar Moms 0 %
- Vid anskaffning av varulager i början, moms-% beroende på vilka 
  varor som ska köpas.
Om flera olika momssatser, ställ in det vägda genomsnittet. </t>
        </r>
      </text>
    </comment>
    <comment ref="D48" authorId="3" shapeId="0" xr:uid="{0B6D1C6C-34E0-4F47-B395-7D0E7F7605AC}">
      <text>
        <r>
          <rPr>
            <sz val="10"/>
            <color indexed="81"/>
            <rFont val="Tahoma"/>
            <family val="2"/>
          </rPr>
          <t>Aktiekapital kan betalas med apportegendom (egendom som har ekonomiskt värde för bolaget, t.ex. maskin och byggnad). Egendomens värde skrivs här och överst i tabellen  KAPITALBEHOV - välj rätt investeringsobjekt (Moms 0 %).</t>
        </r>
      </text>
    </comment>
    <comment ref="E48" authorId="0" shapeId="0" xr:uid="{07F30070-BA01-4EFA-8D18-6CA765EFF1BE}">
      <text>
        <r>
          <rPr>
            <sz val="10"/>
            <color indexed="81"/>
            <rFont val="Tahoma"/>
            <family val="2"/>
          </rPr>
          <t xml:space="preserve">Endast ökning av aktiekapitalet! </t>
        </r>
      </text>
    </comment>
    <comment ref="F48" authorId="0" shapeId="0" xr:uid="{89047225-4E4A-4ED5-A91A-A48A14BAE5A4}">
      <text>
        <r>
          <rPr>
            <sz val="10"/>
            <color indexed="81"/>
            <rFont val="Tahoma"/>
            <family val="2"/>
          </rPr>
          <t xml:space="preserve">Endast ökning av aktiekapitalet! </t>
        </r>
      </text>
    </comment>
    <comment ref="G48" authorId="0" shapeId="0" xr:uid="{B0AA7E82-04A2-427B-8922-93474DDF7291}">
      <text>
        <r>
          <rPr>
            <sz val="10"/>
            <color indexed="81"/>
            <rFont val="Tahoma"/>
            <family val="2"/>
          </rPr>
          <t xml:space="preserve">Endast ökning av aktiekapitalet! </t>
        </r>
      </text>
    </comment>
    <comment ref="D49" authorId="0" shapeId="0" xr:uid="{82140248-AF5D-4AC8-9692-9C15A1E45335}">
      <text>
        <r>
          <rPr>
            <sz val="10"/>
            <color indexed="81"/>
            <rFont val="Tahoma"/>
            <family val="2"/>
          </rPr>
          <t xml:space="preserve">I aktiebolaget kan placeras pengar i SVOP-fonden. Inbetalt fritt eget kapital (s.k. SVOP-fond) kan jämföras till aktiekapital. </t>
        </r>
      </text>
    </comment>
    <comment ref="E49" authorId="0" shapeId="0" xr:uid="{17437C5B-C137-481C-9577-D190CE8AEAF7}">
      <text>
        <r>
          <rPr>
            <sz val="10"/>
            <color indexed="81"/>
            <rFont val="Tahoma"/>
            <family val="2"/>
          </rPr>
          <t>Endast ökning i SVOP-fonden! Minskning av SVOP-fonden skrivs i tabell 6. T3 BALANS rad 61.</t>
        </r>
      </text>
    </comment>
    <comment ref="F49" authorId="0" shapeId="0" xr:uid="{4C341FB6-5C10-4484-B5D8-77129EA09E97}">
      <text>
        <r>
          <rPr>
            <sz val="10"/>
            <color indexed="81"/>
            <rFont val="Tahoma"/>
            <family val="2"/>
          </rPr>
          <t>Endast ökning i SVOP-fonden! Minskning av SVOP-fonden skrivs i tabell 6. T3 BALANS rad 61.</t>
        </r>
      </text>
    </comment>
    <comment ref="G49" authorId="0" shapeId="0" xr:uid="{1303CFD2-AACC-4954-8EE8-C1EF9CAA10A8}">
      <text>
        <r>
          <rPr>
            <sz val="10"/>
            <color indexed="81"/>
            <rFont val="Tahoma"/>
            <family val="2"/>
          </rPr>
          <t>Endast ökning i SVOP-fonden! Minskning av SVOP-fonden skrivs i tabell 6. T3 BALANS rad 61.</t>
        </r>
      </text>
    </comment>
    <comment ref="D51" authorId="0" shapeId="0" xr:uid="{9E44A846-C112-420E-93EE-A12D273FA6B4}">
      <text>
        <r>
          <rPr>
            <b/>
            <sz val="10"/>
            <color indexed="81"/>
            <rFont val="Tahoma"/>
            <family val="2"/>
          </rPr>
          <t xml:space="preserve">Kapitallån skrivas endast här, inte i tabell 2. T7 LÅN. </t>
        </r>
        <r>
          <rPr>
            <b/>
            <i/>
            <sz val="10"/>
            <color indexed="81"/>
            <rFont val="Tahoma"/>
            <family val="2"/>
          </rPr>
          <t xml:space="preserve">
</t>
        </r>
        <r>
          <rPr>
            <sz val="10"/>
            <color indexed="81"/>
            <rFont val="Tahoma"/>
            <family val="2"/>
          </rPr>
          <t xml:space="preserve">Tillägg ränte-% av kapitallån i tabell 2. T7 LÅN punkt "Kapitallån". </t>
        </r>
        <r>
          <rPr>
            <b/>
            <i/>
            <sz val="10"/>
            <color indexed="81"/>
            <rFont val="Tahoma"/>
            <family val="2"/>
          </rPr>
          <t xml:space="preserve">
</t>
        </r>
        <r>
          <rPr>
            <b/>
            <sz val="10"/>
            <color indexed="81"/>
            <rFont val="Tahoma"/>
            <family val="2"/>
          </rPr>
          <t>Skuldebrevslån av ägaren</t>
        </r>
        <r>
          <rPr>
            <b/>
            <i/>
            <sz val="10"/>
            <color indexed="81"/>
            <rFont val="Tahoma"/>
            <family val="2"/>
          </rPr>
          <t xml:space="preserve"> </t>
        </r>
        <r>
          <rPr>
            <sz val="10"/>
            <color indexed="81"/>
            <rFont val="Tahoma"/>
            <family val="2"/>
          </rPr>
          <t>kan återbetalas enligt villkor i skuldebrevet och skrivas i tabell 2. T7 LÅN.</t>
        </r>
      </text>
    </comment>
    <comment ref="E51" authorId="0" shapeId="0" xr:uid="{945F3151-A662-4DDE-A6AD-6595B7D623C2}">
      <text>
        <r>
          <rPr>
            <sz val="10"/>
            <color indexed="81"/>
            <rFont val="Tahoma"/>
            <family val="2"/>
          </rPr>
          <t>Endast ökning av kapital</t>
        </r>
        <r>
          <rPr>
            <sz val="9"/>
            <color indexed="81"/>
            <rFont val="Tahoma"/>
            <family val="2"/>
          </rPr>
          <t xml:space="preserve">lån! </t>
        </r>
      </text>
    </comment>
    <comment ref="F51" authorId="0" shapeId="0" xr:uid="{E8E48635-1756-4B39-BD32-7524F20EA225}">
      <text>
        <r>
          <rPr>
            <sz val="10"/>
            <color indexed="81"/>
            <rFont val="Tahoma"/>
            <family val="2"/>
          </rPr>
          <t>Endast ökning av kapital</t>
        </r>
        <r>
          <rPr>
            <sz val="9"/>
            <color indexed="81"/>
            <rFont val="Tahoma"/>
            <family val="2"/>
          </rPr>
          <t xml:space="preserve">lån! </t>
        </r>
      </text>
    </comment>
    <comment ref="G51" authorId="0" shapeId="0" xr:uid="{26677433-054A-4BA9-91B4-5C3F5C4992AA}">
      <text>
        <r>
          <rPr>
            <sz val="10"/>
            <color indexed="81"/>
            <rFont val="Tahoma"/>
            <family val="2"/>
          </rPr>
          <t>Endast ökning av kapital</t>
        </r>
        <r>
          <rPr>
            <sz val="9"/>
            <color indexed="81"/>
            <rFont val="Tahoma"/>
            <family val="2"/>
          </rPr>
          <t xml:space="preserve">lån! </t>
        </r>
      </text>
    </comment>
    <comment ref="D52" authorId="0" shapeId="0" xr:uid="{9517BCA9-CF68-4054-BA35-DAA3FA31D1F8}">
      <text>
        <r>
          <rPr>
            <sz val="10"/>
            <color indexed="81"/>
            <rFont val="Tahoma"/>
            <family val="2"/>
          </rPr>
          <t>För att finansiering ska lyckas, rekommenderas att 20 % av projektet investeras för självfinansiering. Reservera beloppet här. Utom internfinansiering finns följande penningkällor:</t>
        </r>
        <r>
          <rPr>
            <b/>
            <i/>
            <sz val="10"/>
            <color indexed="81"/>
            <rFont val="Tahoma"/>
            <family val="2"/>
          </rPr>
          <t xml:space="preserve">
</t>
        </r>
        <r>
          <rPr>
            <sz val="10"/>
            <color indexed="81"/>
            <rFont val="Tahoma"/>
            <family val="2"/>
          </rPr>
          <t xml:space="preserve">1) Långfristig skuldebrevslån av ägaren </t>
        </r>
        <r>
          <rPr>
            <i/>
            <sz val="10"/>
            <color indexed="81"/>
            <rFont val="Tahoma"/>
            <family val="2"/>
          </rPr>
          <t>(</t>
        </r>
        <r>
          <rPr>
            <sz val="10"/>
            <color indexed="81"/>
            <rFont val="Tahoma"/>
            <family val="2"/>
          </rPr>
          <t>tilläggas i tabell 2. T7 LÅN). 
2) Andel av eget arbete och material (förklara i Anteckningar).</t>
        </r>
      </text>
    </comment>
    <comment ref="J53" authorId="3" shapeId="0" xr:uid="{66A0D762-CE96-4A4A-B6F3-F9D413A29F59}">
      <text>
        <r>
          <rPr>
            <sz val="10"/>
            <color indexed="81"/>
            <rFont val="Tahoma"/>
            <family val="2"/>
          </rPr>
          <t>Lånevillkoren visas för information på utskriftssidan. Påverkar inte den faktiska beräkningen.</t>
        </r>
      </text>
    </comment>
    <comment ref="M54" authorId="0" shapeId="0" xr:uid="{6B496C50-200E-4929-9723-35EDE5DFAB24}">
      <text>
        <r>
          <rPr>
            <sz val="10"/>
            <color indexed="81"/>
            <rFont val="Tahoma"/>
            <family val="2"/>
          </rPr>
          <t>Amorteringsfria åren + amortering åren, t.ex.  1+5.</t>
        </r>
      </text>
    </comment>
    <comment ref="D58" authorId="0" shapeId="0" xr:uid="{00000000-0006-0000-0100-000027000000}">
      <text>
        <r>
          <rPr>
            <sz val="10"/>
            <color indexed="81"/>
            <rFont val="Tahoma"/>
            <family val="2"/>
          </rPr>
          <t>Skriv finansieringsvärdet, inte storlek av leasingens årskostnad!  Leasinghyrornas belopp skrivs i tabell 
3. E1 KOSTNADER rad 66 "Bilar/arbetsmaskiner, affärsbruk, Leasingkostnader".</t>
        </r>
      </text>
    </comment>
    <comment ref="D59" authorId="0" shapeId="0" xr:uid="{00000000-0006-0000-0100-000028000000}">
      <text>
        <r>
          <rPr>
            <sz val="10"/>
            <color indexed="81"/>
            <rFont val="Tahoma"/>
            <family val="2"/>
          </rPr>
          <t>Leasingfinansieringens andel högst 80 % av investeringsvärdet. Skriv finansieringsvärdet, inte leasingräntans storlek! Årliga kostnaderna skrivs i tabell 3. E1 VERKSAMHETSKOSTNADER, 
rad 128 "Leasingkostnader investeringar Moms 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E53D307F-415D-46A6-A903-0A24AEDB794C}">
      <text>
        <r>
          <rPr>
            <sz val="10"/>
            <color indexed="81"/>
            <rFont val="Tahoma"/>
            <family val="2"/>
          </rPr>
          <t>Skuld eller en del av skuld, vars återbetalningstid är över ett år. Innehåller också pensions lån och skuldebrevlån av ägarna.</t>
        </r>
      </text>
    </comment>
    <comment ref="B13" authorId="0" shapeId="0" xr:uid="{00000000-0006-0000-0600-000001000000}">
      <text>
        <r>
          <rPr>
            <sz val="10"/>
            <color indexed="81"/>
            <rFont val="Tahoma"/>
            <family val="2"/>
          </rPr>
          <t xml:space="preserve">Skriv kreditgivarens namn. Skriv Kapitallån i punkt 14 i tabell 1. T1 INVESTERINGSPLAN. </t>
        </r>
      </text>
    </comment>
    <comment ref="C13" authorId="0" shapeId="0" xr:uid="{F7894B56-1023-4E5C-8D8B-D509BCBBA942}">
      <text>
        <r>
          <rPr>
            <sz val="10"/>
            <color indexed="81"/>
            <rFont val="Tahoma"/>
            <family val="2"/>
          </rPr>
          <t>Lånebeloppet måste motsvara beloppet som ska lyftas. Om ett lån lyfts i flera rater, skrivs varje lyft av lånet som ett annat lån.</t>
        </r>
      </text>
    </comment>
    <comment ref="D13" authorId="0" shapeId="0" xr:uid="{39CB71B0-E13F-4532-9AF6-653A8235744C}">
      <text>
        <r>
          <rPr>
            <sz val="10"/>
            <color indexed="81"/>
            <rFont val="Tahoma"/>
            <family val="2"/>
          </rPr>
          <t>Skriv lånetiden i helt tal utan decimaler. Om lånetiden är ett år, är det fråga om ett kortfristigt lån. Skriv beloppet i punkt G.1. Kortfristiga lån i
6. T3 BALANS)</t>
        </r>
      </text>
    </comment>
    <comment ref="G13" authorId="0" shapeId="0" xr:uid="{4BA4B1E0-F29A-4047-99A1-55B655258126}">
      <text>
        <r>
          <rPr>
            <sz val="10"/>
            <color indexed="81"/>
            <rFont val="Tahoma"/>
            <family val="2"/>
          </rPr>
          <t xml:space="preserve">Skriv amorteringens storlek för hela lånetiden. T.ex. lånets kapital 100 000 €, amorteringstid 5 år = årlig amortering 20 000 €. </t>
        </r>
      </text>
    </comment>
    <comment ref="P13" authorId="0" shapeId="0" xr:uid="{00000000-0006-0000-0600-000006000000}">
      <text>
        <r>
          <rPr>
            <sz val="10"/>
            <color indexed="81"/>
            <rFont val="Tahoma"/>
            <family val="2"/>
          </rPr>
          <t>Räkna årlig amortering. Kontrollera sista amorteringsraten!</t>
        </r>
      </text>
    </comment>
    <comment ref="J18" authorId="0" shapeId="0" xr:uid="{34F3C81B-DCCB-44C7-A7E5-AFDD466B1B1A}">
      <text>
        <r>
          <rPr>
            <sz val="10"/>
            <color indexed="81"/>
            <rFont val="Tahoma"/>
            <family val="2"/>
          </rPr>
          <t xml:space="preserve">Skriv amorteringens storlek för hela lånetiden. T.ex. lånets kapital 100 000 €, amorteringstid 5 år = årlig amortering 20 000 €. </t>
        </r>
      </text>
    </comment>
    <comment ref="P18" authorId="0" shapeId="0" xr:uid="{E1250990-29D0-4B7E-A475-8DCE5BB6939C}">
      <text>
        <r>
          <rPr>
            <sz val="10"/>
            <color indexed="81"/>
            <rFont val="Tahoma"/>
            <family val="2"/>
          </rPr>
          <t>Räkna årlig amortering. Kontrollera sista amorteringsraten!</t>
        </r>
      </text>
    </comment>
    <comment ref="M21" authorId="0" shapeId="0" xr:uid="{668A6E2B-E9FE-45B5-961D-CE5901411A92}">
      <text>
        <r>
          <rPr>
            <sz val="10"/>
            <color indexed="81"/>
            <rFont val="Tahoma"/>
            <family val="2"/>
          </rPr>
          <t>Räkna årlig amortering. Kontrollera sista amorteringsraten!</t>
        </r>
      </text>
    </comment>
    <comment ref="M23" authorId="0" shapeId="0" xr:uid="{3520AC48-73C7-4280-BC35-7DF8B1350997}">
      <text>
        <r>
          <rPr>
            <sz val="10"/>
            <color indexed="81"/>
            <rFont val="Tahoma"/>
            <family val="2"/>
          </rPr>
          <t xml:space="preserve">Skriv amorteringens storlek för hela lånetiden. T.ex. lånets kapital 100 000 €, amorteringstid 5 år = årlig amortering 20 000 €. </t>
        </r>
      </text>
    </comment>
    <comment ref="P28" authorId="0" shapeId="0" xr:uid="{BDC1CECD-E97E-4E60-81CD-98E5628A90B7}">
      <text>
        <r>
          <rPr>
            <sz val="10"/>
            <color indexed="81"/>
            <rFont val="Tahoma"/>
            <family val="2"/>
          </rPr>
          <t xml:space="preserve">Skriv amorteringens storlek. T.ex. lånets kapital 100 000 €, amorteringstid 5 år = årlig amortering 20 000 €. </t>
        </r>
      </text>
    </comment>
    <comment ref="B33" authorId="0" shapeId="0" xr:uid="{425CF203-4BD2-44D3-86DA-8126A12894C2}">
      <text>
        <r>
          <rPr>
            <sz val="10"/>
            <color indexed="81"/>
            <rFont val="Tahoma"/>
            <family val="2"/>
          </rPr>
          <t>Skriv kreditgivarens namn.</t>
        </r>
      </text>
    </comment>
    <comment ref="D33" authorId="0" shapeId="0" xr:uid="{66195771-6D3A-4757-A132-01D76167E2B3}">
      <text>
        <r>
          <rPr>
            <b/>
            <sz val="10"/>
            <color indexed="81"/>
            <rFont val="Tahoma"/>
            <family val="2"/>
          </rPr>
          <t xml:space="preserve">Siffran måste vara heltal. </t>
        </r>
        <r>
          <rPr>
            <sz val="10"/>
            <color indexed="81"/>
            <rFont val="Tahoma"/>
            <family val="2"/>
          </rPr>
          <t>Avbetalningslånens minsta lånetid är 2 år.</t>
        </r>
        <r>
          <rPr>
            <sz val="9"/>
            <color indexed="81"/>
            <rFont val="Tahoma"/>
            <family val="2"/>
          </rPr>
          <t xml:space="preserve"> </t>
        </r>
      </text>
    </comment>
    <comment ref="B34" authorId="0" shapeId="0" xr:uid="{F9E9F69C-5321-4C99-95FE-E2AF7A7102DC}">
      <text>
        <r>
          <rPr>
            <sz val="10"/>
            <color indexed="81"/>
            <rFont val="Tahoma"/>
            <family val="2"/>
          </rPr>
          <t>Avbetalningslån, prognos år 2</t>
        </r>
      </text>
    </comment>
    <comment ref="B35" authorId="0" shapeId="0" xr:uid="{DA5C8DE2-B849-45C2-98B7-42B62691DA49}">
      <text>
        <r>
          <rPr>
            <sz val="10"/>
            <color indexed="81"/>
            <rFont val="Tahoma"/>
            <family val="2"/>
          </rPr>
          <t>Avbetalningslån, prognos år 3</t>
        </r>
      </text>
    </comment>
    <comment ref="B36" authorId="0" shapeId="0" xr:uid="{99FA6008-2597-45D4-9E0D-B8162BCEF7E6}">
      <text>
        <r>
          <rPr>
            <sz val="10"/>
            <color indexed="81"/>
            <rFont val="Tahoma"/>
            <family val="2"/>
          </rPr>
          <t>Avbetalningslån, prognos år 4</t>
        </r>
      </text>
    </comment>
    <comment ref="C39" authorId="0" shapeId="0" xr:uid="{1DCE7E58-4ED0-4C41-BEEE-C3871C893B6C}">
      <text>
        <r>
          <rPr>
            <sz val="10"/>
            <color indexed="81"/>
            <rFont val="Tahoma"/>
            <family val="2"/>
          </rPr>
          <t>Tillägg kortfristiga lån av penningväsenden (lånetid under ett år). Förflyttar sig till tabell 
6. T3 BALANS, punkt G.1.</t>
        </r>
      </text>
    </comment>
    <comment ref="C41" authorId="0" shapeId="0" xr:uid="{47059E9E-7FA9-4BF1-9352-26751EC108F5}">
      <text>
        <r>
          <rPr>
            <sz val="10"/>
            <color indexed="81"/>
            <rFont val="Tahoma"/>
            <family val="2"/>
          </rPr>
          <t xml:space="preserve">Förflyttar sig från tabell 1. T1 INVESTERINGSPLAN, punkt 13. </t>
        </r>
      </text>
    </comment>
    <comment ref="H41" authorId="0" shapeId="0" xr:uid="{E628958E-3D26-426F-BF1D-083C91DEF27F}">
      <text>
        <r>
          <rPr>
            <sz val="10"/>
            <color indexed="81"/>
            <rFont val="Tahoma"/>
            <family val="2"/>
          </rPr>
          <t xml:space="preserve">Räntan av långfristiga kapitallån finns här färdigt. </t>
        </r>
      </text>
    </comment>
    <comment ref="C43" authorId="0" shapeId="0" xr:uid="{72683CB1-48C4-4590-93CF-76026DE052B1}">
      <text>
        <r>
          <rPr>
            <sz val="10"/>
            <color indexed="81"/>
            <rFont val="Tahoma"/>
            <family val="2"/>
          </rPr>
          <t xml:space="preserve">Kvarstående lånekapital i slutet av första räkenskapsperioden. Innehåller skulden till anställda, ägare eller övriga privata finansiärer.
Förflyttar sig till tabell 6. T3 BALANS, punkt F.4. </t>
        </r>
      </text>
    </comment>
    <comment ref="G43" authorId="0" shapeId="0" xr:uid="{9AD84C8C-954E-4D87-91A9-BC576F16B14D}">
      <text>
        <r>
          <rPr>
            <sz val="10"/>
            <color indexed="81"/>
            <rFont val="Tahoma"/>
            <family val="2"/>
          </rPr>
          <t xml:space="preserve">Skriv amorteringens storlek. T.ex. lånets kapital 100 000 €, amorteringstid 5 år = årlig amortering 20 000 €. </t>
        </r>
      </text>
    </comment>
    <comment ref="P43" authorId="0" shapeId="0" xr:uid="{8B396DA9-A6CC-45A1-A4EA-2EB9CEF51A38}">
      <text>
        <r>
          <rPr>
            <sz val="10"/>
            <color indexed="81"/>
            <rFont val="Tahoma"/>
            <family val="2"/>
          </rPr>
          <t>Räkna årlig amortering. Kontrollera sista amorteringsraten!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Företagstolken</author>
  </authors>
  <commentList>
    <comment ref="B7" authorId="0" shapeId="0" xr:uid="{39006006-BCA2-450A-B9C4-BA4C654815A8}">
      <text>
        <r>
          <rPr>
            <sz val="10"/>
            <color indexed="81"/>
            <rFont val="Tahoma"/>
            <family val="2"/>
          </rPr>
          <t>Utom hälso- och socialvård, försäkring- och finansieringstjänster samt företagen årsomsättning under 15 000 € inkl. Moms.</t>
        </r>
      </text>
    </comment>
    <comment ref="D10" authorId="1" shapeId="0" xr:uid="{DA51BFAF-6662-4CB0-9D8D-F0EE7708F599}">
      <text>
        <r>
          <rPr>
            <sz val="10"/>
            <color indexed="81"/>
            <rFont val="Tahoma"/>
            <family val="2"/>
          </rPr>
          <t>Om räkenskapsperioden är annan än 12 månader
( 6 - 18 månader), förändra kostnader motsvarande. Observera följande perioden.</t>
        </r>
      </text>
    </comment>
    <comment ref="D13" authorId="1" shapeId="0" xr:uid="{CF83780B-CF9D-4601-977F-718CD7999AEF}">
      <text>
        <r>
          <rPr>
            <b/>
            <sz val="10"/>
            <color indexed="81"/>
            <rFont val="Tahoma"/>
            <family val="2"/>
          </rPr>
          <t>Privata uttag skrivas i cellerna H39 till K39 i tabell 
5. T4 FINANSIERINGSPLAN. Var noga med att lägga till / kontrollera cellen F35 (FöPL-företagarens arbetsinkomst).
En enskild näringsidkare</t>
        </r>
        <r>
          <rPr>
            <sz val="10"/>
            <color indexed="81"/>
            <rFont val="Tahoma"/>
            <family val="2"/>
          </rPr>
          <t xml:space="preserve"> 
kan inte betala lön till sig själv, sin make eller ett barn under 14 år. Entreprenören tar ut pengar från företagets konto som ett privat uttag. 
</t>
        </r>
        <r>
          <rPr>
            <b/>
            <sz val="10"/>
            <color indexed="81"/>
            <rFont val="Tahoma"/>
            <family val="2"/>
          </rPr>
          <t>En partner i ett öppet och kommanditbolag</t>
        </r>
        <r>
          <rPr>
            <sz val="10"/>
            <color indexed="81"/>
            <rFont val="Tahoma"/>
            <family val="2"/>
          </rPr>
          <t xml:space="preserve"> 
kan betala själv lön eller göra privata uttag.
</t>
        </r>
        <r>
          <rPr>
            <b/>
            <sz val="10"/>
            <color indexed="81"/>
            <rFont val="Tahoma"/>
            <family val="2"/>
          </rPr>
          <t xml:space="preserve">Aktieägaren i aktiebolag 
</t>
        </r>
        <r>
          <rPr>
            <sz val="10"/>
            <color indexed="81"/>
            <rFont val="Tahoma"/>
            <family val="2"/>
          </rPr>
          <t xml:space="preserve">betalar vanligen lön för sig själv men är inte nödvändigt. Privata uttag är inte möjliga. </t>
        </r>
      </text>
    </comment>
    <comment ref="M13" authorId="1" shapeId="0" xr:uid="{3E96227C-8060-493B-9AC9-26B2E8D1E543}">
      <text>
        <r>
          <rPr>
            <sz val="10"/>
            <color indexed="81"/>
            <rFont val="Tahoma"/>
            <family val="2"/>
          </rPr>
          <t>Kostnaderna stiger årligen! Förändra siffran eller skriv direkt i cellen.</t>
        </r>
      </text>
    </comment>
    <comment ref="D14" authorId="1" shapeId="0" xr:uid="{1DE5DCE0-8096-4ED9-A2FF-C9F8B6809FFD}">
      <text>
        <r>
          <rPr>
            <sz val="10"/>
            <color indexed="81"/>
            <rFont val="Tahoma"/>
            <family val="2"/>
          </rPr>
          <t xml:space="preserve">Naturaförmåner kan inte ges till enskild näringsidkare. I ett öppet och kommanditbolag är möjligt om företagarna får lön. </t>
        </r>
      </text>
    </comment>
    <comment ref="D15" authorId="1" shapeId="0" xr:uid="{00000000-0006-0000-0800-000002000000}">
      <text>
        <r>
          <rPr>
            <sz val="10"/>
            <color indexed="81"/>
            <rFont val="Tahoma"/>
            <family val="2"/>
          </rPr>
          <t>Lönemånader 12. Semesterlönekostnader kalkyleras automatiskt till tabell 7. T2 RESULTATBUDGET.</t>
        </r>
      </text>
    </comment>
    <comment ref="F15" authorId="1" shapeId="0" xr:uid="{B0BCC6B7-A27C-45D6-A17C-23CEBAB5A4D7}">
      <text>
        <r>
          <rPr>
            <sz val="10"/>
            <color indexed="81"/>
            <rFont val="Tahoma"/>
            <family val="2"/>
          </rPr>
          <t>Lönemånader max. 12,5. Semesterlönekostnader kalkyleras automatiskt till tabell 7. T2 RESULTATBUDGET punkt 7. Personalkostnader.</t>
        </r>
      </text>
    </comment>
    <comment ref="C17" authorId="1" shapeId="0" xr:uid="{E22BD626-64C6-43EF-90A8-22EE06F0FA4E}">
      <text>
        <r>
          <rPr>
            <sz val="10"/>
            <color indexed="81"/>
            <rFont val="Tahoma"/>
            <family val="2"/>
          </rPr>
          <t>Förändra texten om behövs.</t>
        </r>
      </text>
    </comment>
    <comment ref="D19" authorId="1" shapeId="0" xr:uid="{15083F40-4048-488C-8E0A-CA5907DE3DE2}">
      <text>
        <r>
          <rPr>
            <sz val="10"/>
            <color indexed="81"/>
            <rFont val="Tahoma"/>
            <family val="2"/>
          </rPr>
          <t>Arbetstimmar / månad
- 8 h arbetsdag= 172 h/månad
- 7,6 h arbetsdag = 162 h/månad</t>
        </r>
      </text>
    </comment>
    <comment ref="D21" authorId="1" shapeId="0" xr:uid="{8EE27800-E5F2-45B9-A1F1-A40C8B9EC2B0}">
      <text>
        <r>
          <rPr>
            <sz val="10"/>
            <color indexed="81"/>
            <rFont val="Tahoma"/>
            <family val="2"/>
          </rPr>
          <t>Lönemånader 12. Semesterlönekostnader kalkyleras automatiskt till tabell 7. T2 RESULTATBUDGET.</t>
        </r>
      </text>
    </comment>
    <comment ref="F21" authorId="1" shapeId="0" xr:uid="{F9247978-E16E-46D4-8D0D-E4B54E006A9E}">
      <text>
        <r>
          <rPr>
            <sz val="10"/>
            <color indexed="81"/>
            <rFont val="Tahoma"/>
            <family val="2"/>
          </rPr>
          <t>Lönemånader max. 12,5. Semesterlönekostnader kalkyleras automatiskt till tabell 7. T2 RESULTATBUDGET punkt 7. Personalkostnader.</t>
        </r>
      </text>
    </comment>
    <comment ref="M22" authorId="1" shapeId="0" xr:uid="{5216D118-4FF4-4A8A-9729-217536887D66}">
      <text>
        <r>
          <rPr>
            <sz val="10"/>
            <color indexed="81"/>
            <rFont val="Tahoma"/>
            <family val="2"/>
          </rPr>
          <t>Kostnaderna stiger årligen! Förändra siffran eller skriv direkt i cellen.</t>
        </r>
      </text>
    </comment>
    <comment ref="C24" authorId="1" shapeId="0" xr:uid="{FB253CB3-6344-4D6D-A9BA-4D7BF318FF5A}">
      <text>
        <r>
          <rPr>
            <sz val="10"/>
            <color indexed="81"/>
            <rFont val="Tahoma"/>
            <family val="2"/>
          </rPr>
          <t>Förändra texten om behövs.</t>
        </r>
      </text>
    </comment>
    <comment ref="M25" authorId="1" shapeId="0" xr:uid="{FE29EE0B-127E-492C-8383-B25C37ABDCBC}">
      <text>
        <r>
          <rPr>
            <sz val="10"/>
            <color indexed="81"/>
            <rFont val="Tahoma"/>
            <family val="2"/>
          </rPr>
          <t>Kostnaderna stiger årligen! Förändra siffran eller skriv direkt i cellen.</t>
        </r>
      </text>
    </comment>
    <comment ref="D27" authorId="1" shapeId="0" xr:uid="{149149E4-3274-4EFA-A749-CC2C231366FD}">
      <text>
        <r>
          <rPr>
            <sz val="10"/>
            <color indexed="81"/>
            <rFont val="Tahoma"/>
            <family val="2"/>
          </rPr>
          <t>Lönemånader 12. Semesterlönekostnader kalkyleras automatiskt till tabell 7. T2 RESULTATBUDGET.</t>
        </r>
      </text>
    </comment>
    <comment ref="F27" authorId="1" shapeId="0" xr:uid="{2DEC5090-9AE7-4EDB-B5FB-4BFC264A56FF}">
      <text>
        <r>
          <rPr>
            <sz val="10"/>
            <color indexed="81"/>
            <rFont val="Tahoma"/>
            <family val="2"/>
          </rPr>
          <t>Lönemånader max. 12,5. Semesterlönekostnader kalkyleras automatiskt till tabell 7. T2 RESULTATBUDGET punkt 7. Personalkostnader.</t>
        </r>
      </text>
    </comment>
    <comment ref="M28" authorId="1" shapeId="0" xr:uid="{74A99DE3-E201-470B-851C-A460B98CFF65}">
      <text>
        <r>
          <rPr>
            <sz val="10"/>
            <color indexed="81"/>
            <rFont val="Tahoma"/>
            <family val="2"/>
          </rPr>
          <t>Kostnaderna stiger årligen! Förändra siffran eller skriv direkt i cellen.</t>
        </r>
      </text>
    </comment>
    <comment ref="D33" authorId="1" shapeId="0" xr:uid="{8A11A07E-C024-4A8B-931E-B497D5A67944}">
      <text>
        <r>
          <rPr>
            <sz val="10"/>
            <color indexed="81"/>
            <rFont val="Tahoma"/>
            <family val="2"/>
          </rPr>
          <t>Företaget betalar ArPL-pensionsavgift 17,34 % av beskattningsbar inkomst.</t>
        </r>
      </text>
    </comment>
    <comment ref="D35" authorId="1" shapeId="0" xr:uid="{81D60205-2E5C-42ED-B78C-DB6E388B2940}">
      <text>
        <r>
          <rPr>
            <sz val="10"/>
            <color indexed="81"/>
            <rFont val="Tahoma"/>
            <family val="2"/>
          </rPr>
          <t>Arbetsinkomst av alla FöPL-företagare sammanlagt enligt lönen i punkt 1. FöPL-arbetsinkomsten borde motsvara lön av samma arbete. Siffran kan förändras.
Arbetsinkomsten kan vara noll endast, om FöPL betalas av ett annat företag.</t>
        </r>
      </text>
    </comment>
    <comment ref="M35" authorId="1" shapeId="0" xr:uid="{046AA91B-4C72-4593-BF64-5D3AFAB9FDE6}">
      <text>
        <r>
          <rPr>
            <sz val="10"/>
            <color indexed="81"/>
            <rFont val="Tahoma"/>
            <family val="2"/>
          </rPr>
          <t>Kostnaderna stiger årligen! Förändra siffran eller skriv direkt i cellen.</t>
        </r>
      </text>
    </comment>
    <comment ref="D36" authorId="2" shapeId="0" xr:uid="{10C79F7C-342B-4FC5-8995-407878087389}">
      <text>
        <r>
          <rPr>
            <sz val="10"/>
            <color indexed="81"/>
            <rFont val="Tahoma"/>
            <family val="2"/>
          </rPr>
          <t>FöPL-betalningarna i år 
 - under 53-årig och över 62-årig 24,1 % (nybörjande 
   företagare första 4 år 18,8 %) 
 - över 53 årig 25,6 % (nybörjande företagare första
   4 år 20 %)</t>
        </r>
      </text>
    </comment>
    <comment ref="D40" authorId="2" shapeId="0" xr:uid="{B6951861-E275-4704-B340-C26BD8B53F09}">
      <text>
        <r>
          <rPr>
            <sz val="10"/>
            <color indexed="81"/>
            <rFont val="Tahoma"/>
            <family val="2"/>
          </rPr>
          <t>Företaget betalar av lönen
- olycks- och yrkessjukdomsförsäkring 0,57 %
  (för olycksbenägen bransch större, uppgår till 7 %)
- Arbetslöshetsförsäkring 0,27 %
- Sjukförsäkringsavgift 1,16 %
Sammanlagt 2,06 % (förändra om behövs)</t>
        </r>
      </text>
    </comment>
    <comment ref="D41" authorId="0" shapeId="0" xr:uid="{A2045C22-5EEF-4E70-9393-158AF403D43D}">
      <text>
        <r>
          <rPr>
            <sz val="10"/>
            <color indexed="81"/>
            <rFont val="Tahoma"/>
            <family val="2"/>
          </rPr>
          <t>- den frivilliga olycksfallsförsäkringen 1,7 % av 
  FöPL-arbetsinkomst
- sjukförsäkringsavgift 1,53  % av löner</t>
        </r>
      </text>
    </comment>
    <comment ref="D42" authorId="0" shapeId="0" xr:uid="{BFE95D0D-7577-4F95-BE27-44AF5D2F4564}">
      <text>
        <r>
          <rPr>
            <b/>
            <sz val="10"/>
            <color indexed="81"/>
            <rFont val="Tahoma"/>
            <family val="2"/>
          </rPr>
          <t>Livförsäkringsavgiften räknas färdigt</t>
        </r>
        <r>
          <rPr>
            <sz val="10"/>
            <color indexed="81"/>
            <rFont val="Tahoma"/>
            <family val="2"/>
          </rPr>
          <t xml:space="preserve"> (= 0,008 * företagets lånar i början). Siffran kan förändras.</t>
        </r>
      </text>
    </comment>
    <comment ref="M42" authorId="1" shapeId="0" xr:uid="{45AD3C13-2BF3-4B97-8A95-0BC1FF034786}">
      <text>
        <r>
          <rPr>
            <sz val="10"/>
            <color indexed="81"/>
            <rFont val="Tahoma"/>
            <family val="2"/>
          </rPr>
          <t>Kostnaderna stiger årligen! Förändra siffran eller skriv direkt i cellen.</t>
        </r>
      </text>
    </comment>
    <comment ref="D43" authorId="1" shapeId="0" xr:uid="{06845731-5E78-49E1-A216-5C1273DD12E2}">
      <text>
        <r>
          <rPr>
            <sz val="10"/>
            <color indexed="81"/>
            <rFont val="Tahoma"/>
            <family val="2"/>
          </rPr>
          <t>T. ex. Företaget kan ta för arbetstagaren livförsäkring, reseförsäkring etc.</t>
        </r>
      </text>
    </comment>
    <comment ref="M47" authorId="1" shapeId="0" xr:uid="{66C66176-549C-4348-BD3E-9F5B7086B3DD}">
      <text>
        <r>
          <rPr>
            <sz val="10"/>
            <color indexed="81"/>
            <rFont val="Tahoma"/>
            <family val="2"/>
          </rPr>
          <t>Kostnaderna stiger årligen! Förändra siffran eller skriv direkt i cellen.</t>
        </r>
      </text>
    </comment>
    <comment ref="D49" authorId="1" shapeId="0" xr:uid="{84A11C31-BC85-4B36-A518-F2E1950E158B}">
      <text>
        <r>
          <rPr>
            <sz val="10"/>
            <color indexed="81"/>
            <rFont val="Tahoma"/>
            <family val="2"/>
          </rPr>
          <t>Årskostnad ca.250 euro/person.</t>
        </r>
      </text>
    </comment>
    <comment ref="D51" authorId="1" shapeId="0" xr:uid="{07518C10-2AE5-41A2-BFBE-D68EBD332175}">
      <text>
        <r>
          <rPr>
            <sz val="10"/>
            <color indexed="81"/>
            <rFont val="Tahoma"/>
            <family val="2"/>
          </rPr>
          <t>Måltider, rekrytering, gåvor t.ex.</t>
        </r>
      </text>
    </comment>
    <comment ref="D53" authorId="1" shapeId="0" xr:uid="{C1F9B920-89DB-4B1A-8B14-D88FE76390CE}">
      <text>
        <r>
          <rPr>
            <sz val="10"/>
            <color indexed="81"/>
            <rFont val="Tahoma"/>
            <family val="2"/>
          </rPr>
          <t>Skriv siffran utan Moms, om Moms kan minskas. Om Moms kan inte minskas, skriv siffran inkl. Moms. Hyrning av bostäder är alltid Momsfri och skrivs i punkt 3.23 Hyror, vederlag, övr. kostnader Moms 0 %</t>
        </r>
      </text>
    </comment>
    <comment ref="M53" authorId="1" shapeId="0" xr:uid="{63120D7B-4B3B-483B-ACD8-EB3B9476B4EF}">
      <text>
        <r>
          <rPr>
            <sz val="10"/>
            <color indexed="81"/>
            <rFont val="Tahoma"/>
            <family val="2"/>
          </rPr>
          <t>Kostnaderna stiger årligen! Förändra siffran eller skriv direkt i cellen.</t>
        </r>
      </text>
    </comment>
    <comment ref="C65" authorId="1" shapeId="0" xr:uid="{00000000-0006-0000-0800-00002E000000}">
      <text>
        <r>
          <rPr>
            <sz val="10"/>
            <color indexed="81"/>
            <rFont val="Tahoma"/>
            <family val="2"/>
          </rPr>
          <t>Moms-avdragbara, i affärsbruk. Ej-avdragbara kostnader, använd rad 127.</t>
        </r>
      </text>
    </comment>
    <comment ref="D66" authorId="1" shapeId="0" xr:uid="{00000000-0006-0000-0800-00002F000000}">
      <text>
        <r>
          <rPr>
            <sz val="10"/>
            <color indexed="81"/>
            <rFont val="Tahoma"/>
            <family val="2"/>
          </rPr>
          <t>Skriv antalet av betalningsmånader för varje planeringsår.</t>
        </r>
      </text>
    </comment>
    <comment ref="F66" authorId="1" shapeId="0" xr:uid="{9D91C0D2-D1EE-4D7B-8614-1DEBA28B675B}">
      <text>
        <r>
          <rPr>
            <sz val="10"/>
            <color indexed="81"/>
            <rFont val="Tahoma"/>
            <family val="2"/>
          </rPr>
          <t>Skriv antalet av betalningsmånader för varje planeringsår.</t>
        </r>
      </text>
    </comment>
    <comment ref="H66" authorId="1" shapeId="0" xr:uid="{439BDAC0-9871-438D-ABBA-26EF41072281}">
      <text>
        <r>
          <rPr>
            <sz val="10"/>
            <color indexed="81"/>
            <rFont val="Tahoma"/>
            <family val="2"/>
          </rPr>
          <t>Skriv antalet av betalningsmånader för varje planeringsår.</t>
        </r>
      </text>
    </comment>
    <comment ref="J66" authorId="1" shapeId="0" xr:uid="{CB6D13A6-6BAF-4FA6-9E93-2229986F1421}">
      <text>
        <r>
          <rPr>
            <sz val="10"/>
            <color indexed="81"/>
            <rFont val="Tahoma"/>
            <family val="2"/>
          </rPr>
          <t>Skriv antalet av betalningsmånader för varje planeringsår.</t>
        </r>
      </text>
    </comment>
    <comment ref="D69" authorId="1" shapeId="0" xr:uid="{00000000-0006-0000-0800-000033000000}">
      <text>
        <r>
          <rPr>
            <sz val="10"/>
            <color indexed="81"/>
            <rFont val="Tahoma"/>
            <family val="2"/>
          </rPr>
          <t xml:space="preserve">Leasingfinansieringens ränta är 3 - 5 %-enheter högre än banklånets ränta. </t>
        </r>
      </text>
    </comment>
    <comment ref="D70" authorId="1" shapeId="0" xr:uid="{00000000-0006-0000-0800-000034000000}">
      <text>
        <r>
          <rPr>
            <sz val="10"/>
            <color indexed="81"/>
            <rFont val="Tahoma"/>
            <family val="2"/>
          </rPr>
          <t xml:space="preserve">Vanligen restvärde-% är 30 % av anskaffningspriset. Efter leasingperioden inventariet förs tillbaka till försäljaren. </t>
        </r>
      </text>
    </comment>
    <comment ref="M73" authorId="1" shapeId="0" xr:uid="{14AA37B7-3F30-4A03-8B76-119E5BD5FCB0}">
      <text>
        <r>
          <rPr>
            <sz val="10"/>
            <color indexed="81"/>
            <rFont val="Tahoma"/>
            <family val="2"/>
          </rPr>
          <t>Kostnaderna stiger årligen! Förändra siffran eller skriv direkt i cellen.</t>
        </r>
      </text>
    </comment>
    <comment ref="D75" authorId="2" shapeId="0" xr:uid="{1239D4A3-485D-4A90-B6A6-CD2F09603EFF}">
      <text>
        <r>
          <rPr>
            <sz val="10"/>
            <color indexed="81"/>
            <rFont val="Tahoma"/>
            <family val="2"/>
          </rPr>
          <t>Alla vanliga ADB-apparater ingår i denna grupp.</t>
        </r>
      </text>
    </comment>
    <comment ref="C77" authorId="1" shapeId="0" xr:uid="{B72903FC-D4FB-497C-BBAD-C2B5799E9616}">
      <text>
        <r>
          <rPr>
            <sz val="10"/>
            <color indexed="81"/>
            <rFont val="Tahoma"/>
            <family val="2"/>
          </rPr>
          <t>Moms-avdragbara, i affärsbruk. Ej-avdragbara kostnader, använd rad 127.</t>
        </r>
      </text>
    </comment>
    <comment ref="C83" authorId="1" shapeId="0" xr:uid="{E33C20E7-4FE9-47FD-A03F-22ABFD1789BE}">
      <text>
        <r>
          <rPr>
            <sz val="10"/>
            <color indexed="81"/>
            <rFont val="Tahoma"/>
            <family val="2"/>
          </rPr>
          <t>Moms-avdragbara, i affärsbruk. Ej-avdragbara kostnader, använd rad 127.</t>
        </r>
      </text>
    </comment>
    <comment ref="D85" authorId="2" shapeId="0" xr:uid="{4E2789AB-28A9-45CB-885A-50AB9FEF7763}">
      <text>
        <r>
          <rPr>
            <sz val="10"/>
            <color indexed="81"/>
            <rFont val="Tahoma"/>
            <family val="2"/>
          </rPr>
          <t xml:space="preserve">Små anskaffningar och anskaffningar vars livslängd är mindre än 3 år. Dessa kan dras av i beskattningen som en kostnad på en gång:
- Små anskaffningar, t.ex. handverktyg, små apparater, telefoner, anskaffningspris 
  under 1200 € moms 0% 
- Små anskaffningar, det totala inköpsvärdet 3600 € / år moms 0%.
- Alla maskiner och utrustning (kortfristiga anläggningstillgångar) oberoende av 
  pris, om deras sannolik ekonomisk livslängd är mindre än 3 år. </t>
        </r>
      </text>
    </comment>
    <comment ref="D89" authorId="1" shapeId="0" xr:uid="{74C09E8B-8091-4878-89F0-13EC461BCF50}">
      <text>
        <r>
          <rPr>
            <sz val="10"/>
            <color indexed="81"/>
            <rFont val="Tahoma"/>
            <family val="2"/>
          </rPr>
          <t>Företaget kan betala åt arbetstagaren en måltid per dagtraktamente .</t>
        </r>
      </text>
    </comment>
    <comment ref="D94" authorId="1" shapeId="0" xr:uid="{AD63E5FD-7E30-4249-9908-13D3074E3A97}">
      <text>
        <r>
          <rPr>
            <sz val="10"/>
            <color indexed="81"/>
            <rFont val="Tahoma"/>
            <family val="2"/>
          </rPr>
          <t>Avdragbar andel av representationskostnader är 50 %, dock inte i Moms-beskattning.</t>
        </r>
      </text>
    </comment>
    <comment ref="D108" authorId="1" shapeId="0" xr:uid="{9B1E315E-0C82-4DC7-BED8-CF7E60FB42CC}">
      <text>
        <r>
          <rPr>
            <sz val="10"/>
            <color indexed="81"/>
            <rFont val="Tahoma"/>
            <family val="2"/>
          </rPr>
          <t>Hyror av arbetskraft för produktion skrivas i tabell 
7. T2 RESULTATSBUDGET, punkt 6. Köpta tjänster</t>
        </r>
      </text>
    </comment>
    <comment ref="D119" authorId="1" shapeId="0" xr:uid="{5D1BAFBF-1F4F-4197-838B-01B03627EF52}">
      <text>
        <r>
          <rPr>
            <sz val="10"/>
            <color indexed="81"/>
            <rFont val="Tahoma"/>
            <family val="2"/>
          </rPr>
          <t>Företagets bankkonto, årskostnad från 300 €/år.</t>
        </r>
      </text>
    </comment>
    <comment ref="D125" authorId="1" shapeId="0" xr:uid="{347925EB-B18F-461F-A716-CDA4D59AA51F}">
      <text>
        <r>
          <rPr>
            <sz val="10"/>
            <color indexed="81"/>
            <rFont val="Tahoma"/>
            <family val="2"/>
          </rPr>
          <t>Är inte representationskostnader. Avdragbara i beskattning.</t>
        </r>
      </text>
    </comment>
    <comment ref="D127" authorId="1" shapeId="0" xr:uid="{0C7D1E11-59F3-470A-9EDB-930A3BB06ED7}">
      <text>
        <r>
          <rPr>
            <sz val="10"/>
            <color indexed="81"/>
            <rFont val="Tahoma"/>
            <family val="2"/>
          </rPr>
          <t xml:space="preserve">Betyder kostnader av tjänstebilar o.d. fordon, vilka inte är i affärsbruk. T.ex. naturaförmånsbil.  Sådana kostnader är inte avdragbara i Moms-beskattning. </t>
        </r>
      </text>
    </comment>
    <comment ref="D128" authorId="1" shapeId="0" xr:uid="{DF41E45C-3518-4EA1-890B-C58A630C4E1C}">
      <text>
        <r>
          <rPr>
            <sz val="10"/>
            <color indexed="81"/>
            <rFont val="Tahoma"/>
            <family val="2"/>
          </rPr>
          <t>Betyder leasingfinansieringens årskostnader av investeringar för privatbruk. Kostnaderna innehåller inte avdragbar Moms.</t>
        </r>
      </text>
    </comment>
    <comment ref="F128" authorId="1" shapeId="0" xr:uid="{BAF8F472-7D21-4D6F-ACAE-4BA0C7319B9A}">
      <text>
        <r>
          <rPr>
            <sz val="10"/>
            <color indexed="81"/>
            <rFont val="Tahoma"/>
            <family val="2"/>
          </rPr>
          <t>Skriv leasingfinansiering årskostnad för varje för varje planeringsår.</t>
        </r>
      </text>
    </comment>
    <comment ref="H128" authorId="1" shapeId="0" xr:uid="{26A297BE-BBB8-42E3-A34A-4D3AF8ED644F}">
      <text>
        <r>
          <rPr>
            <sz val="10"/>
            <color indexed="81"/>
            <rFont val="Tahoma"/>
            <family val="2"/>
          </rPr>
          <t>Skriv leasingfinansiering årskostnad för varje för varje planeringsår.</t>
        </r>
      </text>
    </comment>
    <comment ref="J128" authorId="1" shapeId="0" xr:uid="{5A842B81-AC54-4111-9913-0CA0AF06259B}">
      <text>
        <r>
          <rPr>
            <sz val="10"/>
            <color indexed="81"/>
            <rFont val="Tahoma"/>
            <family val="2"/>
          </rPr>
          <t>Skriv leasingfinansiering årskostnad för varje för varje planeringsår.</t>
        </r>
      </text>
    </comment>
    <comment ref="D129" authorId="1" shapeId="0" xr:uid="{923F38D1-F5A2-4D9C-8E5C-D37754E22BA5}">
      <text>
        <r>
          <rPr>
            <sz val="10"/>
            <color indexed="81"/>
            <rFont val="Tahoma"/>
            <family val="2"/>
          </rPr>
          <t>Tjänster utan förbindelse till omsättning</t>
        </r>
        <r>
          <rPr>
            <sz val="9"/>
            <color indexed="81"/>
            <rFont val="Tahoma"/>
            <family val="2"/>
          </rPr>
          <t xml:space="preserve">. </t>
        </r>
      </text>
    </comment>
    <comment ref="D130" authorId="1" shapeId="0" xr:uid="{117A0191-A076-4845-9437-5B4644A06915}">
      <text>
        <r>
          <rPr>
            <b/>
            <sz val="10"/>
            <color indexed="81"/>
            <rFont val="Tahoma"/>
            <family val="2"/>
          </rPr>
          <t>Hyrning av bostäder är alltid Momsfri.</t>
        </r>
        <r>
          <rPr>
            <sz val="10"/>
            <color indexed="81"/>
            <rFont val="Tahoma"/>
            <family val="2"/>
          </rPr>
          <t xml:space="preserve">
- Alla kostnaderna (t.ex. El, reparation) angående hyrning av bostäder 
  är Momsfria och skrivs inkl. Moms.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Ari Järvinen</author>
    <author>Företagstolken</author>
  </authors>
  <commentList>
    <comment ref="E9" authorId="0" shapeId="0" xr:uid="{EA6DEB45-D55C-48BF-BDC0-47A4CBEDD52D}">
      <text>
        <r>
          <rPr>
            <sz val="10"/>
            <color indexed="81"/>
            <rFont val="Tahoma"/>
            <family val="2"/>
          </rPr>
          <t>Förflyttas från tabell 3. E1 KOSTNADER. Om räkenskaps-perioden är annan än 12 månader ( 6 - 18 månader), förändra omsättning motsvarande. Observera följande perioden.</t>
        </r>
      </text>
    </comment>
    <comment ref="E15" authorId="1" shapeId="0" xr:uid="{46D0343F-BD05-4B29-AF1D-FC85BA6E50A6}">
      <text>
        <r>
          <rPr>
            <sz val="10"/>
            <color indexed="81"/>
            <rFont val="Tahoma"/>
            <family val="2"/>
          </rPr>
          <t>Mervärdesskattesats 
- 24 % Allmän 
- 0 %, om företagets bransch är hälso- och socialvård eller 
  finansierings- och försäkringstjänster.
- 0 %, om företagets årsomsättning är under 15 000 euro.
- 0 % vid förvärv av företagsverksamheten</t>
        </r>
      </text>
    </comment>
    <comment ref="E17" authorId="1" shapeId="0" xr:uid="{D40F77A0-1907-45C7-AB0B-E75C9A986A2E}">
      <text>
        <r>
          <rPr>
            <sz val="10"/>
            <color indexed="81"/>
            <rFont val="Tahoma"/>
            <family val="2"/>
          </rPr>
          <t xml:space="preserve">Siffran kan skrivas direkt i cellen eller använda %-ökning på höger. </t>
        </r>
      </text>
    </comment>
    <comment ref="E18" authorId="1" shapeId="0" xr:uid="{C4BFD0C8-9186-4558-94E9-4C0E79486928}">
      <text>
        <r>
          <rPr>
            <sz val="10"/>
            <color indexed="81"/>
            <rFont val="Tahoma"/>
            <family val="2"/>
          </rPr>
          <t xml:space="preserve">Siffran kan skrivas direkt i cellen eller använda %-ökning på höger. </t>
        </r>
      </text>
    </comment>
    <comment ref="L18" authorId="0" shapeId="0" xr:uid="{1B4F7C28-CC36-4F50-8DAC-CD0CDEBE441D}">
      <text>
        <r>
          <rPr>
            <sz val="10"/>
            <color indexed="81"/>
            <rFont val="Tahoma"/>
            <family val="2"/>
          </rPr>
          <t>Kostnaderna stiger årligen! Förändra siffran eller skriv direkt i cellen.</t>
        </r>
      </text>
    </comment>
    <comment ref="E19" authorId="0" shapeId="0" xr:uid="{EE619C75-76B9-45F0-8A63-2EE787E2EA00}">
      <text>
        <r>
          <rPr>
            <sz val="10"/>
            <color indexed="81"/>
            <rFont val="Tahoma"/>
            <family val="2"/>
          </rPr>
          <t xml:space="preserve">Materialbruks-% betyder andel av anskaffade materialen och tjänster i förhållande till försäljningspriset. 
T.ex. försäljningspriset är 100 € och anskaffningarnas värde 30 €. Materialbruks-% är 100 * 30 €/100 € = 30 %.
Vid företagsförvärv observera varulagret anskaffat vid företagsförvärv. 
Kom ihåg att svinn ökar materialanvändning.
</t>
        </r>
        <r>
          <rPr>
            <b/>
            <sz val="10"/>
            <color indexed="81"/>
            <rFont val="Tahoma"/>
            <family val="2"/>
          </rPr>
          <t>Vid företagsförvärv anskaffning av varulagret minskar materialanvändning</t>
        </r>
        <r>
          <rPr>
            <sz val="10"/>
            <color indexed="81"/>
            <rFont val="Tahoma"/>
            <family val="2"/>
          </rPr>
          <t>.</t>
        </r>
      </text>
    </comment>
    <comment ref="E21" authorId="1" shapeId="0" xr:uid="{0BBE77F0-2300-466E-A51B-14D121961047}">
      <text>
        <r>
          <rPr>
            <sz val="10"/>
            <color indexed="81"/>
            <rFont val="Tahoma"/>
            <family val="2"/>
          </rPr>
          <t>Mervärdesskattesats 
- 24 % Allmän 
- 0 %, om företagets bransch är hälso- och socialvård eller 
  finansierings- och försäkringstjänster.
- 0 %, om företagets årsomsättning är under 15 000 euro.
- 0 % vid förvärv av företagsverksamheten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Ari Järvinen</author>
    <author>Yritystulkki</author>
  </authors>
  <commentList>
    <comment ref="G15" authorId="0" shapeId="0" xr:uid="{00000000-0006-0000-0400-000001000000}">
      <text>
        <r>
          <rPr>
            <sz val="10"/>
            <color indexed="81"/>
            <rFont val="Tahoma"/>
            <family val="2"/>
          </rPr>
          <t>Från 1. T1 INVESTERINGSPLAN punkt 11.</t>
        </r>
      </text>
    </comment>
    <comment ref="L16" authorId="1" shapeId="0" xr:uid="{2FD701B1-2010-42DF-907F-EE96F7FD9AB9}">
      <text>
        <r>
          <rPr>
            <b/>
            <sz val="10"/>
            <color indexed="81"/>
            <rFont val="Tahoma"/>
            <family val="2"/>
          </rPr>
          <t xml:space="preserve">Investerad kapital =
</t>
        </r>
        <r>
          <rPr>
            <sz val="10"/>
            <color indexed="81"/>
            <rFont val="Tahoma"/>
            <family val="2"/>
          </rPr>
          <t>Justerad eget kapital + investerad räntebärande främmande kapital 
Investerad kapital är genomsnittsvärdet av investerad kapital i början och i slutet av räkenskapsperioden. Om räkenskapsperiodens justerad kapital är negativt, är investerad kapital lika med investerad främmande kapital.</t>
        </r>
        <r>
          <rPr>
            <b/>
            <sz val="10"/>
            <color indexed="81"/>
            <rFont val="Tahoma"/>
            <family val="2"/>
          </rPr>
          <t xml:space="preserve"> </t>
        </r>
      </text>
    </comment>
    <comment ref="L19" authorId="1" shapeId="0" xr:uid="{3A011D65-32FD-405A-812D-610E64462836}">
      <text>
        <r>
          <rPr>
            <b/>
            <sz val="10"/>
            <color indexed="81"/>
            <rFont val="Tahoma"/>
            <family val="2"/>
          </rPr>
          <t xml:space="preserve">Driftsbidrags-% =
</t>
        </r>
        <r>
          <rPr>
            <sz val="10"/>
            <color indexed="81"/>
            <rFont val="Tahoma"/>
            <family val="2"/>
          </rPr>
          <t>100 x Driftsbidrag / Affärsverksamhetens intäkter sammanlagt</t>
        </r>
      </text>
    </comment>
    <comment ref="L21" authorId="1" shapeId="0" xr:uid="{1EE08D84-6546-4F35-9846-568FF687328D}">
      <text>
        <r>
          <rPr>
            <b/>
            <sz val="10"/>
            <color indexed="81"/>
            <rFont val="Tahoma"/>
            <family val="2"/>
          </rPr>
          <t xml:space="preserve">Rörelseresultats (EBIT)-% = 
</t>
        </r>
        <r>
          <rPr>
            <sz val="10"/>
            <color indexed="81"/>
            <rFont val="Tahoma"/>
            <family val="2"/>
          </rPr>
          <t>100 x Rörelseresultat / Rörelseintäkter sammanlagt.
Riktvärde: över 10 % bra", 5 - 10 % tillfredställande och under 5 % svag.</t>
        </r>
        <r>
          <rPr>
            <b/>
            <sz val="10"/>
            <color indexed="81"/>
            <rFont val="Tahoma"/>
            <family val="2"/>
          </rPr>
          <t xml:space="preserve">
</t>
        </r>
        <r>
          <rPr>
            <sz val="10"/>
            <color indexed="81"/>
            <rFont val="Tahoma"/>
            <family val="2"/>
          </rPr>
          <t xml:space="preserve">
Rörelseresultatet visar hur mycket av det faktiska rörelseintäkter återstår före finansiella poster och skatter. Rörelseresultatsprocent kan jämföras med andra företag i samma bransch.</t>
        </r>
      </text>
    </comment>
    <comment ref="L25" authorId="1" shapeId="0" xr:uid="{CDBA7835-D428-47B6-AEFC-76EAE755AB95}">
      <text>
        <r>
          <rPr>
            <b/>
            <sz val="10"/>
            <color indexed="81"/>
            <rFont val="Tahoma"/>
            <family val="2"/>
          </rPr>
          <t>Avkastning på investerat kapital =</t>
        </r>
        <r>
          <rPr>
            <sz val="10"/>
            <color indexed="81"/>
            <rFont val="Tahoma"/>
            <family val="2"/>
          </rPr>
          <t xml:space="preserve">
100 x (Nettoresultat + finansieringskostnader + skatter) / Genomsnittlig investerad kapital.</t>
        </r>
      </text>
    </comment>
    <comment ref="L27" authorId="1" shapeId="0" xr:uid="{2D47F089-DD28-435B-8E88-17C8820CF90A}">
      <text>
        <r>
          <rPr>
            <b/>
            <sz val="10"/>
            <color indexed="81"/>
            <rFont val="Tahoma"/>
            <family val="2"/>
          </rPr>
          <t xml:space="preserve">Kortfristig likviditet =
</t>
        </r>
        <r>
          <rPr>
            <sz val="10"/>
            <color indexed="81"/>
            <rFont val="Tahoma"/>
            <family val="2"/>
          </rPr>
          <t xml:space="preserve">Finansieringstillgångar/Kortfristigt främmande kapital </t>
        </r>
        <r>
          <rPr>
            <b/>
            <sz val="10"/>
            <color indexed="81"/>
            <rFont val="Tahoma"/>
            <family val="2"/>
          </rPr>
          <t xml:space="preserve">
</t>
        </r>
        <r>
          <rPr>
            <sz val="10"/>
            <color indexed="81"/>
            <rFont val="Tahoma"/>
            <family val="2"/>
          </rPr>
          <t>Riktvärde: över 1 bra, 0,5 - 1 tillfredställande och under 0,5 svag</t>
        </r>
      </text>
    </comment>
    <comment ref="G28" authorId="0" shapeId="0" xr:uid="{6BD6F960-8E1E-48A2-AD52-0FF35F43EE3F}">
      <text>
        <r>
          <rPr>
            <sz val="10"/>
            <color indexed="81"/>
            <rFont val="Tahoma"/>
            <family val="2"/>
          </rPr>
          <t xml:space="preserve">Förflyttad från 6. T3 BALANS
- tillägg av Finansieringsvärdepapper </t>
        </r>
      </text>
    </comment>
    <comment ref="L29" authorId="1" shapeId="0" xr:uid="{2FE2548E-B79D-47EA-9306-1766E82527AB}">
      <text>
        <r>
          <rPr>
            <b/>
            <sz val="10"/>
            <color indexed="81"/>
            <rFont val="Tahoma"/>
            <family val="2"/>
          </rPr>
          <t>Långfristig likviditet =</t>
        </r>
        <r>
          <rPr>
            <sz val="10"/>
            <color indexed="81"/>
            <rFont val="Tahoma"/>
            <family val="2"/>
          </rPr>
          <t xml:space="preserve">
Omsättningstillgångar + Finansieringstillgångar / Kortfristigt främmande kapital
Riktvärde: över 2 bra, 1 - 2 tillfredställande och under 1 svag.</t>
        </r>
      </text>
    </comment>
    <comment ref="L31" authorId="1" shapeId="0" xr:uid="{F0A37BEF-BE51-4BC8-99E7-8F6C42738FBF}">
      <text>
        <r>
          <rPr>
            <b/>
            <sz val="10"/>
            <color indexed="81"/>
            <rFont val="Tahoma"/>
            <family val="2"/>
          </rPr>
          <t xml:space="preserve">Återbetalningstid för främmande kapital = </t>
        </r>
        <r>
          <rPr>
            <sz val="10"/>
            <color indexed="81"/>
            <rFont val="Tahoma"/>
            <family val="2"/>
          </rPr>
          <t xml:space="preserve">
Investerad främmande kapital då perioden slutas / finansieringsresultat
Riktvärde: Siffran mindre än genomsnittlig återbetalningstid för långfristiga lån.</t>
        </r>
      </text>
    </comment>
    <comment ref="L32" authorId="1" shapeId="0" xr:uid="{4ABF116D-C76E-4634-8F71-B6F5B29A6BC5}">
      <text>
        <r>
          <rPr>
            <b/>
            <sz val="10"/>
            <color indexed="81"/>
            <rFont val="Tahoma"/>
            <family val="2"/>
          </rPr>
          <t xml:space="preserve">Lånetäckningsgrad = 
</t>
        </r>
        <r>
          <rPr>
            <sz val="10"/>
            <color indexed="81"/>
            <rFont val="Tahoma"/>
            <family val="2"/>
          </rPr>
          <t xml:space="preserve">(Finansieringskostnader + finansieringsresultat) / (Finansieringskostnader + amorteringar av långfristiga lån) </t>
        </r>
        <r>
          <rPr>
            <b/>
            <sz val="10"/>
            <color indexed="81"/>
            <rFont val="Tahoma"/>
            <family val="2"/>
          </rPr>
          <t xml:space="preserve">
</t>
        </r>
        <r>
          <rPr>
            <sz val="10"/>
            <color indexed="81"/>
            <rFont val="Tahoma"/>
            <family val="2"/>
          </rPr>
          <t>Riktvärde: över 2 är bra, 1 - 2 tillfredställande och under 1 svag.</t>
        </r>
      </text>
    </comment>
    <comment ref="G34" authorId="0" shapeId="0" xr:uid="{DC837929-10BB-4506-8A0C-5FC480EA49EF}">
      <text>
        <r>
          <rPr>
            <sz val="10"/>
            <color indexed="81"/>
            <rFont val="Tahoma"/>
            <family val="2"/>
          </rPr>
          <t xml:space="preserve">Extra amortering med plustecken. Minskning av låneamortering med minustecken. </t>
        </r>
      </text>
    </comment>
    <comment ref="L35" authorId="1" shapeId="0" xr:uid="{7D6CA778-6781-434B-922D-0CE2B7412E6C}">
      <text>
        <r>
          <rPr>
            <b/>
            <sz val="10"/>
            <color indexed="81"/>
            <rFont val="Tahoma"/>
            <family val="2"/>
          </rPr>
          <t xml:space="preserve">Soliditet = 
</t>
        </r>
        <r>
          <rPr>
            <sz val="10"/>
            <color indexed="81"/>
            <rFont val="Tahoma"/>
            <family val="2"/>
          </rPr>
          <t>100 x justerad egen kapital / (Slutsumma av justerad balans - erhållna förskott)
Riktvärde: över 40 % är bra, 20 - 40 % tillfredställande och under 20 % svag.</t>
        </r>
      </text>
    </comment>
    <comment ref="H37" authorId="0" shapeId="0" xr:uid="{4466ADCF-3AE1-41A4-A451-C6D80384F7B4}">
      <text>
        <r>
          <rPr>
            <sz val="10"/>
            <color indexed="81"/>
            <rFont val="Tahoma"/>
            <family val="2"/>
          </rPr>
          <t>Förflyttad från 6. T3 BALANS
- minskning av kortfristiga lån av penningväsendet
- minskning av kortfristiga kapitallån</t>
        </r>
      </text>
    </comment>
    <comment ref="O37" authorId="1" shapeId="0" xr:uid="{56232B4E-00BC-4524-BE72-05F9C6A56880}">
      <text>
        <r>
          <rPr>
            <b/>
            <sz val="10"/>
            <color indexed="81"/>
            <rFont val="Tahoma"/>
            <family val="2"/>
          </rPr>
          <t>Net Gearing (nettoskuldsättningsgrad) =</t>
        </r>
        <r>
          <rPr>
            <sz val="10"/>
            <color indexed="81"/>
            <rFont val="Tahoma"/>
            <family val="2"/>
          </rPr>
          <t xml:space="preserve">
(Räntebärande främmande kapital - pengar och finansieringsvärdepapper) /Slutsumma av justerad balans
Räntebärande främmande kapital = Långfristig främmande kapital  - erhållna förskott + räntebärande kortfristiga skulder + övriga räntebärande interna skulder
Riktvärde: Under 1 är "Bra". Om värdet är noll (tom cell) eller negativt, år företaget "Nettoskuldfri". Om negativt värde beror på negativt eget kapital, är riktvärdet "Svag". 
Nyckeltalet visar hur väl eget kapital täcker mängden räntebärande skulder. </t>
        </r>
      </text>
    </comment>
    <comment ref="G38" authorId="0" shapeId="0" xr:uid="{00000000-0006-0000-0400-000014000000}">
      <text>
        <r>
          <rPr>
            <sz val="10"/>
            <color indexed="81"/>
            <rFont val="Tahoma"/>
            <family val="2"/>
          </rPr>
          <t xml:space="preserve">Vanligen under första året betalas inte dividend. </t>
        </r>
      </text>
    </comment>
    <comment ref="H38" authorId="0" shapeId="0" xr:uid="{4899F565-44EB-46BC-9AA4-29DB3FCBEA9E}">
      <text>
        <r>
          <rPr>
            <sz val="10"/>
            <color indexed="81"/>
            <rFont val="Tahoma"/>
            <family val="2"/>
          </rPr>
          <t>Dividendbetalning eller privatuttag, se på höger cellen (R-U)48! Kan förändras.</t>
        </r>
      </text>
    </comment>
    <comment ref="C39" authorId="0" shapeId="0" xr:uid="{BD5269BE-BC6B-4E2E-BAC4-96E9E8628770}">
      <text>
        <r>
          <rPr>
            <sz val="10"/>
            <color indexed="81"/>
            <rFont val="Tahoma"/>
            <family val="2"/>
          </rPr>
          <t xml:space="preserve">T.ex. Placeringar, depositioner mm. </t>
        </r>
      </text>
    </comment>
    <comment ref="L40" authorId="0" shapeId="0" xr:uid="{15D746E3-6960-47BE-8E3C-3E014761FA1F}">
      <text>
        <r>
          <rPr>
            <sz val="10"/>
            <color indexed="81"/>
            <rFont val="Tahoma"/>
            <family val="2"/>
          </rPr>
          <t>Kostnader av arbetskraft angående arbetsförhållande och lönebetalning.</t>
        </r>
      </text>
    </comment>
    <comment ref="L41" authorId="0" shapeId="0" xr:uid="{9928A4C8-E51E-4DAC-BD6F-E74A2BB52B7D}">
      <text>
        <r>
          <rPr>
            <sz val="10"/>
            <color indexed="81"/>
            <rFont val="Tahoma"/>
            <family val="2"/>
          </rPr>
          <t>Alla personalkostnader, också frivilliga pensionskostnader.</t>
        </r>
      </text>
    </comment>
    <comment ref="G42" authorId="0" shapeId="0" xr:uid="{00000000-0006-0000-0400-00001A000000}">
      <text>
        <r>
          <rPr>
            <b/>
            <sz val="10"/>
            <color indexed="10"/>
            <rFont val="Tahoma"/>
            <family val="2"/>
          </rPr>
          <t>Slutligen kontrollera, att siffrorna på denna raden är lika stora än siffrorna i cellerna på punkt B.IV Pengar och banktillgodohavanden, tabell 6. T3 BALANS.</t>
        </r>
      </text>
    </comment>
    <comment ref="L45" authorId="0" shapeId="0" xr:uid="{DE747609-2E5F-4D66-A3D6-F3220C58B8C4}">
      <text>
        <r>
          <rPr>
            <b/>
            <sz val="10"/>
            <color indexed="81"/>
            <rFont val="Tahoma"/>
            <family val="2"/>
          </rPr>
          <t>Firma-företagsform</t>
        </r>
        <r>
          <rPr>
            <sz val="10"/>
            <color indexed="81"/>
            <rFont val="Tahoma"/>
            <family val="2"/>
          </rPr>
          <t xml:space="preserve">
Endast kontanta medel iakttagas vid nettoförmögenhetkalkylering.</t>
        </r>
      </text>
    </comment>
    <comment ref="L46" authorId="0" shapeId="0" xr:uid="{2F6AAC56-85BC-4EE6-8215-6D9D9C067692}">
      <text>
        <r>
          <rPr>
            <sz val="10"/>
            <color indexed="81"/>
            <rFont val="Tahoma"/>
            <family val="2"/>
          </rPr>
          <t>Om aktieägaren/bolagsmannen bor i företagets bostad, minskas bostadens värde av nettoförmögenhet.</t>
        </r>
      </text>
    </comment>
    <comment ref="C47" authorId="0" shapeId="0" xr:uid="{FC7F4BCA-2F20-437F-9DDE-B06EFEF5AD72}">
      <text>
        <r>
          <rPr>
            <sz val="10"/>
            <color indexed="81"/>
            <rFont val="Tahoma"/>
            <family val="2"/>
          </rPr>
          <t xml:space="preserve">Siffran berättar hur stor andel av omsättning är bunden i lagret. 
</t>
        </r>
        <r>
          <rPr>
            <b/>
            <sz val="10"/>
            <color indexed="81"/>
            <rFont val="Tahoma"/>
            <family val="2"/>
          </rPr>
          <t>Formel:</t>
        </r>
        <r>
          <rPr>
            <sz val="10"/>
            <color indexed="81"/>
            <rFont val="Tahoma"/>
            <family val="2"/>
          </rPr>
          <t xml:space="preserve">
100 *</t>
        </r>
        <r>
          <rPr>
            <b/>
            <sz val="10"/>
            <color indexed="81"/>
            <rFont val="Tahoma"/>
            <family val="2"/>
          </rPr>
          <t xml:space="preserve"> </t>
        </r>
        <r>
          <rPr>
            <sz val="10"/>
            <color indexed="81"/>
            <rFont val="Tahoma"/>
            <family val="2"/>
          </rPr>
          <t xml:space="preserve">(Omsättningstillgångar/Omsättning (12 månader) </t>
        </r>
      </text>
    </comment>
    <comment ref="G47" authorId="1" shapeId="0" xr:uid="{05184D92-8AD8-47F7-B69E-E1E36493D73E}">
      <text>
        <r>
          <rPr>
            <b/>
            <sz val="10"/>
            <color indexed="81"/>
            <rFont val="Tahoma"/>
            <family val="2"/>
          </rPr>
          <t>Kontrollera %-siffran</t>
        </r>
        <r>
          <rPr>
            <sz val="10"/>
            <color indexed="81"/>
            <rFont val="Tahoma"/>
            <family val="2"/>
          </rPr>
          <t xml:space="preserve"> i branschtabellen www.yritystulkki.fi/se/nyforetagare/finansiering/statistik/</t>
        </r>
        <r>
          <rPr>
            <b/>
            <sz val="10"/>
            <color indexed="81"/>
            <rFont val="Tahoma"/>
            <family val="2"/>
          </rPr>
          <t xml:space="preserve">
Viktig!
</t>
        </r>
        <r>
          <rPr>
            <sz val="10"/>
            <color indexed="81"/>
            <rFont val="Tahoma"/>
            <family val="2"/>
          </rPr>
          <t>Siffran definierar mängden av omsättiningstillgångar i lager. Antalet varierar beroende på bransch. Mycket relevant inom detalj- och partihandel och inom installationsbranschen. I en grossistbutik kan antalet vara upp till 100 %.</t>
        </r>
        <r>
          <rPr>
            <b/>
            <sz val="10"/>
            <color indexed="81"/>
            <rFont val="Tahoma"/>
            <family val="2"/>
          </rPr>
          <t xml:space="preserve">
Hänsyn till förvärvet och användningen av initiallager i %-siffran
</t>
        </r>
        <r>
          <rPr>
            <sz val="10"/>
            <color indexed="81"/>
            <rFont val="Tahoma"/>
            <family val="2"/>
          </rPr>
          <t>Räcker initiallagret/lagret vid företagsförvärv fortfarande för nästa räkenskapsperioden?</t>
        </r>
        <r>
          <rPr>
            <b/>
            <sz val="10"/>
            <color indexed="81"/>
            <rFont val="Tahoma"/>
            <family val="2"/>
          </rPr>
          <t xml:space="preserve"> Om det inte finns tillräckligt</t>
        </r>
        <r>
          <rPr>
            <sz val="10"/>
            <color indexed="81"/>
            <rFont val="Tahoma"/>
            <family val="2"/>
          </rPr>
          <t xml:space="preserve">, måste procentsiffran 
i cellen ökas för att matcha värdet på den återstående artikeln.
</t>
        </r>
        <r>
          <rPr>
            <b/>
            <sz val="10"/>
            <color indexed="81"/>
            <rFont val="Tahoma"/>
            <family val="2"/>
          </rPr>
          <t>Vad betyder siffran?</t>
        </r>
        <r>
          <rPr>
            <sz val="10"/>
            <color indexed="81"/>
            <rFont val="Tahoma"/>
            <family val="2"/>
          </rPr>
          <t xml:space="preserve">
9% = värdet av varulagret lika med den månatliga omsättningen
25% = lagervärdet lika med 3 månaders omsättning</t>
        </r>
      </text>
    </comment>
    <comment ref="Q48" authorId="0" shapeId="0" xr:uid="{735DF042-8268-4175-BC62-5A75B67AC2DC}">
      <text>
        <r>
          <rPr>
            <sz val="10"/>
            <color indexed="81"/>
            <rFont val="Tahoma"/>
            <family val="2"/>
          </rPr>
          <t xml:space="preserve">Vanligen under första året betalas inte dividend. </t>
        </r>
      </text>
    </comment>
    <comment ref="R48" authorId="0" shapeId="0" xr:uid="{44C4BADF-69A9-4049-8D0E-44A5CCECB376}">
      <text>
        <r>
          <rPr>
            <b/>
            <sz val="10"/>
            <color indexed="81"/>
            <rFont val="Tahoma"/>
            <family val="2"/>
          </rPr>
          <t>Aktiebolag:</t>
        </r>
        <r>
          <rPr>
            <sz val="10"/>
            <color indexed="81"/>
            <rFont val="Tahoma"/>
            <family val="2"/>
          </rPr>
          <t xml:space="preserve">
Kalkyleras färdigt enligt 8 %. Kan förändras. 
Från dividend av onoterad aktiebolag betalas 7,5 % skatt ändå till 8 % av nettoförmögenhet. Det är alltid förnuftigt att betala 8 % dividend. Beloppet kalkyleras av förra årets nettoförmögenhet.
</t>
        </r>
        <r>
          <rPr>
            <b/>
            <sz val="10"/>
            <color indexed="81"/>
            <rFont val="Tahoma"/>
            <family val="2"/>
          </rPr>
          <t xml:space="preserve">Firma, Kb och Öb </t>
        </r>
        <r>
          <rPr>
            <sz val="10"/>
            <color indexed="81"/>
            <rFont val="Tahoma"/>
            <family val="2"/>
          </rPr>
          <t>privata uttag.</t>
        </r>
      </text>
    </comment>
    <comment ref="C49" authorId="0" shapeId="0" xr:uid="{1C1E6953-48AE-4FE5-9144-0F26C6629994}">
      <text>
        <r>
          <rPr>
            <sz val="10"/>
            <color indexed="81"/>
            <rFont val="Tahoma"/>
            <family val="2"/>
          </rPr>
          <t xml:space="preserve">Siffran berättar, hur snabbt kunden betalar din faktura.
</t>
        </r>
        <r>
          <rPr>
            <b/>
            <sz val="10"/>
            <color indexed="81"/>
            <rFont val="Tahoma"/>
            <family val="2"/>
          </rPr>
          <t>Formel:</t>
        </r>
        <r>
          <rPr>
            <b/>
            <u/>
            <sz val="10"/>
            <color indexed="81"/>
            <rFont val="Tahoma"/>
            <family val="2"/>
          </rPr>
          <t xml:space="preserve">
</t>
        </r>
        <r>
          <rPr>
            <sz val="10"/>
            <color indexed="81"/>
            <rFont val="Tahoma"/>
            <family val="2"/>
          </rPr>
          <t>Kundfordringar /omsättning * 365</t>
        </r>
      </text>
    </comment>
    <comment ref="G49" authorId="0" shapeId="0" xr:uid="{9EAF344B-566E-4A76-9429-7E3AB08C1974}">
      <text>
        <r>
          <rPr>
            <sz val="10"/>
            <color indexed="81"/>
            <rFont val="Tahoma"/>
            <family val="2"/>
          </rPr>
          <t xml:space="preserve">Omloppstiden är noll dagar om man endast säljer kontant. </t>
        </r>
      </text>
    </comment>
    <comment ref="G50" authorId="0" shapeId="0" xr:uid="{654DA153-5131-4A7E-A88C-122731456E5B}">
      <text>
        <r>
          <rPr>
            <sz val="10"/>
            <color indexed="81"/>
            <rFont val="Tahoma"/>
            <family val="2"/>
          </rPr>
          <t>- skatteåterbäring
- Moms-fordringar från förra perioden
- säkerhetsdeposition
- hyresdeposition 
- NTM-centralens bidrag förflutits från förra perioden
  eller något annat bidrag än investeringsbidrag</t>
        </r>
      </text>
    </comment>
    <comment ref="G51" authorId="0" shapeId="0" xr:uid="{A20EF06F-E7A8-47CA-862C-73F8C768718E}">
      <text>
        <r>
          <rPr>
            <sz val="10"/>
            <color indexed="81"/>
            <rFont val="Tahoma"/>
            <family val="2"/>
          </rPr>
          <t xml:space="preserve">30 % av följande kostnader fördelas på nästa period
- försäkrings- och brukskostnader
- program, uppdateringar och underhåll
- böcker och tidskrifter, medlemsavgifter
Lägg till andra utgiftsförskott och hyresfordringar etc. </t>
        </r>
      </text>
    </comment>
    <comment ref="G52" authorId="0" shapeId="0" xr:uid="{CB8E4AA6-EEA3-438A-940C-CA0357326A9B}">
      <text>
        <r>
          <rPr>
            <sz val="10"/>
            <color indexed="81"/>
            <rFont val="Tahoma"/>
            <family val="2"/>
          </rPr>
          <t>Specialförvaring vid långvarig och stor investeringsprojekt. Betyder deldebitering i slutet av räkenskapsperioden enligt färdighetsgrad. Användningsmöjlighet förklaras av bokföraren och revisor.</t>
        </r>
        <r>
          <rPr>
            <sz val="9"/>
            <color indexed="81"/>
            <rFont val="Tahoma"/>
            <family val="2"/>
          </rPr>
          <t xml:space="preserve"> </t>
        </r>
      </text>
    </comment>
    <comment ref="C53" authorId="0" shapeId="0" xr:uid="{EA3FA12A-960E-4F3D-A028-9B3C4DAB4158}">
      <text>
        <r>
          <rPr>
            <sz val="10"/>
            <color indexed="81"/>
            <rFont val="Tahoma"/>
            <family val="2"/>
          </rPr>
          <t xml:space="preserve">Siffran berättar hur stort andel omsättning är debiterad enligt färdighetsgrad i slutet av räkenskapsperioden.
</t>
        </r>
        <r>
          <rPr>
            <b/>
            <u/>
            <sz val="10"/>
            <color indexed="81"/>
            <rFont val="Tahoma"/>
            <family val="2"/>
          </rPr>
          <t>Formel:</t>
        </r>
        <r>
          <rPr>
            <sz val="10"/>
            <color indexed="81"/>
            <rFont val="Tahoma"/>
            <family val="2"/>
          </rPr>
          <t xml:space="preserve">
deldebiteringar * 100 / omsättning</t>
        </r>
      </text>
    </comment>
    <comment ref="C55" authorId="0" shapeId="0" xr:uid="{D6F06B9D-5F92-4824-B975-13A57920A4D2}">
      <text>
        <r>
          <rPr>
            <sz val="10"/>
            <color indexed="81"/>
            <rFont val="Tahoma"/>
            <family val="2"/>
          </rPr>
          <t xml:space="preserve">Siffran berättar, hur snabbt ni betalar fakturan. 
</t>
        </r>
        <r>
          <rPr>
            <b/>
            <sz val="10"/>
            <color indexed="81"/>
            <rFont val="Tahoma"/>
            <family val="2"/>
          </rPr>
          <t>Formel:</t>
        </r>
        <r>
          <rPr>
            <sz val="10"/>
            <color indexed="81"/>
            <rFont val="Tahoma"/>
            <family val="2"/>
          </rPr>
          <t xml:space="preserve">
Inköpsskulder/inköpen slgt under perioden * 365</t>
        </r>
      </text>
    </comment>
    <comment ref="G55" authorId="0" shapeId="0" xr:uid="{57EA310C-1DF2-449D-94DC-4CD802A4DAFE}">
      <text>
        <r>
          <rPr>
            <sz val="10"/>
            <color indexed="81"/>
            <rFont val="Tahoma"/>
            <family val="2"/>
          </rPr>
          <t>Omloppstiden är noll dagar om du betalar vid köptillfället. Är omloppstiden för leverantörsskulder realistisk?</t>
        </r>
      </text>
    </comment>
    <comment ref="C57" authorId="0" shapeId="0" xr:uid="{3B2A676C-3EB4-4717-BB66-C71CAC5EBB6D}">
      <text>
        <r>
          <rPr>
            <sz val="10"/>
            <color indexed="81"/>
            <rFont val="Tahoma"/>
            <family val="2"/>
          </rPr>
          <t xml:space="preserve">Siffran berättar hur mycket kunden betalar förskott vid beställningen. 
T.ex. Byggnadsbransch, förskottsbetalning 10 % av beställningens värde. 
</t>
        </r>
        <r>
          <rPr>
            <b/>
            <u/>
            <sz val="10"/>
            <color indexed="81"/>
            <rFont val="Tahoma"/>
            <family val="2"/>
          </rPr>
          <t>Formel:</t>
        </r>
        <r>
          <rPr>
            <sz val="10"/>
            <color indexed="81"/>
            <rFont val="Tahoma"/>
            <family val="2"/>
          </rPr>
          <t xml:space="preserve">
Erhållna förskott * 100/omsättning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Ari Järvinen</author>
    <author>Yritystulkki</author>
  </authors>
  <commentList>
    <comment ref="G15" authorId="0" shapeId="0" xr:uid="{AAD5A488-E411-4B5F-8FC5-C16A36A2785B}">
      <text>
        <r>
          <rPr>
            <sz val="10"/>
            <color indexed="81"/>
            <rFont val="Tahoma"/>
            <family val="2"/>
          </rPr>
          <t>Från tabell 1. T1 INVESTERINGSPLAN utan bidrag.</t>
        </r>
      </text>
    </comment>
    <comment ref="L15" authorId="0" shapeId="0" xr:uid="{86E7ABC9-3541-4371-B5AE-35DD2B742D7B}">
      <text>
        <r>
          <rPr>
            <sz val="10"/>
            <color indexed="81"/>
            <rFont val="Tahoma"/>
            <family val="2"/>
          </rPr>
          <t>T.ex. Om investering kommer att införas i början av 3. månaden, finns det 10 bruksmånader.</t>
        </r>
      </text>
    </comment>
    <comment ref="H16" authorId="1" shapeId="0" xr:uid="{BC9B1580-7741-4823-9698-9854D734748F}">
      <text>
        <r>
          <rPr>
            <b/>
            <sz val="10"/>
            <color indexed="81"/>
            <rFont val="Tahoma"/>
            <family val="2"/>
          </rPr>
          <t xml:space="preserve">Försäljning av nyttigheter 
</t>
        </r>
        <r>
          <rPr>
            <sz val="10"/>
            <color indexed="81"/>
            <rFont val="Tahoma"/>
            <family val="2"/>
          </rPr>
          <t xml:space="preserve">Försäljningsbeloppet kommer att läggas till tabell 
T5 KASSABUDGET punkt 4. Ej mellangift i byteshandel! </t>
        </r>
      </text>
    </comment>
    <comment ref="E17" authorId="0" shapeId="0" xr:uid="{A11F30FD-E22A-4E7B-8549-323EE898B0EB}">
      <text>
        <r>
          <rPr>
            <b/>
            <sz val="10"/>
            <color indexed="81"/>
            <rFont val="Tahoma"/>
            <family val="2"/>
          </rPr>
          <t xml:space="preserve">Högsta avskrivningar:
- </t>
        </r>
        <r>
          <rPr>
            <sz val="10"/>
            <color indexed="81"/>
            <rFont val="Tahoma"/>
            <family val="2"/>
          </rPr>
          <t xml:space="preserve">Patent, affärsvärde, goodwill, varumärke o.d. 10-25 %
- grundförbättring av hyres- och aktiebostad 10-25 %
Du kan använda </t>
        </r>
        <r>
          <rPr>
            <b/>
            <sz val="10"/>
            <color indexed="81"/>
            <rFont val="Tahoma"/>
            <family val="2"/>
          </rPr>
          <t>linjär avskrivning</t>
        </r>
        <r>
          <rPr>
            <sz val="10"/>
            <color indexed="81"/>
            <rFont val="Tahoma"/>
            <family val="2"/>
          </rPr>
          <t xml:space="preserve"> när du skriver den årliga avskrivningsprocenten till noll och anger siffran direkt i cellen på höger.</t>
        </r>
      </text>
    </comment>
    <comment ref="G17" authorId="0" shapeId="0" xr:uid="{5757B77E-1DC3-4EE3-88C6-02640ABBE4CE}">
      <text>
        <r>
          <rPr>
            <sz val="10"/>
            <color indexed="81"/>
            <rFont val="Tahoma"/>
            <family val="2"/>
          </rPr>
          <t xml:space="preserve">Investeringens avskrivning för investeringsåret kan kalkyleras noggrant enligt bruksmånader eller för hela året (12 månader).
</t>
        </r>
        <r>
          <rPr>
            <b/>
            <sz val="10"/>
            <color indexed="81"/>
            <rFont val="Tahoma"/>
            <family val="2"/>
          </rPr>
          <t xml:space="preserve">Linjär avskrivning
</t>
        </r>
        <r>
          <rPr>
            <sz val="10"/>
            <color indexed="81"/>
            <rFont val="Tahoma"/>
            <family val="2"/>
          </rPr>
          <t>Skriv årlig avskrivnings-% som noll och skriv beloppet av linjär avskrivning på denna raden.</t>
        </r>
      </text>
    </comment>
    <comment ref="L17" authorId="0" shapeId="0" xr:uid="{385DD3DD-B561-4350-A9A5-A356FA08BABA}">
      <text>
        <r>
          <rPr>
            <sz val="10"/>
            <color indexed="81"/>
            <rFont val="Tahoma"/>
            <family val="2"/>
          </rPr>
          <t>Investeringens avskrivning för första året kan kalkyleras noggrant enligt bruksmånader eller för hela året (12 månader).</t>
        </r>
      </text>
    </comment>
    <comment ref="G20" authorId="0" shapeId="0" xr:uid="{2A9F5BA8-B58F-4159-AF4D-C28C1746E9D3}">
      <text>
        <r>
          <rPr>
            <sz val="10"/>
            <color indexed="81"/>
            <rFont val="Tahoma"/>
            <family val="2"/>
          </rPr>
          <t>Från tabell 1. T1 INVESTERINGSPLAN utan bidrag.</t>
        </r>
      </text>
    </comment>
    <comment ref="H21" authorId="1" shapeId="0" xr:uid="{3C17ACCF-4BED-4E3A-B81F-129A45B3F6CB}">
      <text>
        <r>
          <rPr>
            <b/>
            <sz val="10"/>
            <color indexed="81"/>
            <rFont val="Tahoma"/>
            <family val="2"/>
          </rPr>
          <t xml:space="preserve">Försäljning av nyttigheter 
</t>
        </r>
        <r>
          <rPr>
            <sz val="10"/>
            <color indexed="81"/>
            <rFont val="Tahoma"/>
            <family val="2"/>
          </rPr>
          <t xml:space="preserve">Försäljningsbeloppet kommer att läggas till tabell 
T5 KASSABUDGET punkt 4. Ej mellangift i byteshandel! </t>
        </r>
        <r>
          <rPr>
            <b/>
            <sz val="10"/>
            <color indexed="81"/>
            <rFont val="Tahoma"/>
            <family val="2"/>
          </rPr>
          <t xml:space="preserve">
Linjär avskrivning 
</t>
        </r>
        <r>
          <rPr>
            <sz val="10"/>
            <color indexed="81"/>
            <rFont val="Tahoma"/>
            <family val="2"/>
          </rPr>
          <t>Skriv den årliga avskrivnings-% som noll och ange beloppet för linjär avskrivning på denna rad.</t>
        </r>
      </text>
    </comment>
    <comment ref="G23" authorId="0" shapeId="0" xr:uid="{72E72D5C-C02B-4BCC-80A2-313F88DA4DA8}">
      <text>
        <r>
          <rPr>
            <sz val="10"/>
            <color indexed="81"/>
            <rFont val="Tahoma"/>
            <family val="2"/>
          </rPr>
          <t>Från tabell 1. T1 INVESTERINGSPLAN utan bidrag.</t>
        </r>
      </text>
    </comment>
    <comment ref="L23" authorId="0" shapeId="0" xr:uid="{4490EFA3-C1A9-4A02-B838-AF3ECF192018}">
      <text>
        <r>
          <rPr>
            <sz val="10"/>
            <color indexed="81"/>
            <rFont val="Tahoma"/>
            <family val="2"/>
          </rPr>
          <t>T.ex. Om investering kommer att införas i början av 3. månaden, finns det 10 bruksmånader.</t>
        </r>
      </text>
    </comment>
    <comment ref="H24" authorId="1" shapeId="0" xr:uid="{196DF4E6-E722-4837-BA10-A681F31F3159}">
      <text>
        <r>
          <rPr>
            <b/>
            <sz val="10"/>
            <color indexed="81"/>
            <rFont val="Tahoma"/>
            <family val="2"/>
          </rPr>
          <t xml:space="preserve">Försäljning av nyttigheter 
</t>
        </r>
        <r>
          <rPr>
            <sz val="10"/>
            <color indexed="81"/>
            <rFont val="Tahoma"/>
            <family val="2"/>
          </rPr>
          <t xml:space="preserve">Försäljningsbeloppet kommer att läggas till tabell 
T5 KASSABUDGET punkt 4. Ej mellangift i byteshandel! </t>
        </r>
        <r>
          <rPr>
            <sz val="10"/>
            <color indexed="81"/>
            <rFont val="Tahoma"/>
            <family val="2"/>
          </rPr>
          <t>.</t>
        </r>
      </text>
    </comment>
    <comment ref="E25" authorId="0" shapeId="0" xr:uid="{A3021715-26F7-4B89-B4AF-9771DFC14DE9}">
      <text>
        <r>
          <rPr>
            <b/>
            <sz val="10"/>
            <color indexed="81"/>
            <rFont val="Tahoma"/>
            <family val="2"/>
          </rPr>
          <t>Högsta avskrivningar</t>
        </r>
        <r>
          <rPr>
            <sz val="10"/>
            <color indexed="81"/>
            <rFont val="Tahoma"/>
            <family val="2"/>
          </rPr>
          <t xml:space="preserve">
- produktionsbyggnader, butiker 7 %
- bostads-, kontors- o.d. byggnader 4 %
- behållare, lätta konstruktioner 20 %
Du kan använda </t>
        </r>
        <r>
          <rPr>
            <b/>
            <sz val="10"/>
            <color indexed="81"/>
            <rFont val="Tahoma"/>
            <family val="2"/>
          </rPr>
          <t>linjär avskrivning</t>
        </r>
        <r>
          <rPr>
            <sz val="10"/>
            <color indexed="81"/>
            <rFont val="Tahoma"/>
            <family val="2"/>
          </rPr>
          <t xml:space="preserve"> när du skriver den årliga avskrivningsprocenten till noll och anger siffran direkt i cellen på höger.</t>
        </r>
      </text>
    </comment>
    <comment ref="G25" authorId="0" shapeId="0" xr:uid="{BBB54A98-0102-47EB-9A83-C3130B41E241}">
      <text>
        <r>
          <rPr>
            <sz val="10"/>
            <color indexed="81"/>
            <rFont val="Tahoma"/>
            <family val="2"/>
          </rPr>
          <t xml:space="preserve">Investeringens avskrivning för investeringsåret kan kalkyleras noggrant enligt bruksmånader eller för hela året (12 månader).
</t>
        </r>
        <r>
          <rPr>
            <b/>
            <sz val="10"/>
            <color indexed="81"/>
            <rFont val="Tahoma"/>
            <family val="2"/>
          </rPr>
          <t xml:space="preserve">Linjär avskrivning
</t>
        </r>
        <r>
          <rPr>
            <sz val="10"/>
            <color indexed="81"/>
            <rFont val="Tahoma"/>
            <family val="2"/>
          </rPr>
          <t>Skriv årlig avskrivnings-% som noll och skriv beloppet av linjär avskrivning på denna raden.</t>
        </r>
      </text>
    </comment>
    <comment ref="L25" authorId="0" shapeId="0" xr:uid="{1ACCC399-DD8C-40E7-9026-C060524ECB96}">
      <text>
        <r>
          <rPr>
            <sz val="10"/>
            <color indexed="81"/>
            <rFont val="Tahoma"/>
            <family val="2"/>
          </rPr>
          <t>Investeringens avskrivning för första året kan kalkyleras noggrant enligt bruksmånader eller för hela året (12 månader).</t>
        </r>
      </text>
    </comment>
    <comment ref="G27" authorId="0" shapeId="0" xr:uid="{B357FBA5-E472-4D64-B96C-654BB7A39EA3}">
      <text>
        <r>
          <rPr>
            <sz val="10"/>
            <color indexed="81"/>
            <rFont val="Tahoma"/>
            <family val="2"/>
          </rPr>
          <t>Från tabell 1. T1 INVESTERINGSPLAN punkter 4 och 5. Siffran utan bidrag, Moms-återbäring och leasingfinansiering.</t>
        </r>
      </text>
    </comment>
    <comment ref="L27" authorId="0" shapeId="0" xr:uid="{AB0A5F90-F29A-439C-B4C6-1C3A5416D71F}">
      <text>
        <r>
          <rPr>
            <sz val="10"/>
            <color indexed="81"/>
            <rFont val="Tahoma"/>
            <family val="2"/>
          </rPr>
          <t>T.ex. Om investering kommer att införas i början av 3. månaden, finns det 10 bruksmånader.</t>
        </r>
      </text>
    </comment>
    <comment ref="H28" authorId="1" shapeId="0" xr:uid="{E07E392F-1CE7-4867-84A3-A767AA357372}">
      <text>
        <r>
          <rPr>
            <b/>
            <sz val="10"/>
            <color indexed="81"/>
            <rFont val="Tahoma"/>
            <family val="2"/>
          </rPr>
          <t xml:space="preserve">Försäljning av nyttigheter 
</t>
        </r>
        <r>
          <rPr>
            <sz val="10"/>
            <color indexed="81"/>
            <rFont val="Tahoma"/>
            <family val="2"/>
          </rPr>
          <t xml:space="preserve">Försäljningsbeloppet kommer att läggas till tabell 
T5 KASSABUDGET punkt 4. Ej mellangift i byteshandel! </t>
        </r>
      </text>
    </comment>
    <comment ref="E29" authorId="0" shapeId="0" xr:uid="{474E6C1D-9E55-4877-930E-CA071EE45F44}">
      <text>
        <r>
          <rPr>
            <b/>
            <sz val="10"/>
            <color indexed="81"/>
            <rFont val="Tahoma"/>
            <family val="2"/>
          </rPr>
          <t xml:space="preserve">Högsta avskrivningar </t>
        </r>
        <r>
          <rPr>
            <sz val="10"/>
            <color indexed="81"/>
            <rFont val="Tahoma"/>
            <family val="2"/>
          </rPr>
          <t xml:space="preserve">
- Maskiner och anläggningar 25 % (50 % amortering av nya 
  investeringar i åren 2020-2023). Gäller endast nya 
  investeringar, så beräkna genomsnittlig avskrivningsprocent. 
- undantag fordon i yrkestrafik
Du kan använda </t>
        </r>
        <r>
          <rPr>
            <b/>
            <sz val="10"/>
            <color indexed="81"/>
            <rFont val="Tahoma"/>
            <family val="2"/>
          </rPr>
          <t xml:space="preserve">linjär avskrivning </t>
        </r>
        <r>
          <rPr>
            <sz val="10"/>
            <color indexed="81"/>
            <rFont val="Tahoma"/>
            <family val="2"/>
          </rPr>
          <t xml:space="preserve">när du skriver den årliga avskrivningsprocenten till noll och anger siffran direkt i cellen på höger. </t>
        </r>
      </text>
    </comment>
    <comment ref="G29" authorId="0" shapeId="0" xr:uid="{A9EAFEF5-4F2D-4A2C-B65D-BC51D49DB2E6}">
      <text>
        <r>
          <rPr>
            <sz val="10"/>
            <color indexed="81"/>
            <rFont val="Tahoma"/>
            <family val="2"/>
          </rPr>
          <t xml:space="preserve">Investeringens avskrivning för investeringsåret kan kalkyleras noggrant enligt bruksmånader eller för hela året (12 månader).
</t>
        </r>
        <r>
          <rPr>
            <b/>
            <sz val="10"/>
            <color indexed="81"/>
            <rFont val="Tahoma"/>
            <family val="2"/>
          </rPr>
          <t xml:space="preserve">Linjär avskrivning
</t>
        </r>
        <r>
          <rPr>
            <sz val="10"/>
            <color indexed="81"/>
            <rFont val="Tahoma"/>
            <family val="2"/>
          </rPr>
          <t>Skriv årlig avskrivnings-% som noll och skriv beloppet av linjär avskrivning på denna raden.</t>
        </r>
      </text>
    </comment>
    <comment ref="L29" authorId="0" shapeId="0" xr:uid="{CC374C05-B8FE-4A80-8FC3-42F2CE5A99B7}">
      <text>
        <r>
          <rPr>
            <sz val="10"/>
            <color indexed="81"/>
            <rFont val="Tahoma"/>
            <family val="2"/>
          </rPr>
          <t>Investeringens avskrivning för första året kan kalkyleras noggrant enligt bruksmånader eller för hela året (12 månader).</t>
        </r>
      </text>
    </comment>
    <comment ref="G31" authorId="0" shapeId="0" xr:uid="{CC76DE5B-89A5-4434-8EDF-DD913C5A3F6C}">
      <text>
        <r>
          <rPr>
            <sz val="10"/>
            <color indexed="81"/>
            <rFont val="Tahoma"/>
            <family val="2"/>
          </rPr>
          <t>Från tabell 1. T1 INVESTERINGSPLAN utan bidrag.</t>
        </r>
      </text>
    </comment>
    <comment ref="L31" authorId="0" shapeId="0" xr:uid="{5A30AB52-AF1E-45D0-A477-9D243B74B601}">
      <text>
        <r>
          <rPr>
            <sz val="10"/>
            <color indexed="81"/>
            <rFont val="Tahoma"/>
            <family val="2"/>
          </rPr>
          <t>T.ex. Om investering kommer att införas i början av 3. månaden, finns det 10 bruksmånader.</t>
        </r>
      </text>
    </comment>
    <comment ref="H32" authorId="1" shapeId="0" xr:uid="{43F60C2E-646F-4128-8122-EA5EE63FE18A}">
      <text>
        <r>
          <rPr>
            <b/>
            <sz val="10"/>
            <color indexed="81"/>
            <rFont val="Tahoma"/>
            <family val="2"/>
          </rPr>
          <t xml:space="preserve">Försäljning av nyttigheter 
</t>
        </r>
        <r>
          <rPr>
            <sz val="10"/>
            <color indexed="81"/>
            <rFont val="Tahoma"/>
            <family val="2"/>
          </rPr>
          <t xml:space="preserve">Försäljningsbeloppet kommer att läggas till tabell 
T5 KASSABUDGET punkt 4. Ej mellangift i byteshandel! </t>
        </r>
      </text>
    </comment>
    <comment ref="E33" authorId="0" shapeId="0" xr:uid="{E5234ECF-13C4-4BFC-BB1B-819B9E3CE9C5}">
      <text>
        <r>
          <rPr>
            <b/>
            <sz val="10"/>
            <color indexed="81"/>
            <rFont val="Tahoma"/>
            <family val="2"/>
          </rPr>
          <t>Högsta avskrivningar</t>
        </r>
        <r>
          <rPr>
            <sz val="10"/>
            <color indexed="81"/>
            <rFont val="Tahoma"/>
            <family val="2"/>
          </rPr>
          <t xml:space="preserve">
- asfaltbeläggning </t>
        </r>
        <r>
          <rPr>
            <b/>
            <sz val="10"/>
            <color indexed="81"/>
            <rFont val="Tahoma"/>
            <family val="2"/>
          </rPr>
          <t>av egen tomt</t>
        </r>
        <r>
          <rPr>
            <sz val="10"/>
            <color indexed="81"/>
            <rFont val="Tahoma"/>
            <family val="2"/>
          </rPr>
          <t xml:space="preserve"> 10 - 25 %
- grustag, torvmosse o.d. enligt förbrukning
Du kan använda </t>
        </r>
        <r>
          <rPr>
            <b/>
            <sz val="10"/>
            <color indexed="81"/>
            <rFont val="Tahoma"/>
            <family val="2"/>
          </rPr>
          <t>linjär avskrivning</t>
        </r>
        <r>
          <rPr>
            <sz val="10"/>
            <color indexed="81"/>
            <rFont val="Tahoma"/>
            <family val="2"/>
          </rPr>
          <t xml:space="preserve"> när du 
skriver den årliga avskrivningsprocenten till noll och anger siffran direkt i cellen på höger. </t>
        </r>
      </text>
    </comment>
    <comment ref="G33" authorId="0" shapeId="0" xr:uid="{E34DB8B3-47D2-4BF4-8968-92CFE1084AAE}">
      <text>
        <r>
          <rPr>
            <sz val="10"/>
            <color indexed="81"/>
            <rFont val="Tahoma"/>
            <family val="2"/>
          </rPr>
          <t xml:space="preserve">Investeringens avskrivning för investeringsåret kan kalkyleras noggrant enligt bruksmånader eller för hela året (12 månader).
</t>
        </r>
        <r>
          <rPr>
            <b/>
            <sz val="10"/>
            <color indexed="81"/>
            <rFont val="Tahoma"/>
            <family val="2"/>
          </rPr>
          <t xml:space="preserve">Linjär avskrivning
</t>
        </r>
        <r>
          <rPr>
            <sz val="10"/>
            <color indexed="81"/>
            <rFont val="Tahoma"/>
            <family val="2"/>
          </rPr>
          <t>Skriv årlig avskrivnings-% som noll och skriv beloppet av linjär avskrivning på denna raden.</t>
        </r>
      </text>
    </comment>
    <comment ref="L33" authorId="0" shapeId="0" xr:uid="{D8A322C5-9388-4CE0-9165-B5CF1BCC9372}">
      <text>
        <r>
          <rPr>
            <sz val="10"/>
            <color indexed="81"/>
            <rFont val="Tahoma"/>
            <family val="2"/>
          </rPr>
          <t>Investeringens avskrivning för första året kan kalkyleras noggrant enligt bruksmånader eller för hela året (12 månader).</t>
        </r>
      </text>
    </comment>
    <comment ref="G35" authorId="0" shapeId="0" xr:uid="{41D33B99-10D1-4A3D-AB58-9A1E90C738D4}">
      <text>
        <r>
          <rPr>
            <sz val="10"/>
            <color indexed="81"/>
            <rFont val="Tahoma"/>
            <family val="2"/>
          </rPr>
          <t>Från tabell 1. T1 INVESTERINGSPLAN utan bidrag.</t>
        </r>
      </text>
    </comment>
    <comment ref="H36" authorId="0" shapeId="0" xr:uid="{6C74C0C2-72E5-4120-9340-E844FF675691}">
      <text>
        <r>
          <rPr>
            <sz val="10"/>
            <color indexed="81"/>
            <rFont val="Tahoma"/>
            <family val="2"/>
          </rPr>
          <t>Om placeringar avdrags, skriv beloppet här.</t>
        </r>
      </text>
    </comment>
    <comment ref="C40" authorId="0" shapeId="0" xr:uid="{FC519F9A-DB02-470D-A246-D7C5D0D32D06}">
      <text>
        <r>
          <rPr>
            <sz val="10"/>
            <color indexed="81"/>
            <rFont val="Tahoma"/>
            <family val="2"/>
          </rPr>
          <t xml:space="preserve">Siffran berättar hur stor andel av omsättning är bunden i lagret. 
</t>
        </r>
        <r>
          <rPr>
            <b/>
            <sz val="10"/>
            <color indexed="81"/>
            <rFont val="Tahoma"/>
            <family val="2"/>
          </rPr>
          <t>Formel:</t>
        </r>
        <r>
          <rPr>
            <sz val="10"/>
            <color indexed="81"/>
            <rFont val="Tahoma"/>
            <family val="2"/>
          </rPr>
          <t xml:space="preserve">
100 *</t>
        </r>
        <r>
          <rPr>
            <b/>
            <sz val="10"/>
            <color indexed="81"/>
            <rFont val="Tahoma"/>
            <family val="2"/>
          </rPr>
          <t xml:space="preserve"> </t>
        </r>
        <r>
          <rPr>
            <sz val="10"/>
            <color indexed="81"/>
            <rFont val="Tahoma"/>
            <family val="2"/>
          </rPr>
          <t xml:space="preserve">(Omsättningstillgångar/Omsättning (12 månader)   </t>
        </r>
      </text>
    </comment>
    <comment ref="G40" authorId="0" shapeId="0" xr:uid="{80DF0ECC-E5A1-4580-BF52-A5F8B8B75BB1}">
      <text>
        <r>
          <rPr>
            <sz val="10"/>
            <color indexed="81"/>
            <rFont val="Tahoma"/>
            <family val="2"/>
          </rPr>
          <t>Siffran förflyttar från tabell 
5. T4 FINANSIERINGSBUDGET rad 49.</t>
        </r>
      </text>
    </comment>
    <comment ref="C43" authorId="0" shapeId="0" xr:uid="{C6D5268D-7B9D-46E8-A5D2-9226A780D1C5}">
      <text>
        <r>
          <rPr>
            <sz val="10"/>
            <color indexed="81"/>
            <rFont val="Tahoma"/>
            <family val="2"/>
          </rPr>
          <t xml:space="preserve">Siffran berättar, hur snabbt kunden betalar din faktura.
</t>
        </r>
        <r>
          <rPr>
            <b/>
            <sz val="10"/>
            <color indexed="81"/>
            <rFont val="Tahoma"/>
            <family val="2"/>
          </rPr>
          <t>Formel:</t>
        </r>
        <r>
          <rPr>
            <b/>
            <u/>
            <sz val="10"/>
            <color indexed="81"/>
            <rFont val="Tahoma"/>
            <family val="2"/>
          </rPr>
          <t xml:space="preserve">
</t>
        </r>
        <r>
          <rPr>
            <sz val="10"/>
            <color indexed="81"/>
            <rFont val="Tahoma"/>
            <family val="2"/>
          </rPr>
          <t>Kundfordringar /omsättning * 365</t>
        </r>
      </text>
    </comment>
    <comment ref="G43" authorId="0" shapeId="0" xr:uid="{5A80FA27-2138-4D5E-8BDD-7054303163AF}">
      <text>
        <r>
          <rPr>
            <sz val="10"/>
            <color indexed="81"/>
            <rFont val="Tahoma"/>
            <family val="2"/>
          </rPr>
          <t>Siffran förflyttar från tabell 5. T4 FINANSIERINGS-BUDGET, celler H52 - K52.</t>
        </r>
      </text>
    </comment>
    <comment ref="G45" authorId="0" shapeId="0" xr:uid="{9D2ED055-2451-4DC4-A532-F57FE6774601}">
      <text>
        <r>
          <rPr>
            <sz val="10"/>
            <color indexed="81"/>
            <rFont val="Tahoma"/>
            <family val="2"/>
          </rPr>
          <t>Siffran förflyttar från tabell 
5. T4 FINANSIERINGSBUDGET rad 53.</t>
        </r>
      </text>
    </comment>
    <comment ref="C46" authorId="0" shapeId="0" xr:uid="{00000000-0006-0000-0300-00004F000000}">
      <text>
        <r>
          <rPr>
            <sz val="10"/>
            <color indexed="81"/>
            <rFont val="Tahoma"/>
            <family val="2"/>
          </rPr>
          <t>- skatteåterbäring
- Moms-fordringar från förra perioden
- säkerhetsdeposition
- hyresdeposition 
- NTM-centralens bidrag förflutits från förra perioden
  eller något annat bidrag än investeringsbidrag</t>
        </r>
      </text>
    </comment>
    <comment ref="C47" authorId="0" shapeId="0" xr:uid="{00000000-0006-0000-0300-000050000000}">
      <text>
        <r>
          <rPr>
            <sz val="10"/>
            <color indexed="81"/>
            <rFont val="Tahoma"/>
            <family val="2"/>
          </rPr>
          <t>- I förskott betalda försäkringsavgifter
  o.d. utgiftsförskott.
- hyresfordringar o.d. inkomstfordringar</t>
        </r>
      </text>
    </comment>
    <comment ref="G49" authorId="0" shapeId="0" xr:uid="{B7872680-AC07-4006-8F91-E260D2C96F99}">
      <text>
        <r>
          <rPr>
            <b/>
            <sz val="10"/>
            <color indexed="10"/>
            <rFont val="Tahoma"/>
            <family val="2"/>
          </rPr>
          <t>Slutligen kontrollera, att cellerna H49 - K49 är lika stora än cellerna på  punkt 27, Kumulativt under-/överskott tabell 
5. T4 FINANSIERINGSBUDGET.</t>
        </r>
      </text>
    </comment>
    <comment ref="C59" authorId="0" shapeId="0" xr:uid="{00000000-0006-0000-0300-000055000000}">
      <text>
        <r>
          <rPr>
            <sz val="10"/>
            <color indexed="81"/>
            <rFont val="Tahoma"/>
            <family val="2"/>
          </rPr>
          <t>Ab kan betala dividender, av övriga bolagsform kan man ta privata uttag.</t>
        </r>
      </text>
    </comment>
    <comment ref="G59" authorId="0" shapeId="0" xr:uid="{DFFA97BC-FB9B-4612-9A7F-D7CEF4F4C170}">
      <text>
        <r>
          <rPr>
            <sz val="10"/>
            <color indexed="81"/>
            <rFont val="Tahoma"/>
            <family val="2"/>
          </rPr>
          <t>Siffrorna i cellen förflyttar sig från tabell 
5. T4 FINANSIERINGSBUDGET punkt 23. Siffran kan förändras i samma punkt. Dividendbetalning möjlig inom vinstfonder (C.2 Vinster från tidigare räkenskapsperioder+ C.4 Vinst/förlust för räkenskapsperioden)</t>
        </r>
      </text>
    </comment>
    <comment ref="E61" authorId="0" shapeId="0" xr:uid="{A10172A2-67BA-4690-9E4A-5F452E2E52EA}">
      <text>
        <r>
          <rPr>
            <sz val="10"/>
            <color indexed="81"/>
            <rFont val="Tahoma"/>
            <family val="2"/>
          </rPr>
          <t xml:space="preserve">I aktiebolaget kan placeras pengar i SVOP-fonden. Inbetalt fritt eget kapital (s.k. SVOP-fond) kan jämföras till aktiekapital. </t>
        </r>
        <r>
          <rPr>
            <sz val="9"/>
            <color indexed="81"/>
            <rFont val="Tahoma"/>
            <family val="2"/>
          </rPr>
          <t xml:space="preserve"> </t>
        </r>
      </text>
    </comment>
    <comment ref="G61" authorId="0" shapeId="0" xr:uid="{065508E6-3CC3-4432-B10D-0CC98AF7A800}">
      <text>
        <r>
          <rPr>
            <sz val="10"/>
            <color indexed="81"/>
            <rFont val="Tahoma"/>
            <family val="2"/>
          </rPr>
          <t>Ökning i SVOP-fonden från tabell 
1. T1 INVESTERINGSPLAN, punkt 11.</t>
        </r>
      </text>
    </comment>
    <comment ref="H61" authorId="0" shapeId="0" xr:uid="{D3B7946E-6A89-426D-8D43-8597643399EB}">
      <text>
        <r>
          <rPr>
            <sz val="10"/>
            <color indexed="81"/>
            <rFont val="Tahoma"/>
            <family val="2"/>
          </rPr>
          <t xml:space="preserve">Ökning i SVOP-fonden förflyttar sig från tabell 1. T1 INVESTERINGSPLAN, punkt 11. Återbetalning från SVOP-fonden, minska siffran i cellen.
</t>
        </r>
        <r>
          <rPr>
            <b/>
            <sz val="10"/>
            <color indexed="81"/>
            <rFont val="Tahoma"/>
            <family val="2"/>
          </rPr>
          <t>SVOP-avkastning möjlig</t>
        </r>
        <r>
          <rPr>
            <sz val="10"/>
            <color indexed="81"/>
            <rFont val="Tahoma"/>
            <family val="2"/>
          </rPr>
          <t xml:space="preserve"> inom vinstfonder (C.2 Vinster från tidigare räkenskapsperioder+ C.4 Vinst/förlust för räkenskapsperioden)</t>
        </r>
      </text>
    </comment>
    <comment ref="G65" authorId="0" shapeId="0" xr:uid="{C7424309-4CBF-407F-AFFB-413DF2BDC24F}">
      <text>
        <r>
          <rPr>
            <sz val="10"/>
            <color indexed="81"/>
            <rFont val="Tahoma"/>
            <family val="2"/>
          </rPr>
          <t>Lägg till en reservering av 30 % av betalda löner (</t>
        </r>
        <r>
          <rPr>
            <b/>
            <sz val="10"/>
            <color indexed="81"/>
            <rFont val="Tahoma"/>
            <family val="2"/>
          </rPr>
          <t>Firma eller personbolag</t>
        </r>
        <r>
          <rPr>
            <sz val="10"/>
            <color indexed="81"/>
            <rFont val="Tahoma"/>
            <family val="2"/>
          </rPr>
          <t xml:space="preserve"> kan göra). Förminskar skattebetalning.</t>
        </r>
      </text>
    </comment>
    <comment ref="G66" authorId="0" shapeId="0" xr:uid="{E2E5290B-A93B-48FB-B145-4702C11F9258}">
      <text>
        <r>
          <rPr>
            <sz val="10"/>
            <color indexed="81"/>
            <rFont val="Tahoma"/>
            <family val="2"/>
          </rPr>
          <t>Möjlig kreditförlust, som inte har realiserad.</t>
        </r>
      </text>
    </comment>
    <comment ref="G67" authorId="0" shapeId="0" xr:uid="{9CE404C9-8081-46B9-8FAD-F1009A051975}">
      <text>
        <r>
          <rPr>
            <sz val="10"/>
            <color indexed="81"/>
            <rFont val="Tahoma"/>
            <family val="2"/>
          </rPr>
          <t>Skuld eller en del av skuld, vars återbetalningstid är över ett år.</t>
        </r>
      </text>
    </comment>
    <comment ref="G68" authorId="0" shapeId="0" xr:uid="{17316E4E-630C-4483-8D99-E585C6E74247}">
      <text>
        <r>
          <rPr>
            <sz val="10"/>
            <color indexed="81"/>
            <rFont val="Tahoma"/>
            <family val="2"/>
          </rPr>
          <t>Innehåller också pensions lån och  skuldebrevlån av ägarna, men utan följande årets amorteringar!</t>
        </r>
      </text>
    </comment>
    <comment ref="G69" authorId="0" shapeId="0" xr:uid="{AF7073A5-9B6F-4087-897C-E87DD56F0F58}">
      <text>
        <r>
          <rPr>
            <sz val="10"/>
            <color indexed="81"/>
            <rFont val="Tahoma"/>
            <family val="2"/>
          </rPr>
          <t xml:space="preserve">Kalkylerar kapitallånets tillägg från 1. T1 INVESTERINGSPLAN punkt 13. Tillägg ränte-% i tabell 2. T7 LÅN, punkt "Kapitallån".  </t>
        </r>
      </text>
    </comment>
    <comment ref="H69" authorId="0" shapeId="0" xr:uid="{A49EDC73-3DDB-4C96-A2D6-FF7B52D0CBBF}">
      <text>
        <r>
          <rPr>
            <sz val="10"/>
            <color indexed="81"/>
            <rFont val="Tahoma"/>
            <family val="2"/>
          </rPr>
          <t xml:space="preserve">Kalkylerar kapitallånets tillägg från 1. T1 INVESTERINGSPLAN punkt 13. Kapitallånets kvarstående belopp skrivs direkt i cellen. Räntan tilläggas 2. T7 LÅN rad 41.   </t>
        </r>
      </text>
    </comment>
    <comment ref="G71" authorId="0" shapeId="0" xr:uid="{F70BB88B-DA25-415C-9283-C5822AB1994F}">
      <text>
        <r>
          <rPr>
            <sz val="10"/>
            <color indexed="81"/>
            <rFont val="Tahoma"/>
            <family val="2"/>
          </rPr>
          <t>Saldo av långfristig leverantörsskuld som ska betalas efter ett år. Tillägg skuldens ränta i tabelle 2. T7 LÅN, rad 45.</t>
        </r>
      </text>
    </comment>
    <comment ref="G72" authorId="0" shapeId="0" xr:uid="{3EAFA85E-1B87-482E-922F-CA87EE2FA358}">
      <text>
        <r>
          <rPr>
            <sz val="10"/>
            <color indexed="81"/>
            <rFont val="Tahoma"/>
            <family val="2"/>
          </rPr>
          <t>Siffran utan följande årets amorteringar av nuvarande avbetalningsskulder.</t>
        </r>
      </text>
    </comment>
    <comment ref="G73" authorId="0" shapeId="0" xr:uid="{76BD7F85-2EF1-4692-B32F-5FAF8D9B9ADF}">
      <text>
        <r>
          <rPr>
            <sz val="10"/>
            <color indexed="81"/>
            <rFont val="Tahoma"/>
            <family val="2"/>
          </rPr>
          <t xml:space="preserve">Kvarstående lånekapital i slutet av räkenskapsperioden. Innehåller skulden till anställda, ägare eller övriga privata finansiärer.
</t>
        </r>
        <r>
          <rPr>
            <b/>
            <sz val="10"/>
            <color indexed="81"/>
            <rFont val="Tahoma"/>
            <family val="2"/>
          </rPr>
          <t>Skuldebrevlån</t>
        </r>
        <r>
          <rPr>
            <sz val="10"/>
            <color indexed="81"/>
            <rFont val="Tahoma"/>
            <family val="2"/>
          </rPr>
          <t xml:space="preserve"> skrivas i tabell 2. T7 LÅN. </t>
        </r>
      </text>
    </comment>
    <comment ref="C74" authorId="0" shapeId="0" xr:uid="{49DFBB64-C5DB-4400-87DD-7E6207D9A8B5}">
      <text>
        <r>
          <rPr>
            <sz val="10"/>
            <color indexed="81"/>
            <rFont val="Tahoma"/>
            <family val="2"/>
          </rPr>
          <t>Skuld eller en del av skuld, som bör betalas inom ett år.</t>
        </r>
      </text>
    </comment>
    <comment ref="C75" authorId="0" shapeId="0" xr:uid="{3B119C7E-387F-4618-AA1B-7C4F5027568C}">
      <text>
        <r>
          <rPr>
            <sz val="10"/>
            <color indexed="81"/>
            <rFont val="Tahoma"/>
            <family val="2"/>
          </rPr>
          <t>Innehåller också pensions lån.</t>
        </r>
      </text>
    </comment>
    <comment ref="G76" authorId="0" shapeId="0" xr:uid="{C7E196F9-5091-41BA-B1D9-684ED22C211D}">
      <text>
        <r>
          <rPr>
            <sz val="10"/>
            <color indexed="81"/>
            <rFont val="Tahoma"/>
            <family val="2"/>
          </rPr>
          <t xml:space="preserve">Följande årets amorteringar av nuvarande långfristiga lån. </t>
        </r>
      </text>
    </comment>
    <comment ref="H76" authorId="0" shapeId="0" xr:uid="{84032A4A-1BD8-4FAF-BB6B-007132E628F1}">
      <text>
        <r>
          <rPr>
            <b/>
            <sz val="10"/>
            <color indexed="81"/>
            <rFont val="Tahoma"/>
            <family val="2"/>
          </rPr>
          <t>Observera! Om avskrivningarna är mindre än låneamorteringarna, betalar företaget skatt av låneamorteringar!</t>
        </r>
      </text>
    </comment>
    <comment ref="G77" authorId="0" shapeId="0" xr:uid="{00000000-0006-0000-0300-00006E000000}">
      <text>
        <r>
          <rPr>
            <sz val="10"/>
            <color indexed="81"/>
            <rFont val="Tahoma"/>
            <family val="2"/>
          </rPr>
          <t>Siffran förflyttad från tabell 2. T7 lån rad 39. Kvarstående kortfristigt lånekapital i slutet av räkenskapsperioden (ej amorteringar av långfristiga lån). Förändring av kapitalet förflyttas till tabell 5. T4 FINANSIERINGSBUDGET.</t>
        </r>
      </text>
    </comment>
    <comment ref="H77" authorId="0" shapeId="0" xr:uid="{9C22097C-49F7-46B7-B46E-100E131266A1}">
      <text>
        <r>
          <rPr>
            <sz val="10"/>
            <color indexed="81"/>
            <rFont val="Tahoma"/>
            <family val="2"/>
          </rPr>
          <t>Förändra kvarstående kortfristigt lånekapital i slutet av räkenskapsperioden (ej amorteringar av långfristiga lån). Förändring av kapitalet förflyttas till tabell 
5. T4 FINANSIERINGSBUDGET.</t>
        </r>
      </text>
    </comment>
    <comment ref="G78" authorId="0" shapeId="0" xr:uid="{3F47FE65-6358-451B-8DF8-A978A2AB864F}">
      <text>
        <r>
          <rPr>
            <sz val="10"/>
            <color indexed="81"/>
            <rFont val="Tahoma"/>
            <family val="2"/>
          </rPr>
          <t>Kvarstående saldo av kortfristiga kapitallån skrivs direkt i cellen. Räntan tilläggas i
2. T7 LÅN, punkt "Kapitallån".</t>
        </r>
      </text>
    </comment>
    <comment ref="H78" authorId="0" shapeId="0" xr:uid="{50DA3FFC-F0EC-4152-9B8A-2AFFC48EA3F9}">
      <text>
        <r>
          <rPr>
            <sz val="10"/>
            <color indexed="81"/>
            <rFont val="Tahoma"/>
            <family val="2"/>
          </rPr>
          <t>Kvarstående saldo av kortfristiga kapitallån skrivs direkt i cellen. Räntan tilläggas i
2. T7 LÅN, punkt "Kapitallån".</t>
        </r>
      </text>
    </comment>
    <comment ref="C81" authorId="0" shapeId="0" xr:uid="{A2252029-0FBA-4994-9CFF-2967636C67F1}">
      <text>
        <r>
          <rPr>
            <sz val="10"/>
            <color indexed="81"/>
            <rFont val="Tahoma"/>
            <family val="2"/>
          </rPr>
          <t xml:space="preserve">Siffran berättar, hur snabbt ni betalar fakturan. 
</t>
        </r>
        <r>
          <rPr>
            <b/>
            <sz val="10"/>
            <color indexed="81"/>
            <rFont val="Tahoma"/>
            <family val="2"/>
          </rPr>
          <t>Formel:</t>
        </r>
        <r>
          <rPr>
            <sz val="10"/>
            <color indexed="81"/>
            <rFont val="Tahoma"/>
            <family val="2"/>
          </rPr>
          <t xml:space="preserve">
Inköpsskulder/inköpen slgt under perioden * 365</t>
        </r>
      </text>
    </comment>
    <comment ref="G81" authorId="0" shapeId="0" xr:uid="{00000000-0006-0000-0300-000077000000}">
      <text>
        <r>
          <rPr>
            <sz val="10"/>
            <color indexed="81"/>
            <rFont val="Tahoma"/>
            <family val="2"/>
          </rPr>
          <t>Siffran förflyttar från tabell 
5. T4 FINANSIERINGSBUDGET, punkt 
33 Leverantörsskulder</t>
        </r>
      </text>
    </comment>
    <comment ref="C85" authorId="0" shapeId="0" xr:uid="{96CCCB62-03D0-444C-B6FB-12535F891052}">
      <text>
        <r>
          <rPr>
            <sz val="10"/>
            <color indexed="81"/>
            <rFont val="Tahoma"/>
            <family val="2"/>
          </rPr>
          <t>Skatteavdrags-% av alla betalda löner i medeltal.</t>
        </r>
      </text>
    </comment>
    <comment ref="G87" authorId="0" shapeId="0" xr:uid="{72E9B6DE-4C17-4948-B093-46CBE452C6DA}">
      <text>
        <r>
          <rPr>
            <sz val="10"/>
            <color indexed="81"/>
            <rFont val="Tahoma"/>
            <family val="2"/>
          </rPr>
          <t>I slutet av räkenskapsperioden har företaget Moms-skulder för 2 månader. Inga skulder har företaget 
- i hälsovård och välfärdssektorn samt i försäkrings-
  och finansieringstjänster
- årsomsättning under 15 000 Euro.</t>
        </r>
      </text>
    </comment>
    <comment ref="G88" authorId="0" shapeId="0" xr:uid="{DFEFF84B-002E-416C-9CBC-09FC88859A59}">
      <text>
        <r>
          <rPr>
            <sz val="10"/>
            <color indexed="81"/>
            <rFont val="Tahoma"/>
            <family val="2"/>
          </rPr>
          <t>Obetalda övriga kortfristiga lån av föregående perioden:
- personalkostnader
- skulden till ägaren
- skatteskuld
- dröjningsutgifter 
- böter</t>
        </r>
      </text>
    </comment>
    <comment ref="G90" authorId="0" shapeId="0" xr:uid="{DF6A8B8E-06D5-4960-A26C-60C5F21D0BF0}">
      <text>
        <r>
          <rPr>
            <sz val="10"/>
            <color indexed="81"/>
            <rFont val="Tahoma"/>
            <family val="2"/>
          </rPr>
          <t>T.ex. Beräknad ränteskuld av lånet, innehållen hyra som förskott.</t>
        </r>
      </text>
    </comment>
    <comment ref="G93" authorId="0" shapeId="0" xr:uid="{00000000-0006-0000-0300-000080000000}">
      <text>
        <r>
          <rPr>
            <sz val="10"/>
            <color indexed="81"/>
            <rFont val="Tahoma"/>
            <family val="2"/>
          </rPr>
          <t>Av FöPL-semesterlöner betalas inte pensionsavgifter, övriga utgifter 3 %.
Bikostnadsprocent av ArPL-löner slgt. 19,34 %. 
Om FöPL- och ArPL-löner, uppskatta då vägt medeltal.</t>
        </r>
      </text>
    </comment>
    <comment ref="G94" authorId="0" shapeId="0" xr:uid="{970EE57F-AE8C-4F49-A460-390511F3DEF4}">
      <text>
        <r>
          <rPr>
            <sz val="10"/>
            <color indexed="81"/>
            <rFont val="Tahoma"/>
            <family val="2"/>
          </rPr>
          <t xml:space="preserve">Erhållen förskott eller delbetalning av produkter som ska levereras. </t>
        </r>
      </text>
    </comment>
    <comment ref="G95" authorId="0" shapeId="0" xr:uid="{48C07E58-B7A3-46EE-BA92-A079D5F7283D}">
      <text>
        <r>
          <rPr>
            <sz val="10"/>
            <color indexed="81"/>
            <rFont val="Tahoma"/>
            <family val="2"/>
          </rPr>
          <t>Siffran förflyttar från rad 57 i tabell 
5. T4 FINANSIERINGSBUDGET, där den kan förändras.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C12" authorId="0" shapeId="0" xr:uid="{17370425-4811-459F-8290-904720058DBE}">
      <text>
        <r>
          <rPr>
            <sz val="10"/>
            <color indexed="81"/>
            <rFont val="Tahoma"/>
            <family val="2"/>
          </rPr>
          <t>Övriga rörelseintäkter är bl.a. hyresintäkter, erhållna provisioner, ersättningar för administration, databehandling osv. ifall uthyrning eller nämnda tjänster inte utgör företagets egentliga verksamhetsområde.</t>
        </r>
      </text>
    </comment>
    <comment ref="G12" authorId="0" shapeId="0" xr:uid="{2CF21ACF-723A-4B15-BFB2-51174B45AB62}">
      <text>
        <r>
          <rPr>
            <sz val="10"/>
            <color indexed="81"/>
            <rFont val="Tahoma"/>
            <family val="2"/>
          </rPr>
          <t>Övriga rörelseintäkter kan skrivas direkt i cellen eller använda procentuell ökningsprocent på höger.</t>
        </r>
      </text>
    </comment>
    <comment ref="C16" authorId="0" shapeId="0" xr:uid="{E0E817A3-9F16-42EB-AE26-D294967BB748}">
      <text>
        <r>
          <rPr>
            <sz val="10"/>
            <color indexed="81"/>
            <rFont val="Tahoma"/>
            <family val="2"/>
          </rPr>
          <t>Köpta tjänster, vilka har inverkan till omsättning. T.ex. anskaffningar från underleverantörer, hyror av arbetskraft för produktion.</t>
        </r>
      </text>
    </comment>
    <comment ref="G16" authorId="0" shapeId="0" xr:uid="{6502C0EE-E7DA-4EFB-AFD0-43598EFE56DB}">
      <text>
        <r>
          <rPr>
            <sz val="10"/>
            <color indexed="81"/>
            <rFont val="Tahoma"/>
            <family val="2"/>
          </rPr>
          <t>Skriv företecken minus.</t>
        </r>
      </text>
    </comment>
    <comment ref="G17" authorId="0" shapeId="0" xr:uid="{516A2003-72D5-4699-BCA5-4F5CA22981A6}">
      <text>
        <r>
          <rPr>
            <sz val="10"/>
            <color indexed="81"/>
            <rFont val="Tahoma"/>
            <family val="2"/>
          </rPr>
          <t>Innehåller också bikostnader av semesterlöner.
I bokföring personalkostnaderna innehåller arbetstagarnas kalkylmässiga semesterlöner, varför cellens belopp är större än personalkostnaderna i tabell 3. E1 KOSTNADER.</t>
        </r>
      </text>
    </comment>
    <comment ref="C23" authorId="0" shapeId="0" xr:uid="{03A292F7-FAA1-4EB3-B9A6-661457B03824}">
      <text>
        <r>
          <rPr>
            <sz val="10"/>
            <color indexed="81"/>
            <rFont val="Tahoma"/>
            <family val="2"/>
          </rPr>
          <t>Till denna grupp hör följande poster från den officiella resultaträkningen: intäkter från andelar i samma koncern, intäkter från andelar i ägarintresseföretag och intäkter från övriga placeringar bland bestående aktiva.</t>
        </r>
      </text>
    </comment>
    <comment ref="G27" authorId="0" shapeId="0" xr:uid="{58036A5F-4144-4266-845C-ADB6586D6D10}">
      <text>
        <r>
          <rPr>
            <sz val="10"/>
            <color indexed="81"/>
            <rFont val="Tahoma"/>
            <family val="2"/>
          </rPr>
          <t>Formulären uträknar skatten enligt</t>
        </r>
        <r>
          <rPr>
            <b/>
            <i/>
            <sz val="10"/>
            <color indexed="81"/>
            <rFont val="Tahoma"/>
            <family val="2"/>
          </rPr>
          <t xml:space="preserve"> </t>
        </r>
        <r>
          <rPr>
            <b/>
            <sz val="10"/>
            <color indexed="81"/>
            <rFont val="Tahoma"/>
            <family val="2"/>
          </rPr>
          <t>inkomstskatte-%</t>
        </r>
        <r>
          <rPr>
            <sz val="10"/>
            <color indexed="81"/>
            <rFont val="Tahoma"/>
            <family val="2"/>
          </rPr>
          <t xml:space="preserve"> och iakttager 50 % av representationsutgifter. Vid personbolagen kan man nollställa. 
</t>
        </r>
        <r>
          <rPr>
            <b/>
            <sz val="10"/>
            <color indexed="81"/>
            <rFont val="Tahoma"/>
            <family val="2"/>
          </rPr>
          <t>Vid försäljning av fastighet eller aktier</t>
        </r>
        <r>
          <rPr>
            <sz val="10"/>
            <color indexed="81"/>
            <rFont val="Tahoma"/>
            <family val="2"/>
          </rPr>
          <t xml:space="preserve"> observera överlåtelsevinst och anskaffningsutgift!</t>
        </r>
      </text>
    </comment>
    <comment ref="G28" authorId="0" shapeId="0" xr:uid="{52A01EE1-11E3-4333-8351-8ADB826246EB}">
      <text>
        <r>
          <rPr>
            <sz val="10"/>
            <color indexed="81"/>
            <rFont val="Tahoma"/>
            <family val="2"/>
          </rPr>
          <t xml:space="preserve">Skattesats 20 % för aktiebolag och andelslag. Om  nollställas, är punkt 20 TOTALRESULTAT = Den beskattningsbara inkomsten.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Företagstolken</author>
    <author>Ari Järvinen</author>
  </authors>
  <commentList>
    <comment ref="B4" authorId="0" shapeId="0" xr:uid="{A53F649A-7A4A-4D0D-9FCD-E63CB2A07B7F}">
      <text>
        <r>
          <rPr>
            <b/>
            <sz val="12"/>
            <color indexed="81"/>
            <rFont val="Tahoma"/>
            <family val="2"/>
          </rPr>
          <t>Du kan upprätta kassabudgeten för prognos år 1 eller 2. Obs.! Om du gör båda åren, spara första alternativet till din dator</t>
        </r>
        <r>
          <rPr>
            <sz val="12"/>
            <color indexed="81"/>
            <rFont val="Tahoma"/>
            <family val="2"/>
          </rPr>
          <t>.</t>
        </r>
        <r>
          <rPr>
            <sz val="10"/>
            <color indexed="81"/>
            <rFont val="Tahoma"/>
            <family val="2"/>
          </rPr>
          <t xml:space="preserve">
</t>
        </r>
        <r>
          <rPr>
            <b/>
            <sz val="10"/>
            <color indexed="81"/>
            <rFont val="Tahoma"/>
            <family val="2"/>
          </rPr>
          <t>Viktigt! Bedöma andel av kontant- och fakturaförsäljning samt försäljning / månad i procentar (slgt 100 %). Använd riktiga Moms-procentar!</t>
        </r>
        <r>
          <rPr>
            <sz val="10"/>
            <color indexed="81"/>
            <rFont val="Tahoma"/>
            <family val="2"/>
          </rPr>
          <t xml:space="preserve">
</t>
        </r>
        <r>
          <rPr>
            <b/>
            <sz val="10"/>
            <color indexed="81"/>
            <rFont val="Tahoma"/>
            <family val="2"/>
          </rPr>
          <t>4.  Extraordinära intäkter</t>
        </r>
        <r>
          <rPr>
            <sz val="10"/>
            <color indexed="81"/>
            <rFont val="Tahoma"/>
            <family val="2"/>
          </rPr>
          <t xml:space="preserve">
- Om maskiner eller anläggningar säljs,  lägg försäljningspriset TILL PUNKT 4. Priset hittsas från tabell 
  1. T1 INVSTERINGSPLAN punkt "15. Övrig egen finansiering".
</t>
        </r>
        <r>
          <rPr>
            <b/>
            <sz val="10"/>
            <color indexed="81"/>
            <rFont val="Tahoma"/>
            <family val="2"/>
          </rPr>
          <t>6. Materialbruk och varor</t>
        </r>
        <r>
          <rPr>
            <sz val="10"/>
            <color indexed="81"/>
            <rFont val="Tahoma"/>
            <family val="2"/>
          </rPr>
          <t xml:space="preserve">
- Placera till rätt månad.</t>
        </r>
        <r>
          <rPr>
            <b/>
            <sz val="10"/>
            <color indexed="81"/>
            <rFont val="Tahoma"/>
            <family val="2"/>
          </rPr>
          <t xml:space="preserve">
9. Investeringar inkl. moms (punkt 23.) och investeringar moms 0 % (punkt 24.)</t>
        </r>
        <r>
          <rPr>
            <sz val="10"/>
            <color indexed="81"/>
            <rFont val="Tahoma"/>
            <family val="2"/>
          </rPr>
          <t xml:space="preserve">
- Om investeringar finansieras med leasing, kom ihåg att minska leasingfinansieringens värde.
</t>
        </r>
        <r>
          <rPr>
            <b/>
            <sz val="10"/>
            <color indexed="81"/>
            <rFont val="Tahoma"/>
            <family val="2"/>
          </rPr>
          <t>25. Anskaffning av aktier till affärslägenhet</t>
        </r>
        <r>
          <rPr>
            <sz val="10"/>
            <color indexed="81"/>
            <rFont val="Tahoma"/>
            <family val="2"/>
          </rPr>
          <t xml:space="preserve">
- Priset finns i tabell T1 INVESTERINGSPLAN punkt "8. Placeringar
</t>
        </r>
        <r>
          <rPr>
            <b/>
            <sz val="10"/>
            <color indexed="81"/>
            <rFont val="Tahoma"/>
            <family val="2"/>
          </rPr>
          <t>30. Diovideder/Privata uttag</t>
        </r>
        <r>
          <rPr>
            <sz val="10"/>
            <color indexed="81"/>
            <rFont val="Tahoma"/>
            <family val="2"/>
          </rPr>
          <t xml:space="preserve">
- LÄGG TILL I PUNKT 30: Privata uttag / dividendbetalning</t>
        </r>
      </text>
    </comment>
    <comment ref="G10" authorId="1" shapeId="0" xr:uid="{46F8EC28-F9C1-41F6-B0A5-75ADF65AA445}">
      <text>
        <r>
          <rPr>
            <sz val="10"/>
            <color indexed="81"/>
            <rFont val="Tahoma"/>
            <family val="2"/>
          </rPr>
          <t>Första månaden av räkenskapsperioden.</t>
        </r>
      </text>
    </comment>
    <comment ref="G11" authorId="1" shapeId="0" xr:uid="{F57EB66B-9CDC-4CC4-8D5C-ADA6D4F44BB3}">
      <text>
        <r>
          <rPr>
            <sz val="10"/>
            <color indexed="81"/>
            <rFont val="Tahoma"/>
            <family val="2"/>
          </rPr>
          <t>1. Prognosår
Siffran innehåller endast punkter 11, 13 och 14 i tabell 1. T1 INVESTERINGSP.
2. Prognosår
Pengarna av 2. prognosår från tabell 6. T3 BALANS cell H49.</t>
        </r>
      </text>
    </comment>
    <comment ref="E13" authorId="1" shapeId="0" xr:uid="{5B793148-7456-4414-A9EA-B5BD1D0EDB3E}">
      <text>
        <r>
          <rPr>
            <sz val="10"/>
            <color indexed="81"/>
            <rFont val="Tahoma"/>
            <family val="2"/>
          </rPr>
          <t>Skriv här kontantförsäljningens procentuellt antal av totalförsäljningen.</t>
        </r>
      </text>
    </comment>
    <comment ref="F13" authorId="1" shapeId="0" xr:uid="{7F4D5964-DC61-411D-8795-19EBC07AAF90}">
      <text>
        <r>
          <rPr>
            <sz val="10"/>
            <color indexed="81"/>
            <rFont val="Tahoma"/>
            <family val="2"/>
          </rPr>
          <t>Skriv här momsprocenten, som uppbärs om försäljning av produkter och tjänster. 
Mervärdesskattprocent 
- 24 % allmän 
- 10 % inkvartering, motion, tidningar, persontransport, böcker,
  e-publikationer 
- 14 % restaurangmat, livsmedel och foder
- 0 %, om företagets bransch hälso- och socialvård eller 
  försäkrings- och finansieringstjänster
- 0 %, om företagets årsomsättning är under 15 000 euro.</t>
        </r>
      </text>
    </comment>
    <comment ref="S13" authorId="1" shapeId="0" xr:uid="{A269E204-A7B1-403A-A779-7D24EFAC255F}">
      <text>
        <r>
          <rPr>
            <sz val="10"/>
            <color indexed="81"/>
            <rFont val="Tahoma"/>
            <family val="2"/>
          </rPr>
          <t>Kontantförsäljning efter årsprognos i tabell 4. E2 OMSÄTTNING.</t>
        </r>
      </text>
    </comment>
    <comment ref="G14" authorId="1" shapeId="0" xr:uid="{62878808-E236-4934-829C-5ADB08504645}">
      <text>
        <r>
          <rPr>
            <sz val="10"/>
            <color indexed="81"/>
            <rFont val="Tahoma"/>
            <family val="2"/>
          </rPr>
          <t xml:space="preserve">Procentsiffran betyder månadens försäljningsandel av hela årets försäljning. Om försäljningen är jämnstor i varje månad, är siffran 8,3 %.  </t>
        </r>
      </text>
    </comment>
    <comment ref="F15" authorId="1" shapeId="0" xr:uid="{A4F323D5-E02A-4FE4-BECA-E21A1E0D39D7}">
      <text>
        <r>
          <rPr>
            <sz val="10"/>
            <color indexed="81"/>
            <rFont val="Tahoma"/>
            <family val="2"/>
          </rPr>
          <t>Skriv här momsprocenten, som uppbärs om försäljning av produkter och tjänster. 
Mervärdesskattprocent 
- 24 % allmän 
- 10 % inkvartering, motion, tidningar, persontransport, böcker,
  e-publikationer 
- 14 % restaurangmat, livsmedel och foder
- 0 %, om företagets bransch hälso- och socialvård eller 
  försäkrings- och finansieringstjänster
- 0 %, om företagets årsomsättning är under 15 000 euro.</t>
        </r>
      </text>
    </comment>
    <comment ref="S15" authorId="1" shapeId="0" xr:uid="{32639A5E-9F0B-4737-A41B-D8FB05211533}">
      <text>
        <r>
          <rPr>
            <sz val="10"/>
            <color indexed="81"/>
            <rFont val="Tahoma"/>
            <family val="2"/>
          </rPr>
          <t>Kontantförsäljning efter årsprognos i tabell 4. E2 OMSÄTTNING.</t>
        </r>
      </text>
    </comment>
    <comment ref="G16" authorId="1" shapeId="0" xr:uid="{8EDE62F6-3B47-41B7-9D8E-8C7381AA826E}">
      <text>
        <r>
          <rPr>
            <sz val="10"/>
            <color indexed="81"/>
            <rFont val="Tahoma"/>
            <family val="2"/>
          </rPr>
          <t xml:space="preserve">Procentsiffran betyder månadens försäljningsandel av hela årets försäljning. Om försäljningen är jämnstor i varje månad, är siffran 8,3 %.  </t>
        </r>
      </text>
    </comment>
    <comment ref="E17" authorId="1" shapeId="0" xr:uid="{1C19CF15-FA3F-496A-A5F4-EDDAF3F4E332}">
      <text>
        <r>
          <rPr>
            <sz val="10"/>
            <color indexed="81"/>
            <rFont val="Tahoma"/>
            <family val="2"/>
          </rPr>
          <t>Längsta betalningstid 180 dagar.</t>
        </r>
      </text>
    </comment>
    <comment ref="C18" authorId="2" shapeId="0" xr:uid="{A998F81E-E73A-402E-839A-470C6D1A0352}">
      <text>
        <r>
          <rPr>
            <sz val="10"/>
            <color indexed="81"/>
            <rFont val="Tahoma"/>
            <family val="2"/>
          </rPr>
          <t xml:space="preserve">T.ex. vid företagssanering sålda  maskiner, produkträttigheter o.d. </t>
        </r>
      </text>
    </comment>
    <comment ref="G19" authorId="2" shapeId="0" xr:uid="{BD2E4AC4-CC11-4E7D-9055-82B8AE29D4BA}">
      <text>
        <r>
          <rPr>
            <sz val="10"/>
            <color indexed="81"/>
            <rFont val="Tahoma"/>
            <family val="2"/>
          </rPr>
          <t>Programmet beräknar färdigt Övriga Rörelseintäkter (Tabell 
7. T2 RESULTATBUDGET, punkt 2) och Erhållna försäkrings- ersättningar (Tabell 3. KOSTNADER, punkt 1.4) samt uppbärning av placeringar. Komplettera övriga intäkter.</t>
        </r>
      </text>
    </comment>
    <comment ref="M19" authorId="1" shapeId="0" xr:uid="{8BB0A07B-4967-4E97-9E69-D74BC3758B5B}">
      <text>
        <r>
          <rPr>
            <sz val="10"/>
            <color indexed="81"/>
            <rFont val="Tahoma"/>
            <family val="2"/>
          </rPr>
          <t>Innehåller upptagning av företagsbidragen.</t>
        </r>
      </text>
    </comment>
    <comment ref="F22" authorId="1" shapeId="0" xr:uid="{357957AB-9E20-4E0D-A7D5-D1BDDC05A09D}">
      <text>
        <r>
          <rPr>
            <sz val="10"/>
            <color indexed="81"/>
            <rFont val="Tahoma"/>
            <family val="2"/>
          </rPr>
          <t>Skriv här momsprocenten, som uppbärs om försäljning av produkter och tjänster. 
Mervärdesskattprocent 
- 24 % allmän 
- 10 % inkvartering, motion, tidningar, persontransport, böcker,
  e-publikationer 
- 14 % restaurangmat, livsmedel och foder
- 0 %, om företagets bransch hälso- och socialvård eller 
  försäkrings- och finansieringstjänster
- 0 %, om företagets årsomsättning är under 15 000 euro.</t>
        </r>
      </text>
    </comment>
    <comment ref="G23" authorId="2" shapeId="0" xr:uid="{BC245930-8A57-4CBC-9133-51B30647CCBA}">
      <text>
        <r>
          <rPr>
            <sz val="10"/>
            <color indexed="81"/>
            <rFont val="Tahoma"/>
            <family val="2"/>
          </rPr>
          <t>Programmet beräknar nödvändiga inköp av material och förnödenheter efter försäljning. Hur stora är inköpen och för vilka månader kommer fakturorna? Förändra om behövs.</t>
        </r>
      </text>
    </comment>
    <comment ref="T23" authorId="1" shapeId="0" xr:uid="{81CFC7E4-CBDA-4B32-941A-E5F511693802}">
      <text>
        <r>
          <rPr>
            <sz val="10"/>
            <color indexed="81"/>
            <rFont val="Tahoma"/>
            <family val="2"/>
          </rPr>
          <t>Skillnaden mellan kassabudgeten och målet för budgetåret.</t>
        </r>
      </text>
    </comment>
    <comment ref="E24" authorId="2" shapeId="0" xr:uid="{637033D8-8677-45E9-A933-F0E9C8669DF1}">
      <text>
        <r>
          <rPr>
            <sz val="10"/>
            <color indexed="81"/>
            <rFont val="Tahoma"/>
            <family val="2"/>
          </rPr>
          <t>Omloppstiden för skulder till leverantörer är samma som vid 5. T4 FINANSIERINGSB. cell G55. Den längsta betalningstidem är 90 dagar.</t>
        </r>
      </text>
    </comment>
    <comment ref="F25" authorId="1" shapeId="0" xr:uid="{F86354EB-FF7A-47E4-B9F0-1471363860C0}">
      <text>
        <r>
          <rPr>
            <sz val="10"/>
            <color indexed="81"/>
            <rFont val="Tahoma"/>
            <family val="2"/>
          </rPr>
          <t>Skriv här momsprocenten, som uppbärs om försäljning av produkter och tjänster. 
Mervärdesskattprocent 
- 24 % allmän 
- 10 % inkvartering, motion, tidningar, persontransport, böcker,
  e-publikationer 
- 14 % restaurangmat, livsmedel och foder
- 0 % vid företagsförvärv, anskaffning av omsättningstillgångar
- 0 %, om företagets bransch hälso- och socialvård eller 
  försäkrings- och finansieringstjänster
- 0 %, om företagets årsomsättning är under 15 000 euro.</t>
        </r>
      </text>
    </comment>
    <comment ref="G25" authorId="2" shapeId="0" xr:uid="{A43676B8-E9D8-4489-A7A0-2F8923574587}">
      <text>
        <r>
          <rPr>
            <sz val="10"/>
            <color indexed="81"/>
            <rFont val="Tahoma"/>
            <family val="2"/>
          </rPr>
          <t>Siffran är överförd från tabell 1. T1 INVESTERINGSP. punkt 10. Köp av omsättningstillgångar vid företagsförvärv moms 0 %. Om flera momssatser, uppskatta det vägda genomsnittet.</t>
        </r>
      </text>
    </comment>
    <comment ref="AC25" authorId="0" shapeId="0" xr:uid="{A951B99C-EE0E-462C-8AF2-5C57D1CE3628}">
      <text>
        <r>
          <rPr>
            <b/>
            <sz val="9"/>
            <color indexed="81"/>
            <rFont val="Tahoma"/>
            <family val="2"/>
          </rPr>
          <t>2024
Sairausvakuutusmaksu 1,16 %</t>
        </r>
        <r>
          <rPr>
            <sz val="9"/>
            <color indexed="81"/>
            <rFont val="Tahoma"/>
            <family val="2"/>
          </rPr>
          <t xml:space="preserve">
</t>
        </r>
      </text>
    </comment>
    <comment ref="AD25" authorId="0" shapeId="0" xr:uid="{F531773C-B8A6-40DC-AD12-71BE42780FB6}">
      <text>
        <r>
          <rPr>
            <b/>
            <sz val="9"/>
            <color indexed="81"/>
            <rFont val="Tahoma"/>
            <family val="2"/>
          </rPr>
          <t>2021:
TT-vakuutusmaksu yrittäjällä 0 %</t>
        </r>
        <r>
          <rPr>
            <sz val="9"/>
            <color indexed="81"/>
            <rFont val="Tahoma"/>
            <family val="2"/>
          </rPr>
          <t xml:space="preserve">
</t>
        </r>
      </text>
    </comment>
    <comment ref="AK25" authorId="0" shapeId="0" xr:uid="{E25BD7FC-83B9-41D5-8D78-A0C9FB5902CD}">
      <text>
        <r>
          <rPr>
            <b/>
            <sz val="9"/>
            <color indexed="81"/>
            <rFont val="Tahoma"/>
            <family val="2"/>
          </rPr>
          <t>2024: Työntekijä maksaa
TT-vakuutusmaksu 0,79 % + TyEL-maksu 7,15 %</t>
        </r>
        <r>
          <rPr>
            <sz val="9"/>
            <color indexed="81"/>
            <rFont val="Tahoma"/>
            <family val="2"/>
          </rPr>
          <t xml:space="preserve">
= 7,94 %
</t>
        </r>
      </text>
    </comment>
    <comment ref="AD26" authorId="0" shapeId="0" xr:uid="{270E359A-3C22-41E1-8E95-0B9753EDF331}">
      <text>
        <r>
          <rPr>
            <b/>
            <sz val="9"/>
            <color indexed="81"/>
            <rFont val="Tahoma"/>
            <family val="2"/>
          </rPr>
          <t>2021:
TT-vakuutusmaksu yrittäjällä 0 %</t>
        </r>
        <r>
          <rPr>
            <sz val="9"/>
            <color indexed="81"/>
            <rFont val="Tahoma"/>
            <family val="2"/>
          </rPr>
          <t xml:space="preserve">
</t>
        </r>
      </text>
    </comment>
    <comment ref="G27" authorId="1" shapeId="0" xr:uid="{51800A0E-354E-4E82-A1A6-4A16E678CF22}">
      <text>
        <r>
          <rPr>
            <sz val="10"/>
            <color indexed="81"/>
            <rFont val="Tahoma"/>
            <family val="2"/>
          </rPr>
          <t>Lägg till moms-investeringar från tabell
1. T1 INVESTERINGSPLAN. Kom ihåg minska leasingfinansieringens andel. Dela i rätta månader.</t>
        </r>
      </text>
    </comment>
    <comment ref="G31" authorId="1" shapeId="0" xr:uid="{75B4567A-4850-4614-AFBF-EA611E36DF16}">
      <text>
        <r>
          <rPr>
            <sz val="10"/>
            <color indexed="81"/>
            <rFont val="Tahoma"/>
            <family val="2"/>
          </rPr>
          <t>Programmet beräknar momsen på grund av intäkter och utgifter inklusive moms, som bildade två månader tidigare.
- Skattbara försäljningar är intäkter från kundfordringar och 
  kontantförsäljning
- Avdragbara utgifter är punkterna 6 - 12
Obs!  Beräkning kan inte avkasta fullständigt rätt resultat på grund av fördröjningar vid betalningar, men noggrannheten är tillräckligt.</t>
        </r>
      </text>
    </comment>
    <comment ref="F34" authorId="1" shapeId="0" xr:uid="{9D84A016-7004-4E56-988E-D247F2DA9BBE}">
      <text>
        <r>
          <rPr>
            <sz val="10"/>
            <color indexed="81"/>
            <rFont val="Tahoma"/>
            <family val="2"/>
          </rPr>
          <t xml:space="preserve">Beror på FöPL-arbetsinkomst: 
- FöPL betalas under 53- och över 62-årig 24,1 % och 
  52 - 62-årig 25,6 %, månatlig betalning
- ny företagare motsvarande 4 första år 18,8 % eller 20 %
- Företagarens olycksfallförsäkringsavgift 1,7 %
</t>
        </r>
        <r>
          <rPr>
            <b/>
            <sz val="10"/>
            <color indexed="81"/>
            <rFont val="Tahoma"/>
            <family val="2"/>
          </rPr>
          <t>Sammanlagt</t>
        </r>
        <r>
          <rPr>
            <sz val="10"/>
            <color indexed="81"/>
            <rFont val="Tahoma"/>
            <family val="2"/>
          </rPr>
          <t xml:space="preserve">
- under 53- och över 62 år 25,8 % (ny företagare 20,4 %)
- 53 - 62 år 27,3 % (ny företagare 21,6 %)</t>
        </r>
      </text>
    </comment>
    <comment ref="F35" authorId="1" shapeId="0" xr:uid="{4395951B-4042-453B-BFEB-76D305E81D5C}">
      <text>
        <r>
          <rPr>
            <sz val="10"/>
            <color indexed="81"/>
            <rFont val="Tahoma"/>
            <family val="2"/>
          </rPr>
          <t xml:space="preserve">Företaget betalar till försäkringsbolaget av lönen
- ArPL-premie 24,81 % 
- Olycks- och yrkessjukdomsförsäkring 0,57 %
  (för olycksbenägen bransch större)
- Grupplivsförsäkringsavgift 0,06 %
- Arbetslöshetsförsäkring 1,06 %
</t>
        </r>
        <r>
          <rPr>
            <b/>
            <sz val="10"/>
            <color indexed="81"/>
            <rFont val="Tahoma"/>
            <family val="2"/>
          </rPr>
          <t>Sammanlagt 26,5 %</t>
        </r>
      </text>
    </comment>
    <comment ref="T36" authorId="1" shapeId="0" xr:uid="{1645063B-AD4E-4593-BE52-EC63F3C4B6A1}">
      <text>
        <r>
          <rPr>
            <sz val="10"/>
            <color indexed="81"/>
            <rFont val="Tahoma"/>
            <family val="2"/>
          </rPr>
          <t>Skillnaden mellan kassabudgeten och målet för budgetåret.</t>
        </r>
      </text>
    </comment>
    <comment ref="C39" authorId="2" shapeId="0" xr:uid="{8269A850-3A90-4AE1-873D-738472CE833B}">
      <text>
        <r>
          <rPr>
            <sz val="10"/>
            <color indexed="81"/>
            <rFont val="Tahoma"/>
            <family val="2"/>
          </rPr>
          <t xml:space="preserve">Innehåller inte räntor av avbetalningsskulder, som finns i punkten 27. </t>
        </r>
      </text>
    </comment>
    <comment ref="G41" authorId="1" shapeId="0" xr:uid="{2A1894E1-445C-4F02-B216-C4772D384A05}">
      <text>
        <r>
          <rPr>
            <sz val="10"/>
            <color indexed="81"/>
            <rFont val="Tahoma"/>
            <family val="2"/>
          </rPr>
          <t xml:space="preserve">Lägg till Moms 0% investeringar från tabell 
1. T1 INVESTERINGSPLAN. 
Kom ihåg leasingfinansiering. </t>
        </r>
      </text>
    </comment>
    <comment ref="G48" authorId="1" shapeId="0" xr:uid="{F84315DD-D518-46A3-8437-031C407C0CEF}">
      <text>
        <r>
          <rPr>
            <sz val="10"/>
            <color indexed="81"/>
            <rFont val="Tahoma"/>
            <family val="2"/>
          </rPr>
          <t>Programmet beräknar jämnstora månatliga rater. Förändra om behövs.</t>
        </r>
      </text>
    </comment>
    <comment ref="T48" authorId="1" shapeId="0" xr:uid="{7B7181F7-2294-423C-A919-C452FE7EF186}">
      <text>
        <r>
          <rPr>
            <sz val="10"/>
            <color indexed="81"/>
            <rFont val="Tahoma"/>
            <family val="2"/>
          </rPr>
          <t>Skillnaden mellan kassabudgeten och målet för budgetåret.</t>
        </r>
      </text>
    </comment>
    <comment ref="G49" authorId="1" shapeId="0" xr:uid="{7FC3B934-24BD-4361-B9D3-6B804176D25E}">
      <text>
        <r>
          <rPr>
            <sz val="10"/>
            <color indexed="81"/>
            <rFont val="Tahoma"/>
            <family val="2"/>
          </rPr>
          <t>Siffran innehåller lyft av lån och avbetalningar för hela året. Placera till rätt månad! Lägg till kortfristiga lån.</t>
        </r>
      </text>
    </comment>
    <comment ref="G50" authorId="1" shapeId="0" xr:uid="{44717C0B-A1FF-4A02-9901-E00374E00A21}">
      <text>
        <r>
          <rPr>
            <sz val="10"/>
            <color indexed="81"/>
            <rFont val="Tahoma"/>
            <family val="2"/>
          </rPr>
          <t>Programmet beräknar månatliga amorteringar. Förändra om behövs. Lägg till amorteringar av Övriga kortfristiga lån och lån utan skuldebrev. Programmet beräknar månatliga amorteringar. Förändra om behövs. Lägg till amorteringar av Övriga kortfristiga lån och lån utan skuldebrev.</t>
        </r>
      </text>
    </comment>
    <comment ref="G51" authorId="2" shapeId="0" xr:uid="{A2779962-3F69-45C9-B1AD-BA088F73CFE5}">
      <text>
        <r>
          <rPr>
            <sz val="10"/>
            <color indexed="81"/>
            <rFont val="Tahoma"/>
            <family val="2"/>
          </rPr>
          <t>Lägg till dividender eller privata uttag.</t>
        </r>
      </text>
    </comment>
    <comment ref="G52" authorId="2" shapeId="0" xr:uid="{5F0DDC39-6E4B-4F73-9E36-0C8DEDA3900A}">
      <text>
        <r>
          <rPr>
            <sz val="10"/>
            <color indexed="81"/>
            <rFont val="Tahoma"/>
            <family val="2"/>
          </rPr>
          <t>- 1. prognosår = 0
- 2. prognosår, ägarnas ytterligare placeringar 
  från 1. T1 INVESTERINGSPLAN. 
  Placera till rätt månad!</t>
        </r>
      </text>
    </comment>
    <comment ref="G53" authorId="1" shapeId="0" xr:uid="{F075F017-BF94-40AD-99A5-D78EDA2568CA}">
      <text>
        <r>
          <rPr>
            <sz val="10"/>
            <color indexed="81"/>
            <rFont val="Tahoma"/>
            <family val="2"/>
          </rPr>
          <t xml:space="preserve">Kapitallån av ägarna efter 1. prognosår från tabell 
1. T1 INVESTERINGSPLAN. Placera till rätt månad. </t>
        </r>
      </text>
    </comment>
    <comment ref="R57" authorId="1" shapeId="0" xr:uid="{EEBF4D12-8A69-4C2C-ACAD-3115742513CE}">
      <text>
        <r>
          <rPr>
            <sz val="10"/>
            <color indexed="81"/>
            <rFont val="Tahoma"/>
            <family val="2"/>
          </rPr>
          <t>Kassa i slutet av perioden.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H47" authorId="0" shapeId="0" xr:uid="{00000000-0006-0000-0B00-000007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M47" authorId="0" shapeId="0" xr:uid="{00000000-0006-0000-0B00-000008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S47" authorId="0" shapeId="0" xr:uid="{00000000-0006-0000-0B00-000009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Y47" authorId="0" shapeId="0" xr:uid="{00000000-0006-0000-0B00-00000A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AE47" authorId="0" shapeId="0" xr:uid="{00000000-0006-0000-0B00-00000B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AK47" authorId="0" shapeId="0" xr:uid="{00000000-0006-0000-0B00-00000C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List>
</comments>
</file>

<file path=xl/sharedStrings.xml><?xml version="1.0" encoding="utf-8"?>
<sst xmlns="http://schemas.openxmlformats.org/spreadsheetml/2006/main" count="1642" uniqueCount="726">
  <si>
    <t xml:space="preserve"> </t>
  </si>
  <si>
    <t xml:space="preserve">2. VUOSI </t>
  </si>
  <si>
    <t>1.</t>
  </si>
  <si>
    <t>2.</t>
  </si>
  <si>
    <t>3.</t>
  </si>
  <si>
    <t>4.</t>
  </si>
  <si>
    <t>5.</t>
  </si>
  <si>
    <t>6.</t>
  </si>
  <si>
    <t>7.</t>
  </si>
  <si>
    <t>8.</t>
  </si>
  <si>
    <t>9.</t>
  </si>
  <si>
    <t>10.</t>
  </si>
  <si>
    <t xml:space="preserve">3. VUOSI </t>
  </si>
  <si>
    <t>%</t>
  </si>
  <si>
    <t>Tot.</t>
  </si>
  <si>
    <t xml:space="preserve">1. VUOSI </t>
  </si>
  <si>
    <t>+</t>
  </si>
  <si>
    <t>-</t>
  </si>
  <si>
    <t>20.</t>
  </si>
  <si>
    <t xml:space="preserve">    </t>
  </si>
  <si>
    <t>+/-</t>
  </si>
  <si>
    <t>Ennuste 2</t>
  </si>
  <si>
    <t>Ennuste  1</t>
  </si>
  <si>
    <t>Ennuste 3</t>
  </si>
  <si>
    <t>Tot. tilikausi</t>
  </si>
  <si>
    <t xml:space="preserve">   </t>
  </si>
  <si>
    <t>Lyhennys</t>
  </si>
  <si>
    <t>Korko</t>
  </si>
  <si>
    <t>UUDET LAINAT</t>
  </si>
  <si>
    <t>Määrä</t>
  </si>
  <si>
    <t>Nosto</t>
  </si>
  <si>
    <t>PO loppu</t>
  </si>
  <si>
    <t>Uudet lainat yhteensä</t>
  </si>
  <si>
    <t>Lyhen.</t>
  </si>
  <si>
    <t>aika'</t>
  </si>
  <si>
    <t>Laina-</t>
  </si>
  <si>
    <t>PO ka.</t>
  </si>
  <si>
    <t>=</t>
  </si>
  <si>
    <t xml:space="preserve"> - ALV-vähennyskelpoiset kulut</t>
  </si>
  <si>
    <t>Liiketoiminnan muut kulut, erittely</t>
  </si>
  <si>
    <t>Pidätys-%</t>
  </si>
  <si>
    <t>11.</t>
  </si>
  <si>
    <t>12.</t>
  </si>
  <si>
    <t>14.</t>
  </si>
  <si>
    <t>15.</t>
  </si>
  <si>
    <t>16.</t>
  </si>
  <si>
    <t>17.</t>
  </si>
  <si>
    <t>18.</t>
  </si>
  <si>
    <t>19.</t>
  </si>
  <si>
    <t>Raha-</t>
  </si>
  <si>
    <t>Verottaja-</t>
  </si>
  <si>
    <t>Netto-</t>
  </si>
  <si>
    <t>palkat</t>
  </si>
  <si>
    <t>edut</t>
  </si>
  <si>
    <t>tilitykset</t>
  </si>
  <si>
    <t>Yhteensä</t>
  </si>
  <si>
    <t xml:space="preserve">Finnvera </t>
  </si>
  <si>
    <t>Verotettava</t>
  </si>
  <si>
    <t>tulo</t>
  </si>
  <si>
    <t xml:space="preserve"> - avustus-%</t>
  </si>
  <si>
    <t xml:space="preserve"> - Alv:n määrä</t>
  </si>
  <si>
    <t xml:space="preserve"> - Veroton hinta</t>
  </si>
  <si>
    <t xml:space="preserve"> - avustuksen määrä</t>
  </si>
  <si>
    <t>ALV-palautukset yhteensä</t>
  </si>
  <si>
    <t>Avustukset yhteensä</t>
  </si>
  <si>
    <t>ALV-PALAUTUS  JA AVUSTUS</t>
  </si>
  <si>
    <t>I</t>
  </si>
  <si>
    <t>II</t>
  </si>
  <si>
    <t>III</t>
  </si>
  <si>
    <t xml:space="preserve">I </t>
  </si>
  <si>
    <t>IV</t>
  </si>
  <si>
    <t>T3</t>
  </si>
  <si>
    <t>B.</t>
  </si>
  <si>
    <t>A.</t>
  </si>
  <si>
    <t xml:space="preserve">C. </t>
  </si>
  <si>
    <t xml:space="preserve">D. </t>
  </si>
  <si>
    <t>Vanhat osamaksuvelat</t>
  </si>
  <si>
    <t>Ensimmäinen kausi</t>
  </si>
  <si>
    <t>Viimeinen kausi</t>
  </si>
  <si>
    <t>Uudet osamaksuvelat 1</t>
  </si>
  <si>
    <t>Uudet osamaksuvelat 2</t>
  </si>
  <si>
    <t>Uudet osamaksuvelat 3</t>
  </si>
  <si>
    <t>E.</t>
  </si>
  <si>
    <t>Vakuutusmaksut siirtosaatavia varten</t>
  </si>
  <si>
    <t>Kuluerittelyjä tasetta varten</t>
  </si>
  <si>
    <t>Osamaksuvelat yhteensä</t>
  </si>
  <si>
    <t>Ennuste 4</t>
  </si>
  <si>
    <t xml:space="preserve"> +/-</t>
  </si>
  <si>
    <t>Arvonlisäverolliset ostot</t>
  </si>
  <si>
    <t>Vanhat yhteensä</t>
  </si>
  <si>
    <t xml:space="preserve"> -/+</t>
  </si>
  <si>
    <t>Ennuste 5</t>
  </si>
  <si>
    <t>Uudet osamaksuvelat 4</t>
  </si>
  <si>
    <t>4. VUOSI</t>
  </si>
  <si>
    <t>LIIKETOIMINNAN LAAJUUS</t>
  </si>
  <si>
    <t>LIIKETOIMINNAN KANNATTAVUUS</t>
  </si>
  <si>
    <t xml:space="preserve"> Quick ratio</t>
  </si>
  <si>
    <t xml:space="preserve"> Current ratio</t>
  </si>
  <si>
    <t>Lyhytaik.</t>
  </si>
  <si>
    <t>Pitkäaik.</t>
  </si>
  <si>
    <t>kaudella</t>
  </si>
  <si>
    <t>OSAMAKSUVELAT TASEESSA KO. VUONNA</t>
  </si>
  <si>
    <t>NETTOVARALLISUUSLASKELMA</t>
  </si>
  <si>
    <t>F.</t>
  </si>
  <si>
    <t>G.</t>
  </si>
  <si>
    <t xml:space="preserve">  </t>
  </si>
  <si>
    <t>aika</t>
  </si>
  <si>
    <t xml:space="preserve"> - ALV 0 % - kulut ilman vuokrat alv 0 %(Ei rivi 125)</t>
  </si>
  <si>
    <t xml:space="preserve"> - ALV-kulut -( vuokrat Alv 0% (E1 rivi 51)- leasingiä (E1 rivi 63)+74)</t>
  </si>
  <si>
    <t>ALV-TILITYS KASSABUDJETISSA</t>
  </si>
  <si>
    <t>ALV-%</t>
  </si>
  <si>
    <t xml:space="preserve"> - Alv:n osuus</t>
  </si>
  <si>
    <t>MYYNTIEN ALV YHTEENSÄ</t>
  </si>
  <si>
    <t>OSTOJEN ALV:N MÄÄRÄ</t>
  </si>
  <si>
    <t>ALV-TILITYS KOHDEKUUKAUDELTÄ</t>
  </si>
  <si>
    <t>Maksuehto</t>
  </si>
  <si>
    <t>Myyntisaamiset edel. Tilik</t>
  </si>
  <si>
    <t>&lt;31 pv</t>
  </si>
  <si>
    <t>Maksuehto  &lt; 30 pv</t>
  </si>
  <si>
    <t>31 - 60 pv</t>
  </si>
  <si>
    <t>Maksuehto 31 - 60 pv</t>
  </si>
  <si>
    <t>61 - 90 pv</t>
  </si>
  <si>
    <t>Maksuehto 61 - 90 pv</t>
  </si>
  <si>
    <t>91 - 120 pv</t>
  </si>
  <si>
    <t>Maksuehto 91 - 120 pv</t>
  </si>
  <si>
    <t>121 - 150 pv</t>
  </si>
  <si>
    <t>Maksuehto 121 - 150 pv</t>
  </si>
  <si>
    <t>150  - 180 pv</t>
  </si>
  <si>
    <t>Maksuehto 151 - 180 pv</t>
  </si>
  <si>
    <t>Myynti kaudella</t>
  </si>
  <si>
    <t>Kassaan 1. kk</t>
  </si>
  <si>
    <t>Kassaan 2. kk</t>
  </si>
  <si>
    <t>Kassaan 3. kk</t>
  </si>
  <si>
    <t>Kassaan 4. kk</t>
  </si>
  <si>
    <t>Kassaan 5. kk</t>
  </si>
  <si>
    <t>Kassaan 6. kk</t>
  </si>
  <si>
    <t>Kassaan 7. kk</t>
  </si>
  <si>
    <t>Maksut tilille myynneistä</t>
  </si>
  <si>
    <t>Kassaa 1. kk + myyntisaatavat</t>
  </si>
  <si>
    <t>Maksut yhteensä</t>
  </si>
  <si>
    <t>1000 €</t>
  </si>
  <si>
    <t>13.</t>
  </si>
  <si>
    <t>I.</t>
  </si>
  <si>
    <t>II.</t>
  </si>
  <si>
    <t>III.</t>
  </si>
  <si>
    <t>I .</t>
  </si>
  <si>
    <t>IV.</t>
  </si>
  <si>
    <t>12</t>
  </si>
  <si>
    <t>T1  INVESTERINGSPLAN</t>
  </si>
  <si>
    <t>Datum</t>
  </si>
  <si>
    <t>Anteckningar (kan användas liksom Excel):</t>
  </si>
  <si>
    <t>Företag</t>
  </si>
  <si>
    <t>E-postadress</t>
  </si>
  <si>
    <t>Utförare</t>
  </si>
  <si>
    <t>Telefon</t>
  </si>
  <si>
    <t>Projekt</t>
  </si>
  <si>
    <t>Startdatum</t>
  </si>
  <si>
    <t>Beräknas vara färdigt</t>
  </si>
  <si>
    <t>Prognos 1</t>
  </si>
  <si>
    <t>Prognos 2</t>
  </si>
  <si>
    <t>Prognos 3</t>
  </si>
  <si>
    <t>Prognos 4</t>
  </si>
  <si>
    <t>Sammanlagt</t>
  </si>
  <si>
    <t>Jordområden</t>
  </si>
  <si>
    <t xml:space="preserve"> - area (m2)</t>
  </si>
  <si>
    <t xml:space="preserve"> - bidrags-%</t>
  </si>
  <si>
    <t>Byggnader och konstruktioner inkl. Moms</t>
  </si>
  <si>
    <t xml:space="preserve"> - area / volym (m2 / m3)</t>
  </si>
  <si>
    <t xml:space="preserve"> - Moms-%</t>
  </si>
  <si>
    <t>Byggnader och konstruktioner Moms 0 %</t>
  </si>
  <si>
    <t>Maskiner och anläggningar inkl. Moms</t>
  </si>
  <si>
    <t>Maskiner och anläggningar Moms 0 %</t>
  </si>
  <si>
    <t>Övriga materiella investeringar</t>
  </si>
  <si>
    <t>Immateriella nyttigheter</t>
  </si>
  <si>
    <t>Placeringar</t>
  </si>
  <si>
    <t>Ökning av rörelsekapital</t>
  </si>
  <si>
    <t>Kapitalbehov sammanlagt</t>
  </si>
  <si>
    <t>Egen finansiering</t>
  </si>
  <si>
    <t>Ägarnas kapitalplaceringar</t>
  </si>
  <si>
    <t xml:space="preserve"> Aktiekapital </t>
  </si>
  <si>
    <t xml:space="preserve"> Placeringar i SVOP-fonden</t>
  </si>
  <si>
    <t>Internfinansiering</t>
  </si>
  <si>
    <t>Kapitallån</t>
  </si>
  <si>
    <t>Övrig egen finansiering</t>
  </si>
  <si>
    <t>Lånefinansiering</t>
  </si>
  <si>
    <t>Kreditgivare</t>
  </si>
  <si>
    <t>Avdrag för mervärdesskatt</t>
  </si>
  <si>
    <t>Bidragen (punkter 1 - 7)</t>
  </si>
  <si>
    <t>Finansiering sammanlagt</t>
  </si>
  <si>
    <t>Av investeringen orsakad ökning av omsättningen/år</t>
  </si>
  <si>
    <t>Ansvar av programmets rättighet och resultaten</t>
  </si>
  <si>
    <t xml:space="preserve">Användaren är medveten, att programmet kan innehålla fel och ge felaktiga resultaten. </t>
  </si>
  <si>
    <t xml:space="preserve">Resultaten är riktningsgivande och användaren har eget ansvar om tolkning av resultaten. </t>
  </si>
  <si>
    <t>T2  RESULTATBUDGET</t>
  </si>
  <si>
    <t>Räkenskapsperiodens längd (månader)</t>
  </si>
  <si>
    <t>Euro</t>
  </si>
  <si>
    <t>OMSÄTTNING</t>
  </si>
  <si>
    <t>Övriga rörelseintäkter</t>
  </si>
  <si>
    <t>Tillverkning för eget bruk</t>
  </si>
  <si>
    <t>RÖRELSEINTÄKTER SAMMANLAGT</t>
  </si>
  <si>
    <t>Materialförbrukning, varor</t>
  </si>
  <si>
    <t>Köpta tjänster</t>
  </si>
  <si>
    <t>Personalkostnader (inkl. semesterlönereserv.)</t>
  </si>
  <si>
    <t>Övriga rörelsekostnader</t>
  </si>
  <si>
    <t>Ökning/minskning av färdig- och halvfabrikat</t>
  </si>
  <si>
    <t>DRIFTSBIDRAG</t>
  </si>
  <si>
    <t>Avskrivningar enligt plan</t>
  </si>
  <si>
    <t>RÖRELSERESULTAT</t>
  </si>
  <si>
    <t>Intäkter av andelar och övriga placeringar</t>
  </si>
  <si>
    <t>Räntekostnader och övriga finansiella kostnader</t>
  </si>
  <si>
    <t>Ränteintäkter och finansiella intäkter</t>
  </si>
  <si>
    <t>VINST (FÖRLUST) FÖRE BOKSLUTFLYTTNINGAR OCH SKATTER</t>
  </si>
  <si>
    <t>Direkta skatter</t>
  </si>
  <si>
    <t>Inkomstskatteprocent</t>
  </si>
  <si>
    <t>Ökning/minskning av avskrivning differens</t>
  </si>
  <si>
    <t>TOTALRESULTAT</t>
  </si>
  <si>
    <t>ANTAL ANSTÄLLDA I GENOMSNITT</t>
  </si>
  <si>
    <t xml:space="preserve">Resultatet är riktningsgivande och användaren har eget ansvar om tolkning av resultaten. </t>
  </si>
  <si>
    <t>BALANS</t>
  </si>
  <si>
    <t>AKTIVA</t>
  </si>
  <si>
    <t>T3 BALANS</t>
  </si>
  <si>
    <t>BESTÅENDE AKTIVA</t>
  </si>
  <si>
    <t xml:space="preserve"> - Tillägg under räkenskapsperioden</t>
  </si>
  <si>
    <t xml:space="preserve"> - Minskningar under räkenskapsperioden</t>
  </si>
  <si>
    <t xml:space="preserve"> - Avskrivningar</t>
  </si>
  <si>
    <t>Årligen</t>
  </si>
  <si>
    <t>Materiella nyttigheter</t>
  </si>
  <si>
    <t>2. Byggnader och konstruktioner</t>
  </si>
  <si>
    <t xml:space="preserve">3. Maskiner och anläggningar </t>
  </si>
  <si>
    <t>4. Övriga materiella investeringar</t>
  </si>
  <si>
    <t>RÖRLIGA AKTIVA</t>
  </si>
  <si>
    <t>Omsättningstillgångar</t>
  </si>
  <si>
    <t>Fordringar</t>
  </si>
  <si>
    <t>1. Försäljningsfordringar</t>
  </si>
  <si>
    <t>2. Fordringar av deldebitering</t>
  </si>
  <si>
    <t>3. Övriga fordringar</t>
  </si>
  <si>
    <t>4. Resultatregleringar</t>
  </si>
  <si>
    <t>Finansieringsvärdepapper</t>
  </si>
  <si>
    <t>Pengar och banktillgodohavanden</t>
  </si>
  <si>
    <t>AKTIVA TOTALT</t>
  </si>
  <si>
    <t>Omloppstid av kundfordringar (dagar)</t>
  </si>
  <si>
    <t>PASSIVA</t>
  </si>
  <si>
    <t>EGET KAPITAL</t>
  </si>
  <si>
    <t xml:space="preserve">1. Aktiekapital mm. </t>
  </si>
  <si>
    <t>2. Vinster av föregående räkenskapsperioder</t>
  </si>
  <si>
    <t>3. Dividender, privata uttag</t>
  </si>
  <si>
    <t xml:space="preserve">4. Vinst/förlust av räkenskapsperioden </t>
  </si>
  <si>
    <t xml:space="preserve">5. Fond av investerad fritt eget kapital </t>
  </si>
  <si>
    <t>KUMULATIVA BOKSLUTÖVERFÖRINGAR</t>
  </si>
  <si>
    <t>1. Avskrivningsdifferens</t>
  </si>
  <si>
    <t xml:space="preserve"> - procent av betalda löner </t>
  </si>
  <si>
    <t>OBLIGATORISKA RESERVERINGAR</t>
  </si>
  <si>
    <t>LÅNGFRISTIG FRÄMMANDE KAPITAL</t>
  </si>
  <si>
    <t>1. Lån av penningväsenden</t>
  </si>
  <si>
    <t xml:space="preserve">2. Kapitallån </t>
  </si>
  <si>
    <t>3. Leverantörsskulder</t>
  </si>
  <si>
    <t xml:space="preserve"> - Leverantörsskulder</t>
  </si>
  <si>
    <t xml:space="preserve"> - Avbetalningsskulder</t>
  </si>
  <si>
    <t>4. Övriga långfristiga lån</t>
  </si>
  <si>
    <t>KORTFRISTIG FRÄMMANDE KAPITAL</t>
  </si>
  <si>
    <t xml:space="preserve"> - Amorteringar av långfristiga lån</t>
  </si>
  <si>
    <t xml:space="preserve"> - Kortfristiga lån av penningväsenden</t>
  </si>
  <si>
    <t>4. Övriga kortfristiga lån</t>
  </si>
  <si>
    <t xml:space="preserve"> - Förskottsinnehållningsskuld</t>
  </si>
  <si>
    <t>Skatteavdragsprocent i medeltal</t>
  </si>
  <si>
    <t xml:space="preserve"> - Socialskyddsavgiftsskuld</t>
  </si>
  <si>
    <t xml:space="preserve"> - Moms-skuld</t>
  </si>
  <si>
    <t xml:space="preserve"> - Övriga kortfristiga lån</t>
  </si>
  <si>
    <t>5. Resultatregleringsskulder</t>
  </si>
  <si>
    <t xml:space="preserve"> - Resultatregleringsskulder</t>
  </si>
  <si>
    <t xml:space="preserve"> - Semesterlöneskulder</t>
  </si>
  <si>
    <t xml:space="preserve"> - Beräknad pensions- och bikostnadsskuld</t>
  </si>
  <si>
    <t xml:space="preserve"> Pensions- och bikostnadsskuld av semesterlöneskuld (%)</t>
  </si>
  <si>
    <t>6. Erhållna förskott</t>
  </si>
  <si>
    <t>PASSIVA TOTALT</t>
  </si>
  <si>
    <t>Leverantörsskuldernas omloppstid (dagar)</t>
  </si>
  <si>
    <t>T4 FINANSIERINGSBUDGET</t>
  </si>
  <si>
    <t>TILLFÖRDA MEDEL</t>
  </si>
  <si>
    <t>Nettovinst + avskrivningar (=finansieringsresultat)         +</t>
  </si>
  <si>
    <t>Ägarnas kapitaltillskott</t>
  </si>
  <si>
    <t>Upptagning av långfristiga lån</t>
  </si>
  <si>
    <t>Upptagning av avbetalningsskulder (T7)</t>
  </si>
  <si>
    <t>Upptagning av kortfristiga lån</t>
  </si>
  <si>
    <t>SAMMANLAGT</t>
  </si>
  <si>
    <t>DISPONERADE MEDEL</t>
  </si>
  <si>
    <t xml:space="preserve">Maskiner och anläggningar </t>
  </si>
  <si>
    <t>Övriga investeringar</t>
  </si>
  <si>
    <t>Förändring av finansieringstillgångarna</t>
  </si>
  <si>
    <t xml:space="preserve">Långfristiga lån/förändringar av låneamorteringar        </t>
  </si>
  <si>
    <t>Amortering av avbetalningsskulder</t>
  </si>
  <si>
    <t>Amortering av kortfristiga lån</t>
  </si>
  <si>
    <t>Dividendutbetalning eller privatuttag</t>
  </si>
  <si>
    <t>Kumulativt under-/överskott</t>
  </si>
  <si>
    <t xml:space="preserve"> Omsättning</t>
  </si>
  <si>
    <t xml:space="preserve"> Omsättning/person</t>
  </si>
  <si>
    <t xml:space="preserve"> Personal</t>
  </si>
  <si>
    <t xml:space="preserve"> Investerad kapital</t>
  </si>
  <si>
    <t xml:space="preserve"> Driftsbidrag</t>
  </si>
  <si>
    <t xml:space="preserve"> Driftsbidrags-%</t>
  </si>
  <si>
    <t xml:space="preserve"> Periodens vinst</t>
  </si>
  <si>
    <t xml:space="preserve"> Periodens vinst-%</t>
  </si>
  <si>
    <t>Vitsord</t>
  </si>
  <si>
    <t xml:space="preserve"> Återbetalningstid för främmande kapital</t>
  </si>
  <si>
    <t xml:space="preserve"> Lånetäckningsgrad</t>
  </si>
  <si>
    <t>SOLIDITET</t>
  </si>
  <si>
    <t xml:space="preserve"> Obligatoriska personalkostnader</t>
  </si>
  <si>
    <t xml:space="preserve"> Alla personalkostnader / person </t>
  </si>
  <si>
    <t xml:space="preserve"> Bolagstillgångar</t>
  </si>
  <si>
    <t xml:space="preserve"> - Skulder</t>
  </si>
  <si>
    <t xml:space="preserve"> - Bankkonto</t>
  </si>
  <si>
    <t xml:space="preserve"> - Bostad ägt av företaget</t>
  </si>
  <si>
    <t xml:space="preserve"> Nettoförmögenhet</t>
  </si>
  <si>
    <t>Dividendens/privatuttagets andel av nettoförmögenheten</t>
  </si>
  <si>
    <t>Kundfordringar</t>
  </si>
  <si>
    <t>Övriga fordringar</t>
  </si>
  <si>
    <t>Leverantörsskulder</t>
  </si>
  <si>
    <t>Erhållna förskott</t>
  </si>
  <si>
    <t>Rörelsekapital</t>
  </si>
  <si>
    <t>Ökning/minskning av rörelsekapital</t>
  </si>
  <si>
    <t>T5 KASSABUDGET</t>
  </si>
  <si>
    <t>PROGNOSÅR</t>
  </si>
  <si>
    <t>Version 1 /dd.mm.åååå</t>
  </si>
  <si>
    <t>AFFÄRVERKSAMHETENS INTÄKTER</t>
  </si>
  <si>
    <t>Moms-%</t>
  </si>
  <si>
    <t>SLGT</t>
  </si>
  <si>
    <t xml:space="preserve"> Kontantbetalning, andel av försäljning</t>
  </si>
  <si>
    <t xml:space="preserve"> - månatlig försäljning</t>
  </si>
  <si>
    <t xml:space="preserve"> Fakturaförsäljning</t>
  </si>
  <si>
    <t xml:space="preserve"> - betalningsvillkor</t>
  </si>
  <si>
    <t>Dagar</t>
  </si>
  <si>
    <t xml:space="preserve"> Extraordinära intäkter, försäljning av inventarier</t>
  </si>
  <si>
    <t>AFFÄRVERKSAMHETENS UTGIFTER</t>
  </si>
  <si>
    <t xml:space="preserve"> Materialbruk och varor</t>
  </si>
  <si>
    <t xml:space="preserve"> Köpta tjänster</t>
  </si>
  <si>
    <t xml:space="preserve"> Övriga fasta kostnader inkl. Moms</t>
  </si>
  <si>
    <t xml:space="preserve"> Nettolöner </t>
  </si>
  <si>
    <t xml:space="preserve"> FöPL-utgifter, olycksfall- och arbetslöshetsförsäkr. utg.</t>
  </si>
  <si>
    <t xml:space="preserve"> Frivilliga pension- och personförsäkringsavgifter</t>
  </si>
  <si>
    <t xml:space="preserve"> Övriga fasta kostnader Moms 0 %</t>
  </si>
  <si>
    <t xml:space="preserve"> Finansieringskostnader</t>
  </si>
  <si>
    <t xml:space="preserve"> Skatter</t>
  </si>
  <si>
    <t xml:space="preserve"> Investeringar Moms 0 %</t>
  </si>
  <si>
    <t>AFFÄRVERKSAMHETENS UTGIFTER SLGT</t>
  </si>
  <si>
    <t>KAPITALFINANSIERING: INKOMSTER OCH UTGIFTER</t>
  </si>
  <si>
    <t xml:space="preserve"> Amortering av avbetalningsskulder </t>
  </si>
  <si>
    <t xml:space="preserve"> Lyft av lån och tillägg av avbetalningar </t>
  </si>
  <si>
    <t xml:space="preserve"> Dividender, privata uttag</t>
  </si>
  <si>
    <t>KAPITALFINANSIERING, NETTO</t>
  </si>
  <si>
    <t>INTÄKTER - UTGIFTER</t>
  </si>
  <si>
    <t>KUMALATIVT KASSA I SLUTET AV MÅNADEN</t>
  </si>
  <si>
    <t>Ansvar av programmets rättighet och resultatet</t>
  </si>
  <si>
    <t xml:space="preserve">Användaren är medveten, att programmet kan innehålla fel och ge felaktiga resultatet. </t>
  </si>
  <si>
    <t xml:space="preserve">Resultatet är riktningsgivande och användaren har eget ansvar om tolkning av resultatet. </t>
  </si>
  <si>
    <t>Slgt</t>
  </si>
  <si>
    <t>Ränta</t>
  </si>
  <si>
    <t>Lånets belopp</t>
  </si>
  <si>
    <t>Lånetid (år)</t>
  </si>
  <si>
    <t>Ränte-%</t>
  </si>
  <si>
    <t>Lyft</t>
  </si>
  <si>
    <t>Amort.</t>
  </si>
  <si>
    <t>Prognos år 1, lån 1</t>
  </si>
  <si>
    <t xml:space="preserve"> E1 VERKSAMHETSKOSTNADER</t>
  </si>
  <si>
    <t>LÖNER OCH ARVODER</t>
  </si>
  <si>
    <t>1.1 FöPL-företagarna</t>
  </si>
  <si>
    <t xml:space="preserve"> - FöPL-företagarnas penninglöner / månad brutto</t>
  </si>
  <si>
    <t xml:space="preserve"> - FöPL-företagarnas naturaförmåner / månad</t>
  </si>
  <si>
    <t xml:space="preserve"> - antalet lönebetalningsmånader</t>
  </si>
  <si>
    <t>1.2 Arbetstagarna med timlön  / ArPL-företagarna</t>
  </si>
  <si>
    <t xml:space="preserve"> -grundlön i medeltal i timme / person</t>
  </si>
  <si>
    <t xml:space="preserve"> - arbetstimmar / månad / person</t>
  </si>
  <si>
    <t xml:space="preserve"> - antalet personer</t>
  </si>
  <si>
    <t xml:space="preserve"> - antalet lönebetalningsmånader / person</t>
  </si>
  <si>
    <t xml:space="preserve"> - naturaförmåner sammanlagt i ett år </t>
  </si>
  <si>
    <t>1.3 Tjänstemän / ArPL-företagarna</t>
  </si>
  <si>
    <t xml:space="preserve"> - tjänstemänlöner i medeltal i månad / person</t>
  </si>
  <si>
    <t xml:space="preserve"> - antalet tjänstemän</t>
  </si>
  <si>
    <t>1.4 Erhållna försäkringsersättningar</t>
  </si>
  <si>
    <t>PERSONALBIKOSTNADER</t>
  </si>
  <si>
    <t xml:space="preserve"> 2.1 Pensionskostnader</t>
  </si>
  <si>
    <t xml:space="preserve"> - Arbetstagarens andel av ArPL-betalning</t>
  </si>
  <si>
    <t xml:space="preserve"> - Arbetsgivarens ArPL-betalningar</t>
  </si>
  <si>
    <t xml:space="preserve"> - FöPL-försäkringsprocent </t>
  </si>
  <si>
    <t xml:space="preserve"> - FöPL-avgifter</t>
  </si>
  <si>
    <t xml:space="preserve"> - frivilliga pensionsavgifter</t>
  </si>
  <si>
    <t xml:space="preserve">2.2 Övriga personalbikostnader </t>
  </si>
  <si>
    <t>2.3 FöPL-företagarnas socialförsäkringsavgift.</t>
  </si>
  <si>
    <t>2.4 FöPL-företagarnas livförsäkringsavgifter</t>
  </si>
  <si>
    <t xml:space="preserve">2.5 Övriga personförsäkringsavgifter </t>
  </si>
  <si>
    <t>PESONALKOSTNADER SAMMANLAGT</t>
  </si>
  <si>
    <t>3.1 Övriga personalkostnader</t>
  </si>
  <si>
    <t xml:space="preserve"> - utbildning av personal</t>
  </si>
  <si>
    <t xml:space="preserve"> - rekreations- och intresseverksamhet</t>
  </si>
  <si>
    <t xml:space="preserve"> - arbetshälsovård </t>
  </si>
  <si>
    <t xml:space="preserve"> - arbetskläder och skyddsmedel </t>
  </si>
  <si>
    <t xml:space="preserve"> - övriga frivilliga personalkostnader</t>
  </si>
  <si>
    <t xml:space="preserve"> - el och gas </t>
  </si>
  <si>
    <t xml:space="preserve"> - vatten och avloppsvatten</t>
  </si>
  <si>
    <t xml:space="preserve"> - värme </t>
  </si>
  <si>
    <t xml:space="preserve"> - avfallsservice</t>
  </si>
  <si>
    <t xml:space="preserve"> - hyra och vederlag i månaden</t>
  </si>
  <si>
    <t xml:space="preserve"> - betalningsmånader i ett år</t>
  </si>
  <si>
    <t xml:space="preserve"> - reparation av lokaler</t>
  </si>
  <si>
    <t xml:space="preserve"> - bevakning, övriga kostnader</t>
  </si>
  <si>
    <t xml:space="preserve"> - värdet på den egendom som skall brandförsäkras</t>
  </si>
  <si>
    <t xml:space="preserve"> - fastighetsskatt</t>
  </si>
  <si>
    <t xml:space="preserve"> - betalningsmånader under perioden</t>
  </si>
  <si>
    <t xml:space="preserve"> - leasingavtalen sammanlagt (Euro)</t>
  </si>
  <si>
    <t xml:space="preserve"> - leasingavtalens giltighetstid (månader)</t>
  </si>
  <si>
    <t xml:space="preserve"> - finansieringens ränte-%</t>
  </si>
  <si>
    <t xml:space="preserve"> - program och uppdatering </t>
  </si>
  <si>
    <t>3.5 Bilar/arbetsmaskiner, affärsbruk</t>
  </si>
  <si>
    <t xml:space="preserve"> - bränsle</t>
  </si>
  <si>
    <t xml:space="preserve"> - service och reparationer</t>
  </si>
  <si>
    <t xml:space="preserve"> - försäkrings-, besiktnings- och bruksavgifter etc.</t>
  </si>
  <si>
    <t xml:space="preserve"> - övriga maskinkostnader</t>
  </si>
  <si>
    <t xml:space="preserve"> - inventarieanskaffningar (brukstid &lt; 3 år) </t>
  </si>
  <si>
    <t xml:space="preserve"> - övriga maskin- och inventariekostnader</t>
  </si>
  <si>
    <t>3.7 Resekostnader</t>
  </si>
  <si>
    <t xml:space="preserve"> - resebiljetter och inkvarteringskostnader</t>
  </si>
  <si>
    <t xml:space="preserve"> - måltid under resan </t>
  </si>
  <si>
    <t xml:space="preserve"> - övriga resekostnader</t>
  </si>
  <si>
    <t xml:space="preserve">3.8 Reseersättningar </t>
  </si>
  <si>
    <t xml:space="preserve"> - dagtraktamenten, måltidsersättningar o.d.</t>
  </si>
  <si>
    <t xml:space="preserve"> - kilometerersättningar</t>
  </si>
  <si>
    <t>3.9 Representationskostnader</t>
  </si>
  <si>
    <r>
      <t xml:space="preserve">3.10 Försäljningskostnader </t>
    </r>
    <r>
      <rPr>
        <sz val="9"/>
        <rFont val="Arial"/>
        <family val="2"/>
      </rPr>
      <t>(mm. provisioner)</t>
    </r>
  </si>
  <si>
    <t xml:space="preserve"> - reklambyråtjänster</t>
  </si>
  <si>
    <t xml:space="preserve"> - direkt- och annonsreklam</t>
  </si>
  <si>
    <t xml:space="preserve"> - mässa, utställning, sales promotion</t>
  </si>
  <si>
    <t xml:space="preserve"> - övriga marknadsföringskostnader (bl.a. Gramex)</t>
  </si>
  <si>
    <t xml:space="preserve"> - produktutvecklings- och testningstjänster</t>
  </si>
  <si>
    <t xml:space="preserve"> - varumärken, patenten</t>
  </si>
  <si>
    <t xml:space="preserve"> - certifikaten och kvalitetsbetyg</t>
  </si>
  <si>
    <t xml:space="preserve"> - övriga utvecklingskostnader </t>
  </si>
  <si>
    <t xml:space="preserve">3.13 Administrationstjänster </t>
  </si>
  <si>
    <t xml:space="preserve"> - hyror av arbetskraft </t>
  </si>
  <si>
    <t xml:space="preserve"> - ekonomiförvaltningstjänster, revision</t>
  </si>
  <si>
    <t xml:space="preserve"> - övriga administrationskostnader</t>
  </si>
  <si>
    <t>3.14 Faktainsamling</t>
  </si>
  <si>
    <t xml:space="preserve"> - böcker, tidningar </t>
  </si>
  <si>
    <t xml:space="preserve"> - medlemsavgifter av Företagarförening o.d.</t>
  </si>
  <si>
    <t xml:space="preserve">3.15 Datakommunikation och penningrörelse </t>
  </si>
  <si>
    <t xml:space="preserve"> - dataöverföringskostnader </t>
  </si>
  <si>
    <t xml:space="preserve"> - post- och kurirkostnader</t>
  </si>
  <si>
    <t xml:space="preserve"> - kostnader av penningrörelse</t>
  </si>
  <si>
    <t>3.16 Försäkringar</t>
  </si>
  <si>
    <t xml:space="preserve"> - ansvarsförsäkringar</t>
  </si>
  <si>
    <t xml:space="preserve"> - sakförsäkringar, maskinskada mm.</t>
  </si>
  <si>
    <t xml:space="preserve"> - övriga försäkringar, avbrottsförsäkring</t>
  </si>
  <si>
    <t>3.17 Kontorstillbehör</t>
  </si>
  <si>
    <t>3.18 Mötes- och förhandlingskostnader</t>
  </si>
  <si>
    <t xml:space="preserve"> Övrig Moms 0 % utgift</t>
  </si>
  <si>
    <t>E2  HUR OMSÄTTNINGEN UPPSTÅR</t>
  </si>
  <si>
    <t>Omsättning</t>
  </si>
  <si>
    <t xml:space="preserve"> - försäljningsmängd i enheter </t>
  </si>
  <si>
    <t xml:space="preserve"> - faktureringspris/enhet Moms 0 %</t>
  </si>
  <si>
    <t>Prog. 1</t>
  </si>
  <si>
    <t>Prog. 2</t>
  </si>
  <si>
    <t>Prog. 3</t>
  </si>
  <si>
    <t>Prog. 4</t>
  </si>
  <si>
    <t>Ökning av aktiekapital</t>
  </si>
  <si>
    <t>Placering i SVOP-fonden</t>
  </si>
  <si>
    <t xml:space="preserve">  T2 RESULTATBUDGET</t>
  </si>
  <si>
    <t>Personalkostnader</t>
  </si>
  <si>
    <t>Skattebaserade reserveringar</t>
  </si>
  <si>
    <t>BALANS OCH FINANSIERINGSBUDGET</t>
  </si>
  <si>
    <t xml:space="preserve">1. Jord- och vattenområde </t>
  </si>
  <si>
    <t xml:space="preserve">4. Övriga immateriella nyttigheter </t>
  </si>
  <si>
    <t>1. Kundfordringar</t>
  </si>
  <si>
    <t xml:space="preserve">3. Övriga fordringar </t>
  </si>
  <si>
    <t>AKTIVA SAMMANLAGT</t>
  </si>
  <si>
    <t>4. Vinst/förlust av räkenskapsperioden</t>
  </si>
  <si>
    <t>5. Fond av investerad fritt eget kapital</t>
  </si>
  <si>
    <t>KUMULAT. BOKSLUTÖVERFÖRINGAR</t>
  </si>
  <si>
    <t>2. Kapitallån</t>
  </si>
  <si>
    <t>2. Kapital</t>
  </si>
  <si>
    <t>Omloppstid av leverantörsskulder (dagar)</t>
  </si>
  <si>
    <t>6. Erhållna försköt</t>
  </si>
  <si>
    <t>PASSIVA SAMMANLAGT</t>
  </si>
  <si>
    <t>Finansieringsresultat</t>
  </si>
  <si>
    <t>Ägarnas kapitalskot</t>
  </si>
  <si>
    <t>Upptagning av avbetalningsskulder</t>
  </si>
  <si>
    <t>Investeringar</t>
  </si>
  <si>
    <t>Förändring av rörelsekapital</t>
  </si>
  <si>
    <t>Förändring av övriga finansieringstillgångarna</t>
  </si>
  <si>
    <t>Kumulativt över-/underskott</t>
  </si>
  <si>
    <t>EKONOMISKA PARAMETRAR</t>
  </si>
  <si>
    <t>Investerad kapital</t>
  </si>
  <si>
    <t xml:space="preserve"> Avkastning på investerat kapital (%)</t>
  </si>
  <si>
    <t xml:space="preserve"> Skulder</t>
  </si>
  <si>
    <t>AFFÄRVERKASAMHETENS LÖNSAMHET</t>
  </si>
  <si>
    <t xml:space="preserve"> Återbetalningstid för främmande kapital (år)</t>
  </si>
  <si>
    <t xml:space="preserve"> Soliditet i procentar</t>
  </si>
  <si>
    <t xml:space="preserve"> Dividend till nettoförmögenhet eller Privata uttag</t>
  </si>
  <si>
    <t>21.</t>
  </si>
  <si>
    <t>22.</t>
  </si>
  <si>
    <t>Investering i bruk under räkenskapsperioden (månader)</t>
  </si>
  <si>
    <t>2. Skattebaserade reserveringar</t>
  </si>
  <si>
    <t xml:space="preserve"> Arbetsgivarprestationer till Skatteverket</t>
  </si>
  <si>
    <t>Avbetalning, pensionsförsäkringsbolagets lån</t>
  </si>
  <si>
    <t>Vähennetään leasingrahoitus T1:stä</t>
  </si>
  <si>
    <t xml:space="preserve"> - Poistettava kalusto </t>
  </si>
  <si>
    <t>Bidragen (punkter 1 - 7) utan bidrag av leasingfinansier.</t>
  </si>
  <si>
    <t>SVOP-återbetalning</t>
  </si>
  <si>
    <t>Amortering av kapitallån</t>
  </si>
  <si>
    <t>Övriga långfristiga lån, minskning</t>
  </si>
  <si>
    <t xml:space="preserve"> Leasing- och ja apparathyror, affärsbruk</t>
  </si>
  <si>
    <t xml:space="preserve"> - hyreskostnader, ej leasing</t>
  </si>
  <si>
    <t xml:space="preserve"> - apparatens restvärde-% i slutet av avtalet </t>
  </si>
  <si>
    <t>3.22 Köpta tjänster inkl. Moms</t>
  </si>
  <si>
    <t xml:space="preserve"> Lånevillkor:</t>
  </si>
  <si>
    <t>Ränta-%</t>
  </si>
  <si>
    <t xml:space="preserve"> Säkerhet</t>
  </si>
  <si>
    <t>Avbetalning</t>
  </si>
  <si>
    <t>Lån av försäkringsbolag</t>
  </si>
  <si>
    <t>Över-/underskott (7 - 25)</t>
  </si>
  <si>
    <t>3.20 Fordon- och maskinkostnader, privatbruk</t>
  </si>
  <si>
    <t>3.19 Övriga administrationskostnader</t>
  </si>
  <si>
    <t>23.</t>
  </si>
  <si>
    <t>24.</t>
  </si>
  <si>
    <t>Över-/underskott (7-22)</t>
  </si>
  <si>
    <t>NTM's bidrag, ökning av kapitallån, upptagning av placeringar, försäljning av egendom</t>
  </si>
  <si>
    <t xml:space="preserve"> Investeringar inkl. Moms</t>
  </si>
  <si>
    <t>ÖVIRIGA RÖRELSEKOSTNADER</t>
  </si>
  <si>
    <t xml:space="preserve"> - städning, rengöring, underhållning av uteområden </t>
  </si>
  <si>
    <t>Betalningstid</t>
  </si>
  <si>
    <t>Erhållna förskott, andel av omsättning (%)</t>
  </si>
  <si>
    <t>Långfristiga leverantörsskulder, minskning</t>
  </si>
  <si>
    <t xml:space="preserve"> ArPL-utgifter, obligatoriska arbetstagarförsäkringar</t>
  </si>
  <si>
    <t xml:space="preserve"> Hyror och vederlag inklusive Moms</t>
  </si>
  <si>
    <t xml:space="preserve"> Hyror och vederlag Moms 0 %</t>
  </si>
  <si>
    <t xml:space="preserve"> Moms-återbäring, upptagning av placeringar, övr. Moms 0% intäkter</t>
  </si>
  <si>
    <t xml:space="preserve">Maskiner och anläggningar Moms 0 % </t>
  </si>
  <si>
    <t xml:space="preserve">Övriga materiella nyttigheter inkl. Moms </t>
  </si>
  <si>
    <t xml:space="preserve">Immateriella nyttigheter </t>
  </si>
  <si>
    <t>Leasing för punkt 4. Maskiner och anläggn. inkl. Moms</t>
  </si>
  <si>
    <t>Leasing för punkt 5. Maskiner och anläggn. Moms 0 %</t>
  </si>
  <si>
    <t>3.21 Leasingkostnader investeringar Moms 0 %</t>
  </si>
  <si>
    <t>Bank</t>
  </si>
  <si>
    <t>Amortering av långfristiga lån av finansiärer</t>
  </si>
  <si>
    <t xml:space="preserve"> - materialbruk/anskaffningar i procentar</t>
  </si>
  <si>
    <t xml:space="preserve"> - materialbruk/anskaffningar</t>
  </si>
  <si>
    <t xml:space="preserve"> - arvo avustuksen jälkeen alv 0</t>
  </si>
  <si>
    <t>Fordringar, andel av omsättning (%)</t>
  </si>
  <si>
    <t>Balansen totalt</t>
  </si>
  <si>
    <t>Driftbidrags-%</t>
  </si>
  <si>
    <t>Leasingfinansiering</t>
  </si>
  <si>
    <t>Övriga rörelseintäkter, årlig ändrings-%</t>
  </si>
  <si>
    <t>Lånen som ska lyftas under 1. året</t>
  </si>
  <si>
    <t>Lånen som ska lyftas under 2. året</t>
  </si>
  <si>
    <t>Lånen som ska lyftas under 3. året</t>
  </si>
  <si>
    <t>Lånen som ska lyftas under 4. året</t>
  </si>
  <si>
    <t>Fordringar från intäkter enligt färdighetsgrad</t>
  </si>
  <si>
    <t xml:space="preserve"> Net Gearing (nettoskuldsättningsgrad)</t>
  </si>
  <si>
    <t>Omsättningstillgångar / omsättning (%)</t>
  </si>
  <si>
    <t xml:space="preserve"> Rörelseresultat (EBIT)</t>
  </si>
  <si>
    <t xml:space="preserve"> Rörelseresultats-%</t>
  </si>
  <si>
    <t>Omsättningstillgångar/omsättning (%)</t>
  </si>
  <si>
    <t>Resultatregleringar</t>
  </si>
  <si>
    <t>Förändring av rörelsekapitalet (rad 36)</t>
  </si>
  <si>
    <t xml:space="preserve">(Ej kapitallån) </t>
  </si>
  <si>
    <t xml:space="preserve">LÅNGFRISTIGA LÅN </t>
  </si>
  <si>
    <t xml:space="preserve">Upptagning av långfristiga lån </t>
  </si>
  <si>
    <t xml:space="preserve"> Amortering av lån</t>
  </si>
  <si>
    <t>25.</t>
  </si>
  <si>
    <t>26.</t>
  </si>
  <si>
    <t>27.</t>
  </si>
  <si>
    <t>28.</t>
  </si>
  <si>
    <t>29.</t>
  </si>
  <si>
    <t>30.</t>
  </si>
  <si>
    <t>31.</t>
  </si>
  <si>
    <t>32.</t>
  </si>
  <si>
    <t xml:space="preserve"> Leasingfinansiering, icke Moms-avdragbara </t>
  </si>
  <si>
    <t xml:space="preserve">
</t>
  </si>
  <si>
    <t xml:space="preserve">FT6 Det nya företagets resultatplan </t>
  </si>
  <si>
    <t xml:space="preserve"> Lånen som ska lyftas under 1. året</t>
  </si>
  <si>
    <t xml:space="preserve"> Prognos år 1, lån 1</t>
  </si>
  <si>
    <t xml:space="preserve"> Lånen som ska lyftas under 2. året</t>
  </si>
  <si>
    <t xml:space="preserve"> Lånen som ska lyftas under 3. året</t>
  </si>
  <si>
    <t xml:space="preserve"> Lånen som ska lyftas under 4. året</t>
  </si>
  <si>
    <t xml:space="preserve"> Långfristiga lån sammanlagt</t>
  </si>
  <si>
    <t xml:space="preserve"> Avbetalningslån, prognos år 1</t>
  </si>
  <si>
    <t xml:space="preserve"> Avbetalnings lån slgt</t>
  </si>
  <si>
    <t xml:space="preserve"> Kapitallån</t>
  </si>
  <si>
    <t xml:space="preserve"> TOTALT</t>
  </si>
  <si>
    <t xml:space="preserve"> Produkt/prestation 1 omsättning</t>
  </si>
  <si>
    <t xml:space="preserve"> Övrigt (frakt, förpackning osv.)</t>
  </si>
  <si>
    <t xml:space="preserve"> OMSÄTTNING</t>
  </si>
  <si>
    <t xml:space="preserve"> MATERIALBRUK</t>
  </si>
  <si>
    <t xml:space="preserve"> MATERIALBRUK - %</t>
  </si>
  <si>
    <t xml:space="preserve"> MOMS SLGT AV FÖRSÄLJNING</t>
  </si>
  <si>
    <t xml:space="preserve"> MOMS SLGT AV ANSKAFFNINGAR</t>
  </si>
  <si>
    <t>Ärlig andringsprocent</t>
  </si>
  <si>
    <t xml:space="preserve"> Pris</t>
  </si>
  <si>
    <t xml:space="preserve"> Enheter</t>
  </si>
  <si>
    <t xml:space="preserve"> TILLFÖRDA OCH DISPONERADE MEDEL </t>
  </si>
  <si>
    <t xml:space="preserve"> TILLFÖRDA MEDEL</t>
  </si>
  <si>
    <t xml:space="preserve"> DISPONERADE MEDEL</t>
  </si>
  <si>
    <t xml:space="preserve"> RÖRELSEKAPITAL</t>
  </si>
  <si>
    <t xml:space="preserve"> EKONOMISKA PARAMETRAR </t>
  </si>
  <si>
    <t xml:space="preserve"> AFFÄRSVERKSAMHETENS VOLYM </t>
  </si>
  <si>
    <t xml:space="preserve"> AFFÄRSVERKSAMHETENS LÖNSAMHET</t>
  </si>
  <si>
    <t xml:space="preserve"> LIKVIDITET</t>
  </si>
  <si>
    <t xml:space="preserve"> SOLIDITET</t>
  </si>
  <si>
    <t xml:space="preserve"> ÖVRIGA PARAMETRAR</t>
  </si>
  <si>
    <t xml:space="preserve"> NETTOFÖRMÖGENHETSKALKYL</t>
  </si>
  <si>
    <t>1/202X - 12/202Y</t>
  </si>
  <si>
    <t xml:space="preserve"> KASSA I BÖRJAN (utan investeringar)</t>
  </si>
  <si>
    <t xml:space="preserve"> INTÄKTER - UTGIFTER</t>
  </si>
  <si>
    <t xml:space="preserve"> KUMALATIVT KASSA I SLUTET AV MÅNADEN</t>
  </si>
  <si>
    <t>3.23 Hyror, vederlag, övr. kostnader Moms 0 %</t>
  </si>
  <si>
    <t xml:space="preserve"> Ägarnas ytterligare placeringar</t>
  </si>
  <si>
    <t xml:space="preserve"> Övriga kapitalinskott</t>
  </si>
  <si>
    <t xml:space="preserve"> Avkastning på investerat kapital (ROI)</t>
  </si>
  <si>
    <t xml:space="preserve"> - Arbetstagarens sjukdomsförsäkr.-, arbetslöshets-. och livförsäkringsavgift-%</t>
  </si>
  <si>
    <t xml:space="preserve"> - FöPL-företagarnas genomsnittlig skatteavdrags-%</t>
  </si>
  <si>
    <t xml:space="preserve"> - Genomsnittlig skatteavdrags-% för arbetstagargrupp 1.2</t>
  </si>
  <si>
    <t xml:space="preserve"> - Genomsnittlig skatteavdrags-% för arbetstagargrupp 1.3</t>
  </si>
  <si>
    <t>Skillnad</t>
  </si>
  <si>
    <t xml:space="preserve"> Förfallen moms</t>
  </si>
  <si>
    <t>Sijoitetun pääoman  tuoton laskenta</t>
  </si>
  <si>
    <t>Ennuste 1</t>
  </si>
  <si>
    <t>Nettotulos = Liiketulos+rahoitustuotot-rahoituskulut-verot</t>
  </si>
  <si>
    <t xml:space="preserve">Nettotulos =  </t>
  </si>
  <si>
    <t>Oma pääoma alussa</t>
  </si>
  <si>
    <t>Oma pääoma lopussa</t>
  </si>
  <si>
    <t>1. Oma pääoma keskimäärin</t>
  </si>
  <si>
    <t>Sijoitettu korollinen vieras pääoma alussa</t>
  </si>
  <si>
    <t>Sijoitettu korollinen vieras pääoma lopussa</t>
  </si>
  <si>
    <t>2. Sijoitettu korollinen vieras pääoma keskimäärin</t>
  </si>
  <si>
    <t>3. Sijoitettu pääoma keskimäärin (1 + 2)</t>
  </si>
  <si>
    <t>Net gearing - laskenta</t>
  </si>
  <si>
    <t>Korollinen vieras pääoma = Pirkäaikainen vieras pääoma pl. Saadut ennakot+korolliset lyhytaikaiset velat+Muut korolliset sisäiset velat</t>
  </si>
  <si>
    <t xml:space="preserve">Korollinen vieras pääoma = </t>
  </si>
  <si>
    <t>Rahat ja arvopaperit</t>
  </si>
  <si>
    <t xml:space="preserve">      PRISEN UTAN MERVÄRDESSKATT</t>
  </si>
  <si>
    <t xml:space="preserve"> - FöPL-arbetsinkomster slgt, alla FöPL-företagare</t>
  </si>
  <si>
    <t xml:space="preserve">Amortering av långfristiga lån </t>
  </si>
  <si>
    <t xml:space="preserve">YEL-henkilöt </t>
  </si>
  <si>
    <t>TyEL-työntekijät</t>
  </si>
  <si>
    <t>TyEL toimihenkilöt</t>
  </si>
  <si>
    <t>YHTEENSÄ</t>
  </si>
  <si>
    <t>Luontois-</t>
  </si>
  <si>
    <t>Ennustevuosi 1</t>
  </si>
  <si>
    <t>Ennustevuosi 2</t>
  </si>
  <si>
    <t xml:space="preserve">Ökning/minskning av övrigt kortfristigt främm. kapital           </t>
  </si>
  <si>
    <t xml:space="preserve"> - hyror och vederlag (affärsbruk)</t>
  </si>
  <si>
    <t xml:space="preserve"> KAPITALBEHOV (euro)</t>
  </si>
  <si>
    <t>FINANSIERING (euro)</t>
  </si>
  <si>
    <r>
      <rPr>
        <b/>
        <sz val="8"/>
        <color theme="0"/>
        <rFont val="Arial"/>
        <family val="2"/>
      </rPr>
      <t>Lånetid</t>
    </r>
    <r>
      <rPr>
        <sz val="8"/>
        <color theme="0"/>
        <rFont val="Arial"/>
        <family val="2"/>
      </rPr>
      <t xml:space="preserve"> (år)</t>
    </r>
  </si>
  <si>
    <r>
      <rPr>
        <b/>
        <sz val="8"/>
        <color theme="0"/>
        <rFont val="Arial"/>
        <family val="2"/>
      </rPr>
      <t xml:space="preserve">Lånets belopp   </t>
    </r>
    <r>
      <rPr>
        <sz val="8"/>
        <color theme="0"/>
        <rFont val="Arial"/>
        <family val="2"/>
      </rPr>
      <t xml:space="preserve"> (euro)</t>
    </r>
  </si>
  <si>
    <r>
      <t>PRIS MOMS 0 %</t>
    </r>
    <r>
      <rPr>
        <b/>
        <sz val="8"/>
        <color theme="0"/>
        <rFont val="Arial"/>
        <family val="2"/>
      </rPr>
      <t xml:space="preserve"> </t>
    </r>
  </si>
  <si>
    <r>
      <t xml:space="preserve">  KAPITALBEHOV </t>
    </r>
    <r>
      <rPr>
        <sz val="10"/>
        <color theme="0"/>
        <rFont val="Arial"/>
        <family val="2"/>
      </rPr>
      <t>(1000 euro)</t>
    </r>
  </si>
  <si>
    <t xml:space="preserve"> Förklaring</t>
  </si>
  <si>
    <r>
      <t xml:space="preserve">  FINANSIERING </t>
    </r>
    <r>
      <rPr>
        <sz val="10"/>
        <color theme="0"/>
        <rFont val="Arial"/>
        <family val="2"/>
      </rPr>
      <t>(1000 euro)</t>
    </r>
  </si>
  <si>
    <r>
      <t>LÅNGFRISTIGA LÅN</t>
    </r>
    <r>
      <rPr>
        <b/>
        <sz val="9"/>
        <color theme="0"/>
        <rFont val="Arial"/>
        <family val="2"/>
      </rPr>
      <t xml:space="preserve"> (Ej kapitallån)</t>
    </r>
  </si>
  <si>
    <t xml:space="preserve">   AFFÄRSVERKSAMHET SAMMANLAGT </t>
  </si>
  <si>
    <t>D.</t>
  </si>
  <si>
    <t>C.</t>
  </si>
  <si>
    <t>OMSÄTTNING/PERSON euro</t>
  </si>
  <si>
    <t xml:space="preserve"> EKONOMISKA PARAMETRAR</t>
  </si>
  <si>
    <r>
      <t xml:space="preserve">BALANS AKTIVA </t>
    </r>
    <r>
      <rPr>
        <sz val="10"/>
        <color theme="0"/>
        <rFont val="Arial"/>
        <family val="2"/>
      </rPr>
      <t>(1000 euro)</t>
    </r>
  </si>
  <si>
    <r>
      <t xml:space="preserve">BALANS PASSIVA </t>
    </r>
    <r>
      <rPr>
        <sz val="10"/>
        <color theme="0"/>
        <rFont val="Arial"/>
        <family val="2"/>
      </rPr>
      <t>(1000 euro)</t>
    </r>
  </si>
  <si>
    <r>
      <t xml:space="preserve">T4 FINANSIERINGSBUDGET </t>
    </r>
    <r>
      <rPr>
        <sz val="9"/>
        <color theme="0"/>
        <rFont val="Arial"/>
        <family val="2"/>
      </rPr>
      <t>(1000 euro)</t>
    </r>
  </si>
  <si>
    <r>
      <t>T4 FINANSIERINGSBUDGET  / RÖRELSEKAPITAL</t>
    </r>
    <r>
      <rPr>
        <b/>
        <sz val="9"/>
        <color theme="0"/>
        <rFont val="Arial"/>
        <family val="2"/>
      </rPr>
      <t xml:space="preserve"> </t>
    </r>
    <r>
      <rPr>
        <sz val="9"/>
        <color theme="0"/>
        <rFont val="Arial"/>
        <family val="2"/>
      </rPr>
      <t>(1000 euro)</t>
    </r>
  </si>
  <si>
    <r>
      <t xml:space="preserve">T7  LÅN </t>
    </r>
    <r>
      <rPr>
        <sz val="9"/>
        <rFont val="Arial"/>
        <family val="2"/>
      </rPr>
      <t>(1000 euro)</t>
    </r>
  </si>
  <si>
    <t>T7  LÅN</t>
  </si>
  <si>
    <t xml:space="preserve">euro </t>
  </si>
  <si>
    <t>euro</t>
  </si>
  <si>
    <t>jan</t>
  </si>
  <si>
    <t>feb</t>
  </si>
  <si>
    <t>mars</t>
  </si>
  <si>
    <t>april</t>
  </si>
  <si>
    <t>maj</t>
  </si>
  <si>
    <t>juni</t>
  </si>
  <si>
    <t>juli</t>
  </si>
  <si>
    <t>aug</t>
  </si>
  <si>
    <t>sep</t>
  </si>
  <si>
    <t>okt</t>
  </si>
  <si>
    <t>nov</t>
  </si>
  <si>
    <t>dec</t>
  </si>
  <si>
    <t>Tyontekijän</t>
  </si>
  <si>
    <t>maksut</t>
  </si>
  <si>
    <t xml:space="preserve"> - datorutrustninghyror, programhyror</t>
  </si>
  <si>
    <t xml:space="preserve"> - dator och datorutrustning (brukstid &lt; 3 år)</t>
  </si>
  <si>
    <t xml:space="preserve"> - övriga datorutrustning kostnader </t>
  </si>
  <si>
    <t>3.6 Övriga maskiner och apparatur</t>
  </si>
  <si>
    <t>3.2 Affärslokaler</t>
  </si>
  <si>
    <t>3.11 Marknadsförings</t>
  </si>
  <si>
    <t>3.12 Forsknings och produktutvecklings</t>
  </si>
  <si>
    <t xml:space="preserve"> - apparatens restvärde (euro)</t>
  </si>
  <si>
    <t xml:space="preserve"> - TV-, radio- och internetreklam</t>
  </si>
  <si>
    <t>3.3 Fordons affärsbruk, leasingkostnader</t>
  </si>
  <si>
    <t>3.4 Datorutrustning och datorprogram</t>
  </si>
  <si>
    <t xml:space="preserve"> Prognos år 2, lån 1 </t>
  </si>
  <si>
    <t xml:space="preserve"> Prognos år 3, lån 1</t>
  </si>
  <si>
    <t xml:space="preserve"> Prognos år 4, lån 1</t>
  </si>
  <si>
    <t>T1 INVESTERINGSPLAN</t>
  </si>
  <si>
    <t>Målutgifter under perioden inkl. Moms</t>
  </si>
  <si>
    <t>Mål för perioden</t>
  </si>
  <si>
    <t xml:space="preserve">Nybyggnation, renovering inkl. Moms </t>
  </si>
  <si>
    <t>Byggd fastighet eller konstruktion</t>
  </si>
  <si>
    <t>Jordområden, anslutningar mm.</t>
  </si>
  <si>
    <t>Aktier för affärsverksamhet, t.ex. affärslokal</t>
  </si>
  <si>
    <t xml:space="preserve">Byggnader och konstruktioner </t>
  </si>
  <si>
    <t>Jord- och vattenområden, anslutningar</t>
  </si>
  <si>
    <t xml:space="preserve"> Långfristiga lån, utan     skuldebrev</t>
  </si>
  <si>
    <t xml:space="preserve"> - lag- och konsulttjänster, officiella avgifter och tillstånd</t>
  </si>
  <si>
    <t xml:space="preserve"> - telefon och internet</t>
  </si>
  <si>
    <t xml:space="preserve"> Räntan för kortfristiga lån</t>
  </si>
  <si>
    <t xml:space="preserve"> Expeditionsavgifter, garantiprovisioner, ränta på leverantörskulden</t>
  </si>
  <si>
    <t xml:space="preserve"> FÖRSÄLJNINGSFORDRINGAR FRÅN FÖREGÅENDE PERIOD.</t>
  </si>
  <si>
    <t>IFYLLNADSDIREKTIV</t>
  </si>
  <si>
    <t>Omsättningstillgångar vid företagsförvärv, varulager i början</t>
  </si>
  <si>
    <t>15.,</t>
  </si>
  <si>
    <t xml:space="preserve"> Varulagret vid företagsförvärv eller i början</t>
  </si>
  <si>
    <t>Placeringar, aktier för affärsverksamhet, t.ex. affärslokal</t>
  </si>
  <si>
    <t>Materialförbrukning under räkenskapsperioden</t>
  </si>
  <si>
    <t>Omsättningstillg. vid företagsförvärv och i början</t>
  </si>
  <si>
    <t xml:space="preserve"> Skulder till leverantörer, betalningsvillkor</t>
  </si>
  <si>
    <t>Ostovelat edell. tilikausi</t>
  </si>
  <si>
    <t>Toteutunut maksuaika pv</t>
  </si>
  <si>
    <t xml:space="preserve">Ostovelat/pv  </t>
  </si>
  <si>
    <t xml:space="preserve">Anteckningar </t>
  </si>
  <si>
    <t>Version: 12.3.2024</t>
  </si>
  <si>
    <t>Tjänsten erbjuds av: Dynamo Närpes och Kristinestads näringslivscentral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</si>
</sst>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0\ &quot;€&quot;;[Red]\-#,##0\ &quot;€&quot;"/>
    <numFmt numFmtId="164" formatCode="0.0\ %"/>
    <numFmt numFmtId="165" formatCode="#,##0_ ;[Red]\-#,##0\ "/>
    <numFmt numFmtId="166" formatCode="0.0"/>
    <numFmt numFmtId="167" formatCode="#,##0.0"/>
    <numFmt numFmtId="168" formatCode="#,##0\ &quot;€&quot;"/>
    <numFmt numFmtId="169" formatCode="#,##0.000"/>
    <numFmt numFmtId="170" formatCode="d\.m\.yyyy;@"/>
    <numFmt numFmtId="171" formatCode="[$-40B]mmmm\ yy;@"/>
    <numFmt numFmtId="172" formatCode="#,##0.0\ _€"/>
    <numFmt numFmtId="173" formatCode="#,##0\ _€"/>
  </numFmts>
  <fonts count="85">
    <font>
      <sz val="10"/>
      <name val="Arial"/>
    </font>
    <font>
      <sz val="10"/>
      <color theme="1"/>
      <name val="Arial"/>
      <family val="2"/>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b/>
      <sz val="10"/>
      <color indexed="10"/>
      <name val="Arial"/>
      <family val="2"/>
    </font>
    <font>
      <b/>
      <sz val="9"/>
      <name val="Arial"/>
      <family val="2"/>
    </font>
    <font>
      <sz val="9"/>
      <name val="Arial"/>
      <family val="2"/>
    </font>
    <font>
      <sz val="9"/>
      <color indexed="81"/>
      <name val="Tahoma"/>
      <family val="2"/>
    </font>
    <font>
      <b/>
      <sz val="9"/>
      <color indexed="81"/>
      <name val="Tahoma"/>
      <family val="2"/>
    </font>
    <font>
      <i/>
      <sz val="8"/>
      <name val="Arial"/>
      <family val="2"/>
    </font>
    <font>
      <sz val="10"/>
      <color indexed="30"/>
      <name val="Arial"/>
      <family val="2"/>
    </font>
    <font>
      <b/>
      <u/>
      <sz val="10"/>
      <name val="Arial"/>
      <family val="2"/>
    </font>
    <font>
      <u/>
      <sz val="10"/>
      <name val="Arial"/>
      <family val="2"/>
    </font>
    <font>
      <b/>
      <i/>
      <sz val="10"/>
      <name val="Arial"/>
      <family val="2"/>
    </font>
    <font>
      <sz val="12"/>
      <name val="Arial"/>
      <family val="2"/>
    </font>
    <font>
      <b/>
      <sz val="14"/>
      <name val="Arial"/>
      <family val="2"/>
    </font>
    <font>
      <b/>
      <sz val="11"/>
      <name val="Arial"/>
      <family val="2"/>
    </font>
    <font>
      <sz val="11"/>
      <name val="Arial"/>
      <family val="2"/>
    </font>
    <font>
      <i/>
      <sz val="10"/>
      <name val="Arial"/>
      <family val="2"/>
    </font>
    <font>
      <sz val="16"/>
      <name val="Arial"/>
      <family val="2"/>
    </font>
    <font>
      <i/>
      <sz val="12"/>
      <color indexed="18"/>
      <name val="Arial"/>
      <family val="2"/>
    </font>
    <font>
      <sz val="11"/>
      <color indexed="18"/>
      <name val="Arial"/>
      <family val="2"/>
    </font>
    <font>
      <sz val="9"/>
      <color indexed="18"/>
      <name val="Arial"/>
      <family val="2"/>
    </font>
    <font>
      <b/>
      <i/>
      <sz val="10"/>
      <name val="Verdana"/>
      <family val="2"/>
    </font>
    <font>
      <b/>
      <sz val="8"/>
      <name val="Verdana"/>
      <family val="2"/>
    </font>
    <font>
      <b/>
      <sz val="10"/>
      <name val="Tahoma"/>
      <family val="2"/>
    </font>
    <font>
      <b/>
      <sz val="9"/>
      <color indexed="18"/>
      <name val="Arial"/>
      <family val="2"/>
    </font>
    <font>
      <b/>
      <i/>
      <sz val="8"/>
      <name val="Verdana"/>
      <family val="2"/>
    </font>
    <font>
      <sz val="9"/>
      <color indexed="10"/>
      <name val="Arial"/>
      <family val="2"/>
    </font>
    <font>
      <b/>
      <i/>
      <sz val="9"/>
      <name val="Arial"/>
      <family val="2"/>
    </font>
    <font>
      <b/>
      <u/>
      <sz val="8"/>
      <name val="Arial"/>
      <family val="2"/>
    </font>
    <font>
      <u/>
      <sz val="9"/>
      <name val="Arial"/>
      <family val="2"/>
    </font>
    <font>
      <b/>
      <sz val="10"/>
      <color rgb="FFFF0000"/>
      <name val="Arial"/>
      <family val="2"/>
    </font>
    <font>
      <i/>
      <sz val="9"/>
      <color rgb="FF000080"/>
      <name val="Arial"/>
      <family val="2"/>
    </font>
    <font>
      <sz val="9"/>
      <color rgb="FF000080"/>
      <name val="Arial"/>
      <family val="2"/>
    </font>
    <font>
      <sz val="9"/>
      <color rgb="FF000066"/>
      <name val="Arial"/>
      <family val="2"/>
    </font>
    <font>
      <sz val="10"/>
      <color rgb="FF000066"/>
      <name val="Arial"/>
      <family val="2"/>
    </font>
    <font>
      <b/>
      <sz val="9"/>
      <color rgb="FF000080"/>
      <name val="Arial"/>
      <family val="2"/>
    </font>
    <font>
      <b/>
      <sz val="9"/>
      <color rgb="FF000066"/>
      <name val="Arial"/>
      <family val="2"/>
    </font>
    <font>
      <sz val="9"/>
      <color theme="1"/>
      <name val="Arial"/>
      <family val="2"/>
    </font>
    <font>
      <b/>
      <sz val="10"/>
      <color theme="1"/>
      <name val="Arial"/>
      <family val="2"/>
    </font>
    <font>
      <sz val="10"/>
      <color theme="1"/>
      <name val="Arial"/>
      <family val="2"/>
    </font>
    <font>
      <i/>
      <sz val="8"/>
      <color rgb="FF000080"/>
      <name val="Arial"/>
      <family val="2"/>
    </font>
    <font>
      <i/>
      <sz val="8"/>
      <color rgb="FF002060"/>
      <name val="Arial"/>
      <family val="2"/>
    </font>
    <font>
      <u/>
      <sz val="10"/>
      <color rgb="FFFF0000"/>
      <name val="Arial"/>
      <family val="2"/>
    </font>
    <font>
      <sz val="10"/>
      <color rgb="FFFF0000"/>
      <name val="Arial"/>
      <family val="2"/>
    </font>
    <font>
      <u/>
      <sz val="9"/>
      <color rgb="FFFF0000"/>
      <name val="Arial"/>
      <family val="2"/>
    </font>
    <font>
      <sz val="9"/>
      <color rgb="FFFF0000"/>
      <name val="Arial"/>
      <family val="2"/>
    </font>
    <font>
      <i/>
      <sz val="8"/>
      <color theme="3"/>
      <name val="Arial"/>
      <family val="2"/>
    </font>
    <font>
      <b/>
      <sz val="9"/>
      <color rgb="FFFF0000"/>
      <name val="Arial"/>
      <family val="2"/>
    </font>
    <font>
      <b/>
      <sz val="10"/>
      <color theme="3"/>
      <name val="Arial"/>
      <family val="2"/>
    </font>
    <font>
      <sz val="8"/>
      <color rgb="FFFF0000"/>
      <name val="Arial"/>
      <family val="2"/>
    </font>
    <font>
      <b/>
      <sz val="9"/>
      <color rgb="FF404040"/>
      <name val="Arial"/>
      <family val="2"/>
    </font>
    <font>
      <b/>
      <i/>
      <sz val="12"/>
      <color theme="0"/>
      <name val="Arial"/>
      <family val="2"/>
    </font>
    <font>
      <sz val="8"/>
      <color rgb="FF000066"/>
      <name val="Arial"/>
      <family val="2"/>
    </font>
    <font>
      <sz val="10"/>
      <color indexed="81"/>
      <name val="Tahoma"/>
      <family val="2"/>
    </font>
    <font>
      <b/>
      <i/>
      <sz val="10"/>
      <color indexed="81"/>
      <name val="Tahoma"/>
      <family val="2"/>
    </font>
    <font>
      <b/>
      <sz val="10"/>
      <color indexed="81"/>
      <name val="Tahoma"/>
      <family val="2"/>
    </font>
    <font>
      <i/>
      <sz val="10"/>
      <color indexed="81"/>
      <name val="Tahoma"/>
      <family val="2"/>
    </font>
    <font>
      <b/>
      <sz val="10"/>
      <color indexed="10"/>
      <name val="Tahoma"/>
      <family val="2"/>
    </font>
    <font>
      <b/>
      <u/>
      <sz val="10"/>
      <color indexed="81"/>
      <name val="Tahoma"/>
      <family val="2"/>
    </font>
    <font>
      <i/>
      <sz val="9"/>
      <color rgb="FF002060"/>
      <name val="Arial"/>
      <family val="2"/>
    </font>
    <font>
      <b/>
      <sz val="8"/>
      <color theme="0"/>
      <name val="Arial"/>
      <family val="2"/>
    </font>
    <font>
      <b/>
      <sz val="9"/>
      <color theme="1"/>
      <name val="Arial"/>
      <family val="2"/>
    </font>
    <font>
      <b/>
      <sz val="8"/>
      <color rgb="FF000066"/>
      <name val="Arial"/>
      <family val="2"/>
    </font>
    <font>
      <b/>
      <i/>
      <sz val="8"/>
      <color rgb="FF000080"/>
      <name val="Arial"/>
      <family val="2"/>
    </font>
    <font>
      <b/>
      <sz val="10"/>
      <color theme="0"/>
      <name val="Arial"/>
      <family val="2"/>
    </font>
    <font>
      <sz val="10"/>
      <color theme="0"/>
      <name val="Arial"/>
      <family val="2"/>
    </font>
    <font>
      <b/>
      <sz val="11"/>
      <color theme="0"/>
      <name val="Arial"/>
      <family val="2"/>
    </font>
    <font>
      <b/>
      <sz val="9"/>
      <color theme="0"/>
      <name val="Arial"/>
      <family val="2"/>
    </font>
    <font>
      <sz val="9"/>
      <color theme="0"/>
      <name val="Arial"/>
      <family val="2"/>
    </font>
    <font>
      <sz val="8"/>
      <color theme="0"/>
      <name val="Arial"/>
      <family val="2"/>
    </font>
    <font>
      <sz val="11"/>
      <color theme="0"/>
      <name val="Arial"/>
      <family val="2"/>
    </font>
    <font>
      <b/>
      <i/>
      <sz val="8"/>
      <color theme="0"/>
      <name val="Arial"/>
      <family val="2"/>
    </font>
    <font>
      <b/>
      <sz val="12"/>
      <color theme="0"/>
      <name val="Arial"/>
      <family val="2"/>
    </font>
    <font>
      <b/>
      <i/>
      <sz val="8"/>
      <color theme="1"/>
      <name val="Arial"/>
      <family val="2"/>
    </font>
    <font>
      <u/>
      <sz val="10"/>
      <color theme="10"/>
      <name val="Arial"/>
      <family val="2"/>
    </font>
    <font>
      <i/>
      <sz val="8"/>
      <color theme="1"/>
      <name val="Arial"/>
      <family val="2"/>
    </font>
    <font>
      <b/>
      <sz val="12"/>
      <color indexed="81"/>
      <name val="Tahoma"/>
      <family val="2"/>
    </font>
    <font>
      <sz val="12"/>
      <color indexed="81"/>
      <name val="Tahoma"/>
      <family val="2"/>
    </font>
  </fonts>
  <fills count="16">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2"/>
        <bgColor indexed="64"/>
      </patternFill>
    </fill>
    <fill>
      <patternFill patternType="solid">
        <fgColor theme="9" tint="0.59999389629810485"/>
        <bgColor indexed="64"/>
      </patternFill>
    </fill>
    <fill>
      <patternFill patternType="solid">
        <fgColor rgb="FF0152A1"/>
        <bgColor indexed="64"/>
      </patternFill>
    </fill>
    <fill>
      <patternFill patternType="solid">
        <fgColor rgb="FFFFC000"/>
        <bgColor indexed="64"/>
      </patternFill>
    </fill>
    <fill>
      <patternFill patternType="solid">
        <fgColor theme="0" tint="-0.14996795556505021"/>
        <bgColor indexed="64"/>
      </patternFill>
    </fill>
  </fills>
  <borders count="266">
    <border>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theme="3" tint="0.59996337778862885"/>
      </bottom>
      <diagonal/>
    </border>
    <border>
      <left style="thin">
        <color indexed="64"/>
      </left>
      <right style="thin">
        <color indexed="64"/>
      </right>
      <top style="thin">
        <color theme="4" tint="0.39994506668294322"/>
      </top>
      <bottom style="thin">
        <color theme="4" tint="0.39994506668294322"/>
      </bottom>
      <diagonal/>
    </border>
    <border>
      <left/>
      <right style="thin">
        <color theme="0" tint="-0.34998626667073579"/>
      </right>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medium">
        <color theme="0" tint="-0.34998626667073579"/>
      </left>
      <right/>
      <top style="medium">
        <color theme="0" tint="-0.34998626667073579"/>
      </top>
      <bottom/>
      <diagonal/>
    </border>
    <border>
      <left/>
      <right style="medium">
        <color theme="0" tint="-0.34998626667073579"/>
      </right>
      <top style="medium">
        <color theme="0" tint="-0.34998626667073579"/>
      </top>
      <bottom/>
      <diagonal/>
    </border>
    <border>
      <left/>
      <right/>
      <top style="medium">
        <color theme="0" tint="-0.34998626667073579"/>
      </top>
      <bottom/>
      <diagonal/>
    </border>
    <border>
      <left style="medium">
        <color theme="0" tint="-0.34998626667073579"/>
      </left>
      <right/>
      <top/>
      <bottom style="medium">
        <color theme="0" tint="-0.34998626667073579"/>
      </bottom>
      <diagonal/>
    </border>
    <border>
      <left/>
      <right style="thin">
        <color theme="0" tint="-0.34998626667073579"/>
      </right>
      <top/>
      <bottom style="medium">
        <color theme="0" tint="-0.34998626667073579"/>
      </bottom>
      <diagonal/>
    </border>
    <border>
      <left style="thin">
        <color theme="0" tint="-0.34998626667073579"/>
      </left>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right style="medium">
        <color theme="0" tint="-0.34998626667073579"/>
      </right>
      <top/>
      <bottom style="medium">
        <color theme="0" tint="-0.34998626667073579"/>
      </bottom>
      <diagonal/>
    </border>
    <border>
      <left/>
      <right/>
      <top/>
      <bottom style="medium">
        <color theme="0" tint="-0.34998626667073579"/>
      </bottom>
      <diagonal/>
    </border>
    <border>
      <left style="thin">
        <color theme="0" tint="-0.34998626667073579"/>
      </left>
      <right/>
      <top/>
      <bottom/>
      <diagonal/>
    </border>
    <border>
      <left style="medium">
        <color theme="0" tint="-0.34998626667073579"/>
      </left>
      <right/>
      <top/>
      <bottom/>
      <diagonal/>
    </border>
    <border>
      <left/>
      <right style="thin">
        <color theme="0" tint="-0.34998626667073579"/>
      </right>
      <top style="dashed">
        <color theme="0" tint="-0.34998626667073579"/>
      </top>
      <bottom style="dashed">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medium">
        <color theme="0" tint="-0.34998626667073579"/>
      </right>
      <top/>
      <bottom/>
      <diagonal/>
    </border>
    <border>
      <left/>
      <right style="thin">
        <color indexed="64"/>
      </right>
      <top style="medium">
        <color theme="0" tint="-0.34998626667073579"/>
      </top>
      <bottom/>
      <diagonal/>
    </border>
    <border>
      <left style="thin">
        <color indexed="64"/>
      </left>
      <right style="thin">
        <color indexed="64"/>
      </right>
      <top style="medium">
        <color theme="0" tint="-0.34998626667073579"/>
      </top>
      <bottom/>
      <diagonal/>
    </border>
    <border>
      <left/>
      <right style="thin">
        <color indexed="64"/>
      </right>
      <top/>
      <bottom style="medium">
        <color theme="0" tint="-0.34998626667073579"/>
      </bottom>
      <diagonal/>
    </border>
    <border>
      <left style="medium">
        <color theme="0" tint="-0.24994659260841701"/>
      </left>
      <right/>
      <top/>
      <bottom style="medium">
        <color theme="0" tint="-0.24994659260841701"/>
      </bottom>
      <diagonal/>
    </border>
    <border>
      <left style="thin">
        <color theme="0" tint="-0.34998626667073579"/>
      </left>
      <right style="thin">
        <color theme="0" tint="-0.34998626667073579"/>
      </right>
      <top/>
      <bottom/>
      <diagonal/>
    </border>
    <border>
      <left style="thin">
        <color theme="0" tint="-0.24994659260841701"/>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34998626667073579"/>
      </right>
      <top style="dashed">
        <color theme="0" tint="-0.34998626667073579"/>
      </top>
      <bottom style="dashed">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dashed">
        <color theme="0" tint="-0.34998626667073579"/>
      </top>
      <bottom style="dashed">
        <color theme="0" tint="-0.34998626667073579"/>
      </bottom>
      <diagonal/>
    </border>
    <border>
      <left/>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34998626667073579"/>
      </right>
      <top style="thin">
        <color theme="0" tint="-0.34998626667073579"/>
      </top>
      <bottom style="thin">
        <color theme="0" tint="-0.34998626667073579"/>
      </bottom>
      <diagonal/>
    </border>
    <border>
      <left/>
      <right style="thin">
        <color theme="0" tint="-0.24994659260841701"/>
      </right>
      <top/>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top/>
      <bottom style="dashed">
        <color theme="0" tint="-0.34998626667073579"/>
      </bottom>
      <diagonal/>
    </border>
    <border>
      <left/>
      <right style="thin">
        <color theme="0" tint="-0.24994659260841701"/>
      </right>
      <top style="dashed">
        <color theme="0" tint="-0.34998626667073579"/>
      </top>
      <bottom style="dashed">
        <color theme="0" tint="-0.34998626667073579"/>
      </bottom>
      <diagonal/>
    </border>
    <border>
      <left style="thin">
        <color indexed="64"/>
      </left>
      <right style="thin">
        <color indexed="64"/>
      </right>
      <top style="medium">
        <color theme="0" tint="-0.34998626667073579"/>
      </top>
      <bottom style="thin">
        <color indexed="64"/>
      </bottom>
      <diagonal/>
    </border>
    <border>
      <left style="thin">
        <color indexed="64"/>
      </left>
      <right style="medium">
        <color theme="0" tint="-0.34998626667073579"/>
      </right>
      <top style="medium">
        <color theme="0" tint="-0.34998626667073579"/>
      </top>
      <bottom style="thin">
        <color indexed="64"/>
      </bottom>
      <diagonal/>
    </border>
    <border>
      <left style="thin">
        <color indexed="64"/>
      </left>
      <right style="medium">
        <color theme="0" tint="-0.34998626667073579"/>
      </right>
      <top style="thin">
        <color indexed="64"/>
      </top>
      <bottom style="thin">
        <color indexed="64"/>
      </bottom>
      <diagonal/>
    </border>
    <border>
      <left style="thin">
        <color indexed="64"/>
      </left>
      <right style="thin">
        <color indexed="64"/>
      </right>
      <top style="thin">
        <color indexed="64"/>
      </top>
      <bottom style="medium">
        <color theme="0" tint="-0.34998626667073579"/>
      </bottom>
      <diagonal/>
    </border>
    <border>
      <left style="thin">
        <color indexed="64"/>
      </left>
      <right/>
      <top style="thin">
        <color indexed="64"/>
      </top>
      <bottom style="medium">
        <color theme="0" tint="-0.34998626667073579"/>
      </bottom>
      <diagonal/>
    </border>
    <border>
      <left style="thin">
        <color indexed="64"/>
      </left>
      <right style="medium">
        <color theme="0" tint="-0.34998626667073579"/>
      </right>
      <top style="thin">
        <color indexed="64"/>
      </top>
      <bottom style="medium">
        <color theme="0" tint="-0.34998626667073579"/>
      </bottom>
      <diagonal/>
    </border>
    <border>
      <left style="thin">
        <color indexed="64"/>
      </left>
      <right style="medium">
        <color theme="0" tint="-0.34998626667073579"/>
      </right>
      <top/>
      <bottom style="thin">
        <color indexed="64"/>
      </bottom>
      <diagonal/>
    </border>
    <border>
      <left style="thin">
        <color indexed="64"/>
      </left>
      <right style="thin">
        <color indexed="64"/>
      </right>
      <top/>
      <bottom style="medium">
        <color theme="0" tint="-0.34998626667073579"/>
      </bottom>
      <diagonal/>
    </border>
    <border>
      <left style="thin">
        <color indexed="64"/>
      </left>
      <right style="medium">
        <color theme="0" tint="-0.34998626667073579"/>
      </right>
      <top/>
      <bottom style="medium">
        <color theme="0" tint="-0.34998626667073579"/>
      </bottom>
      <diagonal/>
    </border>
    <border>
      <left style="thin">
        <color indexed="64"/>
      </left>
      <right style="medium">
        <color theme="0" tint="-0.34998626667073579"/>
      </right>
      <top style="thin">
        <color indexed="64"/>
      </top>
      <bottom style="medium">
        <color indexed="64"/>
      </bottom>
      <diagonal/>
    </border>
    <border>
      <left/>
      <right/>
      <top style="medium">
        <color theme="0" tint="-0.34998626667073579"/>
      </top>
      <bottom style="thin">
        <color indexed="64"/>
      </bottom>
      <diagonal/>
    </border>
    <border>
      <left/>
      <right style="medium">
        <color theme="0" tint="-0.34998626667073579"/>
      </right>
      <top style="medium">
        <color theme="0" tint="-0.34998626667073579"/>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dashed">
        <color indexed="64"/>
      </top>
      <bottom/>
      <diagonal/>
    </border>
    <border>
      <left/>
      <right style="thin">
        <color indexed="64"/>
      </right>
      <top style="dashed">
        <color indexed="64"/>
      </top>
      <bottom/>
      <diagonal/>
    </border>
    <border>
      <left style="medium">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theme="0" tint="-0.34998626667073579"/>
      </left>
      <right/>
      <top style="thin">
        <color theme="0" tint="-0.34998626667073579"/>
      </top>
      <bottom/>
      <diagonal/>
    </border>
    <border>
      <left/>
      <right style="thin">
        <color indexed="64"/>
      </right>
      <top style="dashed">
        <color theme="0" tint="-0.34998626667073579"/>
      </top>
      <bottom style="dashed">
        <color theme="0" tint="-0.34998626667073579"/>
      </bottom>
      <diagonal/>
    </border>
    <border>
      <left/>
      <right style="thin">
        <color indexed="64"/>
      </right>
      <top/>
      <bottom style="dashed">
        <color indexed="64"/>
      </bottom>
      <diagonal/>
    </border>
    <border>
      <left style="medium">
        <color indexed="64"/>
      </left>
      <right/>
      <top style="dotted">
        <color indexed="64"/>
      </top>
      <bottom/>
      <diagonal/>
    </border>
    <border>
      <left/>
      <right/>
      <top style="thin">
        <color theme="0" tint="-0.34998626667073579"/>
      </top>
      <bottom style="dashed">
        <color theme="0" tint="-0.34998626667073579"/>
      </bottom>
      <diagonal/>
    </border>
    <border>
      <left style="thin">
        <color indexed="64"/>
      </left>
      <right style="medium">
        <color theme="0" tint="-0.34998626667073579"/>
      </right>
      <top style="medium">
        <color theme="0" tint="-0.34998626667073579"/>
      </top>
      <bottom/>
      <diagonal/>
    </border>
    <border>
      <left style="thin">
        <color indexed="64"/>
      </left>
      <right style="medium">
        <color theme="0" tint="-0.34998626667073579"/>
      </right>
      <top/>
      <bottom/>
      <diagonal/>
    </border>
    <border>
      <left style="medium">
        <color theme="0" tint="-0.34998626667073579"/>
      </left>
      <right/>
      <top style="medium">
        <color indexed="64"/>
      </top>
      <bottom/>
      <diagonal/>
    </border>
    <border>
      <left style="thin">
        <color indexed="64"/>
      </left>
      <right style="medium">
        <color theme="0" tint="-0.34998626667073579"/>
      </right>
      <top style="medium">
        <color indexed="64"/>
      </top>
      <bottom style="thin">
        <color indexed="64"/>
      </bottom>
      <diagonal/>
    </border>
    <border>
      <left style="medium">
        <color theme="0" tint="-0.34998626667073579"/>
      </left>
      <right/>
      <top style="thin">
        <color indexed="64"/>
      </top>
      <bottom/>
      <diagonal/>
    </border>
    <border>
      <left style="medium">
        <color theme="0" tint="-0.34998626667073579"/>
      </left>
      <right/>
      <top/>
      <bottom style="thin">
        <color indexed="64"/>
      </bottom>
      <diagonal/>
    </border>
    <border>
      <left style="thin">
        <color indexed="64"/>
      </left>
      <right style="medium">
        <color theme="0" tint="-0.34998626667073579"/>
      </right>
      <top style="thin">
        <color indexed="64"/>
      </top>
      <bottom/>
      <diagonal/>
    </border>
    <border>
      <left style="thin">
        <color indexed="64"/>
      </left>
      <right/>
      <top style="medium">
        <color theme="0" tint="-0.34998626667073579"/>
      </top>
      <bottom/>
      <diagonal/>
    </border>
    <border>
      <left/>
      <right style="medium">
        <color theme="0" tint="-0.34998626667073579"/>
      </right>
      <top/>
      <bottom style="thin">
        <color indexed="64"/>
      </bottom>
      <diagonal/>
    </border>
    <border>
      <left/>
      <right style="medium">
        <color theme="0" tint="-0.34998626667073579"/>
      </right>
      <top style="thin">
        <color indexed="64"/>
      </top>
      <bottom/>
      <diagonal/>
    </border>
    <border>
      <left style="medium">
        <color theme="0" tint="-0.34998626667073579"/>
      </left>
      <right/>
      <top/>
      <bottom style="medium">
        <color indexed="64"/>
      </bottom>
      <diagonal/>
    </border>
    <border>
      <left style="thin">
        <color indexed="64"/>
      </left>
      <right style="medium">
        <color theme="0" tint="-0.34998626667073579"/>
      </right>
      <top/>
      <bottom style="medium">
        <color indexed="64"/>
      </bottom>
      <diagonal/>
    </border>
    <border>
      <left style="medium">
        <color theme="0" tint="-0.34998626667073579"/>
      </left>
      <right/>
      <top style="medium">
        <color indexed="64"/>
      </top>
      <bottom style="thin">
        <color indexed="64"/>
      </bottom>
      <diagonal/>
    </border>
    <border>
      <left/>
      <right/>
      <top style="thin">
        <color indexed="64"/>
      </top>
      <bottom style="medium">
        <color theme="0" tint="-0.34998626667073579"/>
      </bottom>
      <diagonal/>
    </border>
    <border>
      <left style="thin">
        <color indexed="64"/>
      </left>
      <right style="medium">
        <color theme="0" tint="-0.34998626667073579"/>
      </right>
      <top style="medium">
        <color indexed="64"/>
      </top>
      <bottom/>
      <diagonal/>
    </border>
    <border>
      <left style="medium">
        <color theme="0" tint="-0.34998626667073579"/>
      </left>
      <right/>
      <top style="thin">
        <color indexed="64"/>
      </top>
      <bottom style="thin">
        <color indexed="64"/>
      </bottom>
      <diagonal/>
    </border>
    <border>
      <left/>
      <right style="thin">
        <color indexed="64"/>
      </right>
      <top style="hair">
        <color indexed="64"/>
      </top>
      <bottom style="hair">
        <color indexed="64"/>
      </bottom>
      <diagonal/>
    </border>
    <border>
      <left/>
      <right/>
      <top style="dashed">
        <color indexed="64"/>
      </top>
      <bottom style="dashed">
        <color theme="0" tint="-0.34998626667073579"/>
      </bottom>
      <diagonal/>
    </border>
    <border>
      <left/>
      <right/>
      <top style="dashed">
        <color indexed="64"/>
      </top>
      <bottom style="medium">
        <color indexed="64"/>
      </bottom>
      <diagonal/>
    </border>
    <border>
      <left/>
      <right/>
      <top style="dashed">
        <color theme="0" tint="-0.34998626667073579"/>
      </top>
      <bottom style="dashed">
        <color indexed="64"/>
      </bottom>
      <diagonal/>
    </border>
    <border>
      <left style="thin">
        <color indexed="64"/>
      </left>
      <right style="medium">
        <color indexed="64"/>
      </right>
      <top style="medium">
        <color theme="0" tint="-0.34998626667073579"/>
      </top>
      <bottom/>
      <diagonal/>
    </border>
    <border>
      <left/>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right/>
      <top style="thin">
        <color theme="0" tint="-0.34998626667073579"/>
      </top>
      <bottom style="thin">
        <color theme="0" tint="-0.34998626667073579"/>
      </bottom>
      <diagonal/>
    </border>
    <border>
      <left style="medium">
        <color indexed="64"/>
      </left>
      <right/>
      <top style="hair">
        <color indexed="64"/>
      </top>
      <bottom style="hair">
        <color indexed="64"/>
      </bottom>
      <diagonal/>
    </border>
    <border>
      <left style="medium">
        <color theme="0" tint="-0.34998626667073579"/>
      </left>
      <right style="medium">
        <color indexed="64"/>
      </right>
      <top/>
      <bottom/>
      <diagonal/>
    </border>
    <border>
      <left style="thin">
        <color indexed="64"/>
      </left>
      <right style="thin">
        <color indexed="64"/>
      </right>
      <top style="medium">
        <color theme="0" tint="-0.34998626667073579"/>
      </top>
      <bottom style="medium">
        <color theme="0" tint="-0.34998626667073579"/>
      </bottom>
      <diagonal/>
    </border>
    <border>
      <left style="medium">
        <color theme="0" tint="-0.24994659260841701"/>
      </left>
      <right style="medium">
        <color theme="0" tint="-0.24994659260841701"/>
      </right>
      <top style="thin">
        <color indexed="64"/>
      </top>
      <bottom style="medium">
        <color theme="0" tint="-0.24994659260841701"/>
      </bottom>
      <diagonal/>
    </border>
    <border>
      <left/>
      <right style="medium">
        <color theme="0" tint="-0.24994659260841701"/>
      </right>
      <top/>
      <bottom style="medium">
        <color theme="0" tint="-0.24994659260841701"/>
      </bottom>
      <diagonal/>
    </border>
    <border>
      <left/>
      <right style="thin">
        <color theme="0" tint="-0.34998626667073579"/>
      </right>
      <top/>
      <bottom style="dashed">
        <color theme="0" tint="-0.34998626667073579"/>
      </bottom>
      <diagonal/>
    </border>
    <border>
      <left style="thin">
        <color theme="0" tint="-0.34998626667073579"/>
      </left>
      <right/>
      <top style="medium">
        <color theme="0" tint="-0.34998626667073579"/>
      </top>
      <bottom style="thin">
        <color theme="0" tint="-0.34998626667073579"/>
      </bottom>
      <diagonal/>
    </border>
    <border>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right/>
      <top style="dashed">
        <color theme="0" tint="-0.34998626667073579"/>
      </top>
      <bottom/>
      <diagonal/>
    </border>
    <border>
      <left/>
      <right style="thin">
        <color theme="0" tint="-0.34998626667073579"/>
      </right>
      <top style="thin">
        <color theme="0" tint="-0.34998626667073579"/>
      </top>
      <bottom style="dashed">
        <color theme="0" tint="-0.34998626667073579"/>
      </bottom>
      <diagonal/>
    </border>
    <border>
      <left/>
      <right/>
      <top style="dashed">
        <color theme="0" tint="-0.34998626667073579"/>
      </top>
      <bottom style="thin">
        <color theme="0" tint="-0.34998626667073579"/>
      </bottom>
      <diagonal/>
    </border>
    <border>
      <left/>
      <right style="thin">
        <color theme="0" tint="-0.24994659260841701"/>
      </right>
      <top style="dashed">
        <color theme="0" tint="-0.34998626667073579"/>
      </top>
      <bottom style="thin">
        <color theme="0" tint="-0.34998626667073579"/>
      </bottom>
      <diagonal/>
    </border>
    <border>
      <left style="thin">
        <color theme="0" tint="-0.34998626667073579"/>
      </left>
      <right/>
      <top style="thin">
        <color theme="0" tint="-0.24994659260841701"/>
      </top>
      <bottom style="thin">
        <color theme="0" tint="-0.24994659260841701"/>
      </bottom>
      <diagonal/>
    </border>
    <border>
      <left style="thin">
        <color theme="0" tint="-0.24994659260841701"/>
      </left>
      <right/>
      <top style="dashed">
        <color theme="0" tint="-0.34998626667073579"/>
      </top>
      <bottom style="dashed">
        <color theme="0" tint="-0.34998626667073579"/>
      </bottom>
      <diagonal/>
    </border>
    <border>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24994659260841701"/>
      </top>
      <bottom style="thin">
        <color theme="0" tint="-0.24994659260841701"/>
      </bottom>
      <diagonal/>
    </border>
    <border>
      <left style="medium">
        <color theme="0" tint="-0.34998626667073579"/>
      </left>
      <right/>
      <top/>
      <bottom style="thin">
        <color theme="0" tint="-0.34998626667073579"/>
      </bottom>
      <diagonal/>
    </border>
    <border>
      <left/>
      <right style="medium">
        <color theme="0" tint="-0.34998626667073579"/>
      </right>
      <top/>
      <bottom style="thin">
        <color theme="0" tint="-0.34998626667073579"/>
      </bottom>
      <diagonal/>
    </border>
    <border>
      <left style="medium">
        <color theme="0" tint="-0.34998626667073579"/>
      </left>
      <right style="thin">
        <color theme="0" tint="-0.34998626667073579"/>
      </right>
      <top style="thin">
        <color theme="0" tint="-0.34998626667073579"/>
      </top>
      <bottom style="double">
        <color theme="0" tint="-0.34998626667073579"/>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style="thin">
        <color theme="0" tint="-0.34998626667073579"/>
      </left>
      <right style="medium">
        <color theme="0" tint="-0.34998626667073579"/>
      </right>
      <top style="thin">
        <color theme="0" tint="-0.34998626667073579"/>
      </top>
      <bottom style="double">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style="thin">
        <color theme="0" tint="-0.34998626667073579"/>
      </left>
      <right/>
      <top style="dashed">
        <color theme="0" tint="-0.34998626667073579"/>
      </top>
      <bottom style="dashed">
        <color theme="0" tint="-0.34998626667073579"/>
      </bottom>
      <diagonal/>
    </border>
    <border>
      <left style="thin">
        <color theme="0" tint="-0.34998626667073579"/>
      </left>
      <right style="medium">
        <color theme="0" tint="-0.34998626667073579"/>
      </right>
      <top/>
      <bottom style="thin">
        <color theme="0" tint="-0.34998626667073579"/>
      </bottom>
      <diagonal/>
    </border>
    <border>
      <left style="thin">
        <color indexed="64"/>
      </left>
      <right style="medium">
        <color indexed="64"/>
      </right>
      <top style="thin">
        <color indexed="64"/>
      </top>
      <bottom style="medium">
        <color theme="0" tint="-0.34998626667073579"/>
      </bottom>
      <diagonal/>
    </border>
    <border>
      <left style="medium">
        <color theme="0" tint="-0.34998626667073579"/>
      </left>
      <right style="thin">
        <color theme="0" tint="-0.34998626667073579"/>
      </right>
      <top/>
      <bottom style="thin">
        <color theme="0" tint="-0.34998626667073579"/>
      </bottom>
      <diagonal/>
    </border>
    <border>
      <left style="medium">
        <color theme="0" tint="-0.34998626667073579"/>
      </left>
      <right/>
      <top/>
      <bottom style="double">
        <color theme="0" tint="-0.34998626667073579"/>
      </bottom>
      <diagonal/>
    </border>
    <border>
      <left/>
      <right style="thin">
        <color theme="0" tint="-0.34998626667073579"/>
      </right>
      <top/>
      <bottom style="double">
        <color theme="0" tint="-0.34998626667073579"/>
      </bottom>
      <diagonal/>
    </border>
    <border>
      <left style="thin">
        <color theme="0" tint="-0.34998626667073579"/>
      </left>
      <right style="thin">
        <color theme="0" tint="-0.34998626667073579"/>
      </right>
      <top/>
      <bottom style="double">
        <color theme="0" tint="-0.34998626667073579"/>
      </bottom>
      <diagonal/>
    </border>
    <border>
      <left style="thin">
        <color theme="0" tint="-0.34998626667073579"/>
      </left>
      <right/>
      <top/>
      <bottom style="double">
        <color theme="0" tint="-0.34998626667073579"/>
      </bottom>
      <diagonal/>
    </border>
    <border>
      <left/>
      <right style="medium">
        <color theme="0" tint="-0.34998626667073579"/>
      </right>
      <top style="thin">
        <color theme="0" tint="-0.34998626667073579"/>
      </top>
      <bottom style="thin">
        <color theme="0" tint="-0.34998626667073579"/>
      </bottom>
      <diagonal/>
    </border>
    <border>
      <left style="medium">
        <color indexed="64"/>
      </left>
      <right style="thin">
        <color indexed="64"/>
      </right>
      <top style="thin">
        <color indexed="64"/>
      </top>
      <bottom style="double">
        <color theme="0" tint="-0.34998626667073579"/>
      </bottom>
      <diagonal/>
    </border>
    <border>
      <left/>
      <right/>
      <top style="dotted">
        <color indexed="64"/>
      </top>
      <bottom style="dotted">
        <color indexed="64"/>
      </bottom>
      <diagonal/>
    </border>
    <border>
      <left style="medium">
        <color indexed="64"/>
      </left>
      <right/>
      <top style="dashed">
        <color indexed="64"/>
      </top>
      <bottom/>
      <diagonal/>
    </border>
    <border>
      <left style="medium">
        <color indexed="64"/>
      </left>
      <right/>
      <top/>
      <bottom style="dashed">
        <color indexed="64"/>
      </bottom>
      <diagonal/>
    </border>
    <border>
      <left/>
      <right/>
      <top/>
      <bottom style="dashed">
        <color indexed="64"/>
      </bottom>
      <diagonal/>
    </border>
    <border>
      <left/>
      <right style="thin">
        <color indexed="64"/>
      </right>
      <top style="dotted">
        <color indexed="64"/>
      </top>
      <bottom style="dotted">
        <color indexed="64"/>
      </bottom>
      <diagonal/>
    </border>
    <border>
      <left/>
      <right style="thin">
        <color theme="0" tint="-0.34998626667073579"/>
      </right>
      <top/>
      <bottom style="hair">
        <color indexed="64"/>
      </bottom>
      <diagonal/>
    </border>
    <border>
      <left/>
      <right/>
      <top/>
      <bottom style="thin">
        <color theme="0"/>
      </bottom>
      <diagonal/>
    </border>
    <border>
      <left/>
      <right/>
      <top style="thin">
        <color theme="0"/>
      </top>
      <bottom style="thin">
        <color theme="0"/>
      </bottom>
      <diagonal/>
    </border>
    <border>
      <left style="thin">
        <color theme="0" tint="-0.34998626667073579"/>
      </left>
      <right/>
      <top style="thin">
        <color theme="0" tint="-0.34998626667073579"/>
      </top>
      <bottom style="dashed">
        <color theme="0" tint="-0.34998626667073579"/>
      </bottom>
      <diagonal/>
    </border>
    <border>
      <left/>
      <right style="thin">
        <color theme="0" tint="-0.34998626667073579"/>
      </right>
      <top style="dashed">
        <color theme="0" tint="-0.34998626667073579"/>
      </top>
      <bottom/>
      <diagonal/>
    </border>
    <border>
      <left/>
      <right style="medium">
        <color theme="0" tint="-0.34998626667073579"/>
      </right>
      <top style="thin">
        <color theme="0" tint="-0.34998626667073579"/>
      </top>
      <bottom/>
      <diagonal/>
    </border>
    <border>
      <left style="medium">
        <color theme="0" tint="-0.34998626667073579"/>
      </left>
      <right/>
      <top style="thin">
        <color theme="0" tint="-0.34998626667073579"/>
      </top>
      <bottom/>
      <diagonal/>
    </border>
    <border>
      <left style="thin">
        <color theme="0" tint="-0.24994659260841701"/>
      </left>
      <right/>
      <top/>
      <bottom style="thin">
        <color theme="0" tint="-0.34998626667073579"/>
      </bottom>
      <diagonal/>
    </border>
    <border>
      <left/>
      <right style="medium">
        <color theme="0" tint="-0.34998626667073579"/>
      </right>
      <top style="dashed">
        <color theme="0" tint="-0.34998626667073579"/>
      </top>
      <bottom/>
      <diagonal/>
    </border>
    <border>
      <left style="medium">
        <color theme="0" tint="-0.34998626667073579"/>
      </left>
      <right style="thin">
        <color theme="0" tint="-0.34998626667073579"/>
      </right>
      <top/>
      <bottom/>
      <diagonal/>
    </border>
    <border>
      <left style="thin">
        <color theme="0" tint="-0.34998626667073579"/>
      </left>
      <right style="medium">
        <color theme="0" tint="-0.34998626667073579"/>
      </right>
      <top style="thin">
        <color theme="0" tint="-0.34998626667073579"/>
      </top>
      <bottom/>
      <diagonal/>
    </border>
    <border>
      <left style="medium">
        <color theme="0" tint="-0.34998626667073579"/>
      </left>
      <right style="thin">
        <color theme="0" tint="-0.34998626667073579"/>
      </right>
      <top style="thin">
        <color theme="0" tint="-0.34998626667073579"/>
      </top>
      <bottom/>
      <diagonal/>
    </border>
    <border>
      <left style="thin">
        <color theme="0" tint="-0.34998626667073579"/>
      </left>
      <right/>
      <top style="dashed">
        <color theme="0" tint="-0.34998626667073579"/>
      </top>
      <bottom style="thin">
        <color theme="0" tint="-0.34998626667073579"/>
      </bottom>
      <diagonal/>
    </border>
    <border>
      <left/>
      <right style="thin">
        <color theme="0" tint="-0.24994659260841701"/>
      </right>
      <top style="thin">
        <color theme="0" tint="-0.34998626667073579"/>
      </top>
      <bottom/>
      <diagonal/>
    </border>
    <border>
      <left style="thin">
        <color theme="0" tint="-0.24994659260841701"/>
      </left>
      <right/>
      <top style="thin">
        <color theme="0" tint="-0.34998626667073579"/>
      </top>
      <bottom/>
      <diagonal/>
    </border>
    <border>
      <left/>
      <right style="thin">
        <color theme="0" tint="-0.24994659260841701"/>
      </right>
      <top/>
      <bottom style="thin">
        <color theme="0" tint="-0.34998626667073579"/>
      </bottom>
      <diagonal/>
    </border>
    <border>
      <left style="thin">
        <color theme="0" tint="-0.34998626667073579"/>
      </left>
      <right style="thin">
        <color theme="0" tint="-0.34998626667073579"/>
      </right>
      <top style="thin">
        <color theme="0" tint="-0.24994659260841701"/>
      </top>
      <bottom/>
      <diagonal/>
    </border>
    <border>
      <left style="thin">
        <color theme="0" tint="-0.34998626667073579"/>
      </left>
      <right/>
      <top style="thin">
        <color theme="0" tint="-0.24994659260841701"/>
      </top>
      <bottom/>
      <diagonal/>
    </border>
    <border>
      <left/>
      <right style="thin">
        <color theme="0" tint="-0.34998626667073579"/>
      </right>
      <top style="thin">
        <color theme="0" tint="-0.24994659260841701"/>
      </top>
      <bottom/>
      <diagonal/>
    </border>
    <border>
      <left/>
      <right style="thin">
        <color theme="0" tint="-0.34998626667073579"/>
      </right>
      <top style="dashed">
        <color theme="0" tint="-0.34998626667073579"/>
      </top>
      <bottom style="thin">
        <color theme="0" tint="-0.34998626667073579"/>
      </bottom>
      <diagonal/>
    </border>
    <border>
      <left style="thin">
        <color indexed="64"/>
      </left>
      <right style="thin">
        <color indexed="64"/>
      </right>
      <top/>
      <bottom style="thin">
        <color theme="4" tint="0.39994506668294322"/>
      </bottom>
      <diagonal/>
    </border>
    <border>
      <left/>
      <right style="medium">
        <color theme="0" tint="-0.34998626667073579"/>
      </right>
      <top/>
      <bottom style="dashed">
        <color theme="0" tint="-0.34998626667073579"/>
      </bottom>
      <diagonal/>
    </border>
    <border>
      <left style="thin">
        <color theme="0" tint="-0.34998626667073579"/>
      </left>
      <right style="medium">
        <color theme="0" tint="-0.34998626667073579"/>
      </right>
      <top/>
      <bottom/>
      <diagonal/>
    </border>
    <border>
      <left style="thin">
        <color theme="0" tint="-0.34998626667073579"/>
      </left>
      <right/>
      <top/>
      <bottom style="dashed">
        <color theme="0" tint="-0.34998626667073579"/>
      </bottom>
      <diagonal/>
    </border>
    <border>
      <left style="thin">
        <color theme="0" tint="-0.34998626667073579"/>
      </left>
      <right/>
      <top style="thin">
        <color theme="0" tint="-0.24994659260841701"/>
      </top>
      <bottom style="thin">
        <color theme="0" tint="-0.34998626667073579"/>
      </bottom>
      <diagonal/>
    </border>
    <border>
      <left/>
      <right style="thin">
        <color theme="0" tint="-0.24994659260841701"/>
      </right>
      <top style="thin">
        <color theme="0" tint="-0.24994659260841701"/>
      </top>
      <bottom style="thin">
        <color theme="0" tint="-0.34998626667073579"/>
      </bottom>
      <diagonal/>
    </border>
    <border>
      <left style="thin">
        <color theme="0" tint="-0.24994659260841701"/>
      </left>
      <right/>
      <top style="thin">
        <color theme="0" tint="-0.34998626667073579"/>
      </top>
      <bottom style="thin">
        <color theme="0" tint="-0.34998626667073579"/>
      </bottom>
      <diagonal/>
    </border>
    <border>
      <left/>
      <right style="thin">
        <color theme="0" tint="-0.24994659260841701"/>
      </right>
      <top style="thin">
        <color theme="0" tint="-0.34998626667073579"/>
      </top>
      <bottom style="thin">
        <color theme="0" tint="-0.3499862666707357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top style="double">
        <color theme="0" tint="-0.34998626667073579"/>
      </top>
      <bottom style="thin">
        <color theme="0" tint="-0.34998626667073579"/>
      </bottom>
      <diagonal/>
    </border>
    <border>
      <left/>
      <right style="thin">
        <color theme="0" tint="-0.34998626667073579"/>
      </right>
      <top style="double">
        <color theme="0" tint="-0.34998626667073579"/>
      </top>
      <bottom style="thin">
        <color theme="0" tint="-0.34998626667073579"/>
      </bottom>
      <diagonal/>
    </border>
    <border>
      <left style="medium">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style="medium">
        <color theme="0" tint="-0.34998626667073579"/>
      </right>
      <top style="double">
        <color theme="0" tint="-0.34998626667073579"/>
      </top>
      <bottom style="thin">
        <color theme="0" tint="-0.34998626667073579"/>
      </bottom>
      <diagonal/>
    </border>
    <border>
      <left style="medium">
        <color theme="0" tint="-0.34998626667073579"/>
      </left>
      <right/>
      <top style="double">
        <color theme="0" tint="-0.34998626667073579"/>
      </top>
      <bottom style="thin">
        <color theme="0" tint="-0.34998626667073579"/>
      </bottom>
      <diagonal/>
    </border>
    <border>
      <left style="thin">
        <color theme="0" tint="-0.24994659260841701"/>
      </left>
      <right/>
      <top style="thin">
        <color theme="0" tint="-0.24994659260841701"/>
      </top>
      <bottom style="thin">
        <color theme="0" tint="-0.34998626667073579"/>
      </bottom>
      <diagonal/>
    </border>
    <border>
      <left/>
      <right style="thin">
        <color theme="0" tint="-0.34998626667073579"/>
      </right>
      <top style="thin">
        <color theme="0" tint="-0.24994659260841701"/>
      </top>
      <bottom style="thin">
        <color theme="0" tint="-0.34998626667073579"/>
      </bottom>
      <diagonal/>
    </border>
    <border>
      <left/>
      <right/>
      <top/>
      <bottom style="double">
        <color theme="0" tint="-0.34998626667073579"/>
      </bottom>
      <diagonal/>
    </border>
    <border>
      <left style="thin">
        <color indexed="64"/>
      </left>
      <right/>
      <top/>
      <bottom style="thin">
        <color theme="0" tint="-0.24994659260841701"/>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s>
  <cellStyleXfs count="4">
    <xf numFmtId="0" fontId="0" fillId="0" borderId="0"/>
    <xf numFmtId="0" fontId="4" fillId="0" borderId="0"/>
    <xf numFmtId="9" fontId="2" fillId="0" borderId="0" applyFont="0" applyFill="0" applyBorder="0" applyAlignment="0" applyProtection="0"/>
    <xf numFmtId="0" fontId="81" fillId="0" borderId="0" applyNumberFormat="0" applyFill="0" applyBorder="0" applyAlignment="0" applyProtection="0"/>
  </cellStyleXfs>
  <cellXfs count="2423">
    <xf numFmtId="0" fontId="0" fillId="0" borderId="0" xfId="0"/>
    <xf numFmtId="0" fontId="4" fillId="0" borderId="0" xfId="0" applyFont="1"/>
    <xf numFmtId="0" fontId="5" fillId="0" borderId="0" xfId="0" applyFont="1"/>
    <xf numFmtId="3" fontId="5" fillId="0" borderId="0" xfId="0" applyNumberFormat="1" applyFont="1" applyProtection="1">
      <protection hidden="1"/>
    </xf>
    <xf numFmtId="0" fontId="11" fillId="0" borderId="0" xfId="0" applyFont="1"/>
    <xf numFmtId="14" fontId="5" fillId="0" borderId="0" xfId="0" applyNumberFormat="1" applyFont="1" applyAlignment="1">
      <alignment horizontal="center"/>
    </xf>
    <xf numFmtId="0" fontId="5" fillId="0" borderId="0" xfId="0" applyFont="1" applyAlignment="1">
      <alignment horizontal="center"/>
    </xf>
    <xf numFmtId="3" fontId="4" fillId="0" borderId="0" xfId="0" applyNumberFormat="1" applyFont="1" applyProtection="1">
      <protection hidden="1"/>
    </xf>
    <xf numFmtId="0" fontId="0" fillId="2" borderId="0" xfId="0" applyFill="1"/>
    <xf numFmtId="3" fontId="5" fillId="2" borderId="0" xfId="0" applyNumberFormat="1" applyFont="1" applyFill="1" applyProtection="1">
      <protection hidden="1"/>
    </xf>
    <xf numFmtId="0" fontId="5" fillId="2" borderId="0" xfId="0" applyFont="1" applyFill="1" applyProtection="1">
      <protection hidden="1"/>
    </xf>
    <xf numFmtId="4" fontId="4" fillId="2" borderId="0" xfId="0" applyNumberFormat="1" applyFont="1" applyFill="1" applyProtection="1">
      <protection hidden="1"/>
    </xf>
    <xf numFmtId="3" fontId="4" fillId="2" borderId="0" xfId="0" applyNumberFormat="1" applyFont="1" applyFill="1" applyProtection="1">
      <protection hidden="1"/>
    </xf>
    <xf numFmtId="0" fontId="9" fillId="2" borderId="0" xfId="0" applyFont="1" applyFill="1"/>
    <xf numFmtId="164" fontId="4" fillId="2" borderId="0" xfId="0" applyNumberFormat="1" applyFont="1" applyFill="1" applyProtection="1">
      <protection hidden="1"/>
    </xf>
    <xf numFmtId="4" fontId="5" fillId="2" borderId="0" xfId="0" applyNumberFormat="1" applyFont="1" applyFill="1" applyProtection="1">
      <protection hidden="1"/>
    </xf>
    <xf numFmtId="3" fontId="0" fillId="2" borderId="0" xfId="0" applyNumberFormat="1" applyFill="1" applyProtection="1">
      <protection hidden="1"/>
    </xf>
    <xf numFmtId="167" fontId="5" fillId="2" borderId="0" xfId="0" applyNumberFormat="1" applyFont="1" applyFill="1" applyProtection="1">
      <protection hidden="1"/>
    </xf>
    <xf numFmtId="14" fontId="0" fillId="0" borderId="0" xfId="0" applyNumberFormat="1"/>
    <xf numFmtId="0" fontId="14" fillId="0" borderId="0" xfId="0" applyFont="1"/>
    <xf numFmtId="0" fontId="4" fillId="2" borderId="0" xfId="0" applyFont="1" applyFill="1"/>
    <xf numFmtId="1" fontId="0" fillId="0" borderId="0" xfId="0" applyNumberFormat="1"/>
    <xf numFmtId="0" fontId="0" fillId="0" borderId="0" xfId="0" applyAlignment="1">
      <alignment horizontal="right" vertical="top" wrapText="1"/>
    </xf>
    <xf numFmtId="3" fontId="18" fillId="2" borderId="0" xfId="0" applyNumberFormat="1" applyFont="1" applyFill="1" applyProtection="1">
      <protection hidden="1"/>
    </xf>
    <xf numFmtId="3" fontId="5" fillId="2" borderId="0" xfId="0" applyNumberFormat="1" applyFont="1" applyFill="1" applyAlignment="1" applyProtection="1">
      <alignment horizontal="center"/>
      <protection hidden="1"/>
    </xf>
    <xf numFmtId="0" fontId="7" fillId="0" borderId="0" xfId="0" applyFont="1"/>
    <xf numFmtId="0" fontId="3" fillId="0" borderId="0" xfId="0" applyFont="1" applyAlignment="1">
      <alignment horizontal="center"/>
    </xf>
    <xf numFmtId="1" fontId="5" fillId="0" borderId="0" xfId="0" applyNumberFormat="1" applyFont="1" applyAlignment="1">
      <alignment horizontal="center"/>
    </xf>
    <xf numFmtId="0" fontId="15" fillId="2" borderId="0" xfId="0" applyFont="1" applyFill="1"/>
    <xf numFmtId="0" fontId="14" fillId="0" borderId="0" xfId="0" applyFont="1" applyAlignment="1">
      <alignment horizontal="right"/>
    </xf>
    <xf numFmtId="0" fontId="10" fillId="0" borderId="0" xfId="0" applyFont="1"/>
    <xf numFmtId="3" fontId="11" fillId="0" borderId="0" xfId="0" applyNumberFormat="1" applyFont="1" applyProtection="1">
      <protection hidden="1"/>
    </xf>
    <xf numFmtId="3" fontId="11" fillId="0" borderId="0" xfId="0" applyNumberFormat="1" applyFont="1"/>
    <xf numFmtId="0" fontId="4" fillId="2" borderId="0" xfId="0" applyFont="1" applyFill="1" applyAlignment="1">
      <alignment horizontal="right"/>
    </xf>
    <xf numFmtId="49" fontId="4" fillId="2" borderId="0" xfId="0" applyNumberFormat="1" applyFont="1" applyFill="1" applyAlignment="1">
      <alignment horizontal="right"/>
    </xf>
    <xf numFmtId="0" fontId="5" fillId="2" borderId="0" xfId="0" applyFont="1" applyFill="1"/>
    <xf numFmtId="0" fontId="5" fillId="2" borderId="0" xfId="0" applyFont="1" applyFill="1" applyAlignment="1">
      <alignment horizontal="right"/>
    </xf>
    <xf numFmtId="49" fontId="5" fillId="2" borderId="0" xfId="0" applyNumberFormat="1" applyFont="1" applyFill="1" applyAlignment="1">
      <alignment horizontal="right"/>
    </xf>
    <xf numFmtId="167" fontId="4" fillId="2" borderId="0" xfId="0" applyNumberFormat="1" applyFont="1" applyFill="1"/>
    <xf numFmtId="0" fontId="5" fillId="2" borderId="0" xfId="0" applyFont="1" applyFill="1" applyAlignment="1">
      <alignment horizontal="left"/>
    </xf>
    <xf numFmtId="3" fontId="0" fillId="0" borderId="0" xfId="0" applyNumberFormat="1"/>
    <xf numFmtId="0" fontId="0" fillId="0" borderId="0" xfId="0" applyAlignment="1">
      <alignment horizontal="center"/>
    </xf>
    <xf numFmtId="0" fontId="9" fillId="0" borderId="0" xfId="0" applyFont="1" applyAlignment="1">
      <alignment horizontal="left"/>
    </xf>
    <xf numFmtId="0" fontId="4" fillId="0" borderId="0" xfId="0" applyFont="1" applyAlignment="1">
      <alignment horizontal="center"/>
    </xf>
    <xf numFmtId="0" fontId="4" fillId="0" borderId="0" xfId="0" applyFont="1" applyAlignment="1">
      <alignment horizontal="left" vertical="center"/>
    </xf>
    <xf numFmtId="0" fontId="8" fillId="0" borderId="0" xfId="0" applyFont="1"/>
    <xf numFmtId="0" fontId="3" fillId="3" borderId="1" xfId="0" applyFont="1" applyFill="1" applyBorder="1" applyAlignment="1">
      <alignment horizontal="center"/>
    </xf>
    <xf numFmtId="0" fontId="14" fillId="0" borderId="0" xfId="0" applyFont="1" applyAlignment="1">
      <alignment vertical="center"/>
    </xf>
    <xf numFmtId="0" fontId="3" fillId="3" borderId="2" xfId="0" applyFont="1" applyFill="1" applyBorder="1" applyAlignment="1">
      <alignment horizontal="center"/>
    </xf>
    <xf numFmtId="0" fontId="8" fillId="0" borderId="0" xfId="0" applyFont="1" applyAlignment="1">
      <alignment horizontal="left"/>
    </xf>
    <xf numFmtId="0" fontId="6" fillId="0" borderId="0" xfId="0" applyFont="1" applyAlignment="1">
      <alignment vertical="center"/>
    </xf>
    <xf numFmtId="3" fontId="10" fillId="0" borderId="0" xfId="0" applyNumberFormat="1" applyFont="1" applyProtection="1">
      <protection hidden="1"/>
    </xf>
    <xf numFmtId="0" fontId="6" fillId="0" borderId="0" xfId="0" applyFont="1"/>
    <xf numFmtId="0" fontId="0" fillId="0" borderId="0" xfId="0" applyAlignment="1">
      <alignment vertical="center"/>
    </xf>
    <xf numFmtId="0" fontId="14" fillId="0" borderId="0" xfId="0" applyFont="1" applyAlignment="1">
      <alignment horizontal="center"/>
    </xf>
    <xf numFmtId="3" fontId="6" fillId="0" borderId="0" xfId="0" applyNumberFormat="1" applyFont="1"/>
    <xf numFmtId="3" fontId="3" fillId="0" borderId="0" xfId="0" applyNumberFormat="1" applyFont="1" applyProtection="1">
      <protection hidden="1"/>
    </xf>
    <xf numFmtId="3" fontId="6" fillId="0" borderId="0" xfId="0" applyNumberFormat="1" applyFont="1" applyProtection="1">
      <protection hidden="1"/>
    </xf>
    <xf numFmtId="3" fontId="10" fillId="0" borderId="0" xfId="0" applyNumberFormat="1" applyFont="1"/>
    <xf numFmtId="0" fontId="8" fillId="0" borderId="0" xfId="0" applyFont="1" applyAlignment="1">
      <alignment horizontal="center"/>
    </xf>
    <xf numFmtId="0" fontId="11" fillId="0" borderId="0" xfId="0" applyFont="1" applyAlignment="1">
      <alignment horizontal="center"/>
    </xf>
    <xf numFmtId="0" fontId="10" fillId="4" borderId="7" xfId="0" applyFont="1" applyFill="1" applyBorder="1" applyAlignment="1" applyProtection="1">
      <alignment vertical="center"/>
      <protection hidden="1"/>
    </xf>
    <xf numFmtId="0" fontId="21" fillId="0" borderId="0" xfId="0" applyFont="1" applyAlignment="1">
      <alignment horizontal="right"/>
    </xf>
    <xf numFmtId="6" fontId="5" fillId="0" borderId="0" xfId="0" applyNumberFormat="1" applyFont="1" applyAlignment="1">
      <alignment horizontal="center" vertical="center"/>
    </xf>
    <xf numFmtId="0" fontId="18" fillId="0" borderId="8" xfId="0" applyFont="1" applyBorder="1"/>
    <xf numFmtId="0" fontId="18" fillId="0" borderId="9" xfId="0" applyFont="1" applyBorder="1"/>
    <xf numFmtId="0" fontId="18" fillId="0" borderId="0" xfId="0" applyFont="1"/>
    <xf numFmtId="0" fontId="23" fillId="0" borderId="0" xfId="0" applyFont="1"/>
    <xf numFmtId="14" fontId="7" fillId="0" borderId="0" xfId="0" applyNumberFormat="1" applyFont="1" applyAlignment="1">
      <alignment horizontal="center"/>
    </xf>
    <xf numFmtId="3" fontId="0" fillId="0" borderId="0" xfId="0" applyNumberFormat="1" applyAlignment="1">
      <alignment horizontal="center" vertical="center"/>
    </xf>
    <xf numFmtId="3" fontId="7" fillId="0" borderId="0" xfId="0" applyNumberFormat="1" applyFont="1" applyAlignment="1">
      <alignment horizontal="center" vertical="center"/>
    </xf>
    <xf numFmtId="0" fontId="0" fillId="0" borderId="0" xfId="0" applyAlignment="1">
      <alignment horizontal="left" vertical="center"/>
    </xf>
    <xf numFmtId="0" fontId="19" fillId="0" borderId="0" xfId="0" applyFont="1" applyAlignment="1">
      <alignment horizontal="center" vertical="center"/>
    </xf>
    <xf numFmtId="0" fontId="7" fillId="0" borderId="0" xfId="0" applyFont="1" applyAlignment="1">
      <alignment horizontal="center" vertical="center"/>
    </xf>
    <xf numFmtId="1" fontId="7" fillId="0" borderId="0" xfId="0" applyNumberFormat="1"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left"/>
    </xf>
    <xf numFmtId="0" fontId="0" fillId="0" borderId="0" xfId="0" applyAlignment="1">
      <alignment horizontal="left"/>
    </xf>
    <xf numFmtId="0" fontId="21" fillId="0" borderId="0" xfId="0" applyFont="1" applyAlignment="1">
      <alignment horizontal="center"/>
    </xf>
    <xf numFmtId="0" fontId="0" fillId="0" borderId="3" xfId="0" applyBorder="1"/>
    <xf numFmtId="0" fontId="11" fillId="0" borderId="16" xfId="0" applyFont="1" applyBorder="1" applyAlignment="1">
      <alignment horizontal="center" vertical="center"/>
    </xf>
    <xf numFmtId="0" fontId="4" fillId="0" borderId="0" xfId="0" applyFont="1" applyAlignment="1">
      <alignment vertical="center"/>
    </xf>
    <xf numFmtId="167" fontId="4" fillId="0" borderId="0" xfId="0" applyNumberFormat="1" applyFont="1" applyAlignment="1">
      <alignment horizontal="center"/>
    </xf>
    <xf numFmtId="0" fontId="21" fillId="0" borderId="0" xfId="0" applyFont="1"/>
    <xf numFmtId="14" fontId="5" fillId="0" borderId="0" xfId="0" applyNumberFormat="1" applyFont="1"/>
    <xf numFmtId="0" fontId="0" fillId="0" borderId="17" xfId="0" applyBorder="1"/>
    <xf numFmtId="0" fontId="0" fillId="0" borderId="18" xfId="0" applyBorder="1"/>
    <xf numFmtId="0" fontId="6" fillId="0" borderId="0" xfId="0" applyFont="1" applyAlignment="1">
      <alignment horizontal="right" vertical="center"/>
    </xf>
    <xf numFmtId="0" fontId="17" fillId="0" borderId="0" xfId="0" applyFont="1"/>
    <xf numFmtId="0" fontId="6" fillId="0" borderId="0" xfId="0" applyFont="1" applyAlignment="1">
      <alignment horizontal="center"/>
    </xf>
    <xf numFmtId="166" fontId="0" fillId="0" borderId="0" xfId="0" applyNumberFormat="1"/>
    <xf numFmtId="0" fontId="7" fillId="0" borderId="0" xfId="0" applyFont="1" applyAlignment="1">
      <alignment horizontal="left"/>
    </xf>
    <xf numFmtId="0" fontId="5" fillId="0" borderId="20" xfId="0" applyFont="1" applyBorder="1" applyAlignment="1">
      <alignment horizontal="center" vertical="center"/>
    </xf>
    <xf numFmtId="166" fontId="0" fillId="0" borderId="18" xfId="0" applyNumberFormat="1" applyBorder="1"/>
    <xf numFmtId="164" fontId="0" fillId="0" borderId="21" xfId="2" applyNumberFormat="1" applyFont="1" applyBorder="1"/>
    <xf numFmtId="0" fontId="5" fillId="0" borderId="9" xfId="0" applyFont="1" applyBorder="1" applyAlignment="1">
      <alignment horizontal="center" vertical="center"/>
    </xf>
    <xf numFmtId="0" fontId="5" fillId="0" borderId="22" xfId="0" applyFont="1" applyBorder="1" applyAlignment="1">
      <alignment horizontal="center" vertical="center"/>
    </xf>
    <xf numFmtId="0" fontId="5" fillId="0" borderId="23" xfId="0" applyFont="1" applyBorder="1" applyAlignment="1">
      <alignment horizontal="center" vertical="center"/>
    </xf>
    <xf numFmtId="6" fontId="5" fillId="0" borderId="0" xfId="0" applyNumberFormat="1" applyFont="1" applyAlignment="1">
      <alignment vertical="center"/>
    </xf>
    <xf numFmtId="0" fontId="21" fillId="0" borderId="0" xfId="0" applyFont="1" applyAlignment="1">
      <alignment vertical="center"/>
    </xf>
    <xf numFmtId="1" fontId="0" fillId="0" borderId="18" xfId="0" applyNumberFormat="1" applyBorder="1"/>
    <xf numFmtId="0" fontId="37" fillId="0" borderId="0" xfId="0" applyFont="1" applyAlignment="1" applyProtection="1">
      <alignment vertical="center"/>
      <protection hidden="1"/>
    </xf>
    <xf numFmtId="167" fontId="0" fillId="0" borderId="0" xfId="0" applyNumberFormat="1"/>
    <xf numFmtId="0" fontId="22" fillId="0" borderId="13" xfId="0" applyFont="1" applyBorder="1" applyAlignment="1">
      <alignment horizontal="center" vertical="center" wrapText="1"/>
    </xf>
    <xf numFmtId="0" fontId="10" fillId="4" borderId="16" xfId="0" applyFont="1" applyFill="1" applyBorder="1" applyAlignment="1" applyProtection="1">
      <alignment horizontal="right" vertical="center"/>
      <protection hidden="1"/>
    </xf>
    <xf numFmtId="0" fontId="24" fillId="2" borderId="0" xfId="0" applyFont="1" applyFill="1"/>
    <xf numFmtId="0" fontId="25" fillId="2" borderId="0" xfId="0" applyFont="1" applyFill="1" applyAlignment="1" applyProtection="1">
      <alignment horizontal="left" vertical="center"/>
      <protection hidden="1"/>
    </xf>
    <xf numFmtId="0" fontId="24" fillId="2" borderId="0" xfId="0" applyFont="1" applyFill="1" applyAlignment="1">
      <alignment horizontal="center"/>
    </xf>
    <xf numFmtId="0" fontId="22" fillId="2" borderId="0" xfId="0" applyFont="1" applyFill="1"/>
    <xf numFmtId="49" fontId="4" fillId="2" borderId="0" xfId="0" applyNumberFormat="1" applyFont="1" applyFill="1" applyAlignment="1">
      <alignment horizontal="right" vertical="center"/>
    </xf>
    <xf numFmtId="3" fontId="4" fillId="0" borderId="0" xfId="0" applyNumberFormat="1" applyFont="1"/>
    <xf numFmtId="0" fontId="8" fillId="0" borderId="0" xfId="0" applyFont="1" applyAlignment="1">
      <alignment horizontal="right"/>
    </xf>
    <xf numFmtId="0" fontId="28" fillId="0" borderId="0" xfId="0" applyFont="1"/>
    <xf numFmtId="3" fontId="29" fillId="0" borderId="0" xfId="0" applyNumberFormat="1" applyFont="1"/>
    <xf numFmtId="0" fontId="30" fillId="0" borderId="0" xfId="0" applyFont="1" applyAlignment="1">
      <alignment horizontal="center"/>
    </xf>
    <xf numFmtId="0" fontId="3" fillId="0" borderId="0" xfId="0" applyFont="1"/>
    <xf numFmtId="0" fontId="5" fillId="0" borderId="3" xfId="0" applyFont="1" applyBorder="1" applyAlignment="1">
      <alignment vertical="center"/>
    </xf>
    <xf numFmtId="0" fontId="5" fillId="0" borderId="26" xfId="0" applyFont="1" applyBorder="1"/>
    <xf numFmtId="0" fontId="4" fillId="0" borderId="0" xfId="0" applyFont="1" applyAlignment="1" applyProtection="1">
      <alignment horizontal="left"/>
      <protection hidden="1"/>
    </xf>
    <xf numFmtId="0" fontId="4" fillId="0" borderId="26" xfId="0" applyFont="1" applyBorder="1"/>
    <xf numFmtId="0" fontId="4" fillId="0" borderId="26" xfId="0" applyFont="1" applyBorder="1" applyAlignment="1" applyProtection="1">
      <alignment horizontal="center"/>
      <protection hidden="1"/>
    </xf>
    <xf numFmtId="0" fontId="4" fillId="0" borderId="26" xfId="0" applyFont="1" applyBorder="1" applyAlignment="1" applyProtection="1">
      <alignment horizontal="left"/>
      <protection hidden="1"/>
    </xf>
    <xf numFmtId="0" fontId="5" fillId="0" borderId="26" xfId="0" applyFont="1" applyBorder="1" applyAlignment="1" applyProtection="1">
      <alignment horizontal="left"/>
      <protection hidden="1"/>
    </xf>
    <xf numFmtId="1" fontId="4" fillId="0" borderId="0" xfId="0" applyNumberFormat="1" applyFont="1" applyAlignment="1" applyProtection="1">
      <alignment horizontal="center"/>
      <protection hidden="1"/>
    </xf>
    <xf numFmtId="10" fontId="0" fillId="0" borderId="0" xfId="2" applyNumberFormat="1" applyFont="1"/>
    <xf numFmtId="1" fontId="0" fillId="0" borderId="0" xfId="0" applyNumberFormat="1" applyAlignment="1">
      <alignment horizontal="right"/>
    </xf>
    <xf numFmtId="3" fontId="0" fillId="0" borderId="0" xfId="0" applyNumberFormat="1" applyAlignment="1">
      <alignment horizontal="right"/>
    </xf>
    <xf numFmtId="165" fontId="0" fillId="0" borderId="0" xfId="0" applyNumberFormat="1" applyAlignment="1">
      <alignment horizontal="right"/>
    </xf>
    <xf numFmtId="165" fontId="0" fillId="0" borderId="0" xfId="0" applyNumberFormat="1"/>
    <xf numFmtId="164" fontId="0" fillId="0" borderId="0" xfId="0" applyNumberFormat="1" applyAlignment="1">
      <alignment horizontal="right"/>
    </xf>
    <xf numFmtId="165" fontId="4" fillId="0" borderId="0" xfId="0" applyNumberFormat="1" applyFont="1" applyAlignment="1">
      <alignment horizontal="right"/>
    </xf>
    <xf numFmtId="165" fontId="5" fillId="0" borderId="0" xfId="0" applyNumberFormat="1" applyFont="1" applyAlignment="1">
      <alignment horizontal="right"/>
    </xf>
    <xf numFmtId="1" fontId="5" fillId="0" borderId="0" xfId="0" applyNumberFormat="1" applyFont="1" applyAlignment="1" applyProtection="1">
      <alignment horizontal="center"/>
      <protection hidden="1"/>
    </xf>
    <xf numFmtId="1" fontId="23" fillId="0" borderId="0" xfId="0" applyNumberFormat="1" applyFont="1" applyAlignment="1" applyProtection="1">
      <alignment horizontal="center"/>
      <protection hidden="1"/>
    </xf>
    <xf numFmtId="0" fontId="28" fillId="0" borderId="0" xfId="0" applyFont="1" applyAlignment="1">
      <alignment horizontal="center"/>
    </xf>
    <xf numFmtId="0" fontId="25" fillId="2" borderId="0" xfId="0" applyFont="1" applyFill="1" applyAlignment="1" applyProtection="1">
      <alignment horizontal="center" vertical="center"/>
      <protection hidden="1"/>
    </xf>
    <xf numFmtId="0" fontId="5" fillId="0" borderId="0" xfId="0" applyFont="1" applyAlignment="1" applyProtection="1">
      <alignment horizontal="left"/>
      <protection hidden="1"/>
    </xf>
    <xf numFmtId="0" fontId="0" fillId="0" borderId="0" xfId="0" applyProtection="1">
      <protection hidden="1"/>
    </xf>
    <xf numFmtId="0" fontId="11" fillId="0" borderId="0" xfId="0" applyFont="1" applyAlignment="1" applyProtection="1">
      <alignment horizontal="center" vertical="center"/>
      <protection hidden="1"/>
    </xf>
    <xf numFmtId="0" fontId="11" fillId="0" borderId="0" xfId="0" applyFont="1" applyProtection="1">
      <protection hidden="1"/>
    </xf>
    <xf numFmtId="3" fontId="0" fillId="0" borderId="0" xfId="0" applyNumberFormat="1" applyAlignment="1" applyProtection="1">
      <alignment horizontal="right"/>
      <protection hidden="1"/>
    </xf>
    <xf numFmtId="0" fontId="10" fillId="0" borderId="0" xfId="0" applyFont="1" applyAlignment="1" applyProtection="1">
      <alignment horizontal="center"/>
      <protection hidden="1"/>
    </xf>
    <xf numFmtId="0" fontId="11" fillId="0" borderId="0" xfId="0" applyFont="1" applyAlignment="1" applyProtection="1">
      <alignment horizontal="left"/>
      <protection hidden="1"/>
    </xf>
    <xf numFmtId="0" fontId="0" fillId="0" borderId="0" xfId="0" applyAlignment="1" applyProtection="1">
      <alignment horizontal="center"/>
      <protection hidden="1"/>
    </xf>
    <xf numFmtId="0" fontId="4" fillId="0" borderId="0" xfId="0" applyFont="1" applyProtection="1">
      <protection hidden="1"/>
    </xf>
    <xf numFmtId="164" fontId="4" fillId="0" borderId="0" xfId="0" applyNumberFormat="1" applyFont="1" applyAlignment="1" applyProtection="1">
      <alignment horizontal="right"/>
      <protection hidden="1"/>
    </xf>
    <xf numFmtId="0" fontId="8" fillId="0" borderId="0" xfId="0" applyFont="1" applyProtection="1">
      <protection hidden="1"/>
    </xf>
    <xf numFmtId="0" fontId="4" fillId="0" borderId="0" xfId="0" applyFont="1" applyAlignment="1" applyProtection="1">
      <alignment horizontal="center"/>
      <protection hidden="1"/>
    </xf>
    <xf numFmtId="0" fontId="8" fillId="0" borderId="0" xfId="0" applyFont="1" applyAlignment="1" applyProtection="1">
      <alignment horizontal="center"/>
      <protection hidden="1"/>
    </xf>
    <xf numFmtId="0" fontId="4" fillId="0" borderId="0" xfId="0" applyFont="1" applyAlignment="1" applyProtection="1">
      <alignment horizontal="left" vertical="center"/>
      <protection hidden="1"/>
    </xf>
    <xf numFmtId="14" fontId="4" fillId="0" borderId="0" xfId="0" applyNumberFormat="1" applyFont="1" applyAlignment="1" applyProtection="1">
      <alignment horizontal="center" vertical="center"/>
      <protection hidden="1"/>
    </xf>
    <xf numFmtId="0" fontId="4" fillId="0" borderId="0" xfId="0" applyFont="1" applyAlignment="1" applyProtection="1">
      <alignment horizontal="center" vertical="center"/>
      <protection hidden="1"/>
    </xf>
    <xf numFmtId="0" fontId="20" fillId="0" borderId="0" xfId="0" applyFont="1" applyAlignment="1" applyProtection="1">
      <alignment horizontal="left" vertical="center"/>
      <protection hidden="1"/>
    </xf>
    <xf numFmtId="1" fontId="10" fillId="0" borderId="0" xfId="0" applyNumberFormat="1" applyFont="1" applyAlignment="1" applyProtection="1">
      <alignment horizontal="center"/>
      <protection hidden="1"/>
    </xf>
    <xf numFmtId="0" fontId="11" fillId="0" borderId="0" xfId="0" applyFont="1" applyAlignment="1" applyProtection="1">
      <alignment horizontal="right"/>
      <protection hidden="1"/>
    </xf>
    <xf numFmtId="3" fontId="11" fillId="0" borderId="0" xfId="0" applyNumberFormat="1" applyFont="1" applyAlignment="1" applyProtection="1">
      <alignment horizontal="right" vertical="center"/>
      <protection hidden="1"/>
    </xf>
    <xf numFmtId="0" fontId="11" fillId="0" borderId="0" xfId="0" applyFont="1" applyAlignment="1" applyProtection="1">
      <alignment horizontal="center"/>
      <protection hidden="1"/>
    </xf>
    <xf numFmtId="0" fontId="11" fillId="0" borderId="0" xfId="0" applyFont="1" applyAlignment="1" applyProtection="1">
      <alignment horizontal="right" vertical="center"/>
      <protection hidden="1"/>
    </xf>
    <xf numFmtId="1" fontId="11" fillId="0" borderId="0" xfId="0" applyNumberFormat="1" applyFont="1" applyAlignment="1" applyProtection="1">
      <alignment horizontal="right"/>
      <protection hidden="1"/>
    </xf>
    <xf numFmtId="3" fontId="11" fillId="0" borderId="0" xfId="0" applyNumberFormat="1" applyFont="1" applyAlignment="1" applyProtection="1">
      <alignment horizontal="right"/>
      <protection hidden="1"/>
    </xf>
    <xf numFmtId="0" fontId="11" fillId="0" borderId="0" xfId="0" applyFont="1" applyAlignment="1" applyProtection="1">
      <alignment vertical="center"/>
      <protection hidden="1"/>
    </xf>
    <xf numFmtId="0" fontId="6" fillId="0" borderId="0" xfId="0" applyFont="1" applyAlignment="1">
      <alignment horizontal="right"/>
    </xf>
    <xf numFmtId="0" fontId="6" fillId="2" borderId="0" xfId="0" applyFont="1" applyFill="1"/>
    <xf numFmtId="3" fontId="6" fillId="0" borderId="0" xfId="0" applyNumberFormat="1" applyFont="1" applyAlignment="1">
      <alignment horizontal="right"/>
    </xf>
    <xf numFmtId="0" fontId="32" fillId="0" borderId="0" xfId="0" applyFont="1"/>
    <xf numFmtId="0" fontId="32" fillId="0" borderId="0" xfId="0" applyFont="1" applyAlignment="1">
      <alignment horizontal="center"/>
    </xf>
    <xf numFmtId="0" fontId="0" fillId="0" borderId="10" xfId="0" applyBorder="1" applyAlignment="1">
      <alignment vertical="center"/>
    </xf>
    <xf numFmtId="0" fontId="24" fillId="2" borderId="0" xfId="0" applyFont="1" applyFill="1" applyAlignment="1">
      <alignment horizontal="left"/>
    </xf>
    <xf numFmtId="0" fontId="24" fillId="0" borderId="0" xfId="0" applyFont="1" applyAlignment="1">
      <alignment horizontal="center" vertical="center"/>
    </xf>
    <xf numFmtId="0" fontId="8" fillId="0" borderId="0" xfId="0" applyFont="1" applyAlignment="1">
      <alignment horizontal="left" vertical="center"/>
    </xf>
    <xf numFmtId="0" fontId="5" fillId="0" borderId="17" xfId="0" applyFont="1" applyBorder="1" applyAlignment="1">
      <alignment horizontal="left" vertical="center"/>
    </xf>
    <xf numFmtId="0" fontId="22" fillId="2" borderId="17" xfId="0" applyFont="1" applyFill="1" applyBorder="1"/>
    <xf numFmtId="0" fontId="19" fillId="0" borderId="0" xfId="0" applyFont="1"/>
    <xf numFmtId="0" fontId="5" fillId="0" borderId="17" xfId="0" applyFont="1" applyBorder="1"/>
    <xf numFmtId="0" fontId="19" fillId="0" borderId="17" xfId="0" applyFont="1" applyBorder="1"/>
    <xf numFmtId="0" fontId="19" fillId="0" borderId="17" xfId="0" applyFont="1" applyBorder="1" applyAlignment="1">
      <alignment horizontal="center"/>
    </xf>
    <xf numFmtId="14" fontId="4" fillId="0" borderId="0" xfId="0" applyNumberFormat="1" applyFont="1" applyAlignment="1">
      <alignment horizontal="center"/>
    </xf>
    <xf numFmtId="0" fontId="5" fillId="0" borderId="27" xfId="0" applyFont="1" applyBorder="1" applyAlignment="1" applyProtection="1">
      <alignment horizontal="left" vertical="center"/>
      <protection hidden="1"/>
    </xf>
    <xf numFmtId="0" fontId="11" fillId="0" borderId="0" xfId="0" applyFont="1" applyAlignment="1">
      <alignment vertical="center"/>
    </xf>
    <xf numFmtId="0" fontId="11" fillId="0" borderId="0" xfId="0" applyFont="1" applyAlignment="1">
      <alignment horizontal="center" vertical="center"/>
    </xf>
    <xf numFmtId="0" fontId="11" fillId="0" borderId="25" xfId="0" applyFont="1" applyBorder="1" applyAlignment="1">
      <alignment vertical="center"/>
    </xf>
    <xf numFmtId="0" fontId="5" fillId="0" borderId="0" xfId="0" applyFont="1" applyAlignment="1">
      <alignment horizontal="right"/>
    </xf>
    <xf numFmtId="0" fontId="4" fillId="0" borderId="3" xfId="0" applyFont="1" applyBorder="1" applyAlignment="1">
      <alignment horizontal="left" vertical="center"/>
    </xf>
    <xf numFmtId="0" fontId="16" fillId="0" borderId="3" xfId="0" applyFont="1" applyBorder="1"/>
    <xf numFmtId="0" fontId="0" fillId="0" borderId="27" xfId="0" applyBorder="1"/>
    <xf numFmtId="0" fontId="0" fillId="0" borderId="28" xfId="0" applyBorder="1"/>
    <xf numFmtId="3" fontId="0" fillId="0" borderId="35" xfId="0" applyNumberFormat="1" applyBorder="1"/>
    <xf numFmtId="3" fontId="0" fillId="0" borderId="36" xfId="0" applyNumberFormat="1" applyBorder="1"/>
    <xf numFmtId="3" fontId="5" fillId="0" borderId="0" xfId="0" applyNumberFormat="1" applyFont="1"/>
    <xf numFmtId="0" fontId="5" fillId="0" borderId="38" xfId="0" applyFont="1" applyBorder="1" applyAlignment="1" applyProtection="1">
      <alignment horizontal="center" vertical="center"/>
      <protection hidden="1"/>
    </xf>
    <xf numFmtId="0" fontId="3" fillId="0" borderId="27" xfId="0" applyFont="1" applyBorder="1" applyAlignment="1">
      <alignment horizontal="center"/>
    </xf>
    <xf numFmtId="1" fontId="5" fillId="3" borderId="39" xfId="0" applyNumberFormat="1" applyFont="1" applyFill="1" applyBorder="1" applyAlignment="1">
      <alignment horizontal="center"/>
    </xf>
    <xf numFmtId="0" fontId="11" fillId="0" borderId="18" xfId="0" applyFont="1" applyBorder="1"/>
    <xf numFmtId="164" fontId="11" fillId="0" borderId="18" xfId="2" applyNumberFormat="1" applyFont="1" applyBorder="1"/>
    <xf numFmtId="3" fontId="11" fillId="0" borderId="18" xfId="2" applyNumberFormat="1" applyFont="1" applyBorder="1"/>
    <xf numFmtId="164" fontId="0" fillId="0" borderId="18" xfId="2" applyNumberFormat="1" applyFont="1" applyBorder="1"/>
    <xf numFmtId="0" fontId="11" fillId="0" borderId="17" xfId="0" applyFont="1" applyBorder="1" applyAlignment="1">
      <alignment vertical="center"/>
    </xf>
    <xf numFmtId="3" fontId="11" fillId="0" borderId="0" xfId="0" applyNumberFormat="1" applyFont="1" applyAlignment="1">
      <alignment horizontal="center" vertical="center"/>
    </xf>
    <xf numFmtId="0" fontId="11" fillId="0" borderId="27" xfId="0" applyFont="1" applyBorder="1" applyAlignment="1" applyProtection="1">
      <alignment horizontal="left" vertical="center"/>
      <protection locked="0"/>
    </xf>
    <xf numFmtId="0" fontId="11" fillId="0" borderId="0" xfId="0" applyFont="1" applyAlignment="1" applyProtection="1">
      <alignment horizontal="left" vertical="center"/>
      <protection locked="0"/>
    </xf>
    <xf numFmtId="3" fontId="10" fillId="0" borderId="0" xfId="0" applyNumberFormat="1" applyFont="1" applyAlignment="1">
      <alignment horizontal="center" vertical="center"/>
    </xf>
    <xf numFmtId="0" fontId="11" fillId="0" borderId="0" xfId="0" applyFont="1" applyAlignment="1">
      <alignment horizontal="left" vertical="center"/>
    </xf>
    <xf numFmtId="0" fontId="5" fillId="0" borderId="0" xfId="0" applyFont="1" applyAlignment="1">
      <alignment vertical="center"/>
    </xf>
    <xf numFmtId="0" fontId="0" fillId="0" borderId="34" xfId="0" applyBorder="1"/>
    <xf numFmtId="0" fontId="5" fillId="0" borderId="31" xfId="0" applyFont="1" applyBorder="1" applyAlignment="1">
      <alignment horizontal="right" vertical="center"/>
    </xf>
    <xf numFmtId="9" fontId="0" fillId="0" borderId="0" xfId="2" applyFont="1"/>
    <xf numFmtId="167" fontId="5" fillId="0" borderId="0" xfId="0" applyNumberFormat="1" applyFont="1"/>
    <xf numFmtId="0" fontId="0" fillId="0" borderId="0" xfId="0" applyAlignment="1">
      <alignment horizontal="right"/>
    </xf>
    <xf numFmtId="3" fontId="4" fillId="5" borderId="17" xfId="0" applyNumberFormat="1" applyFont="1" applyFill="1" applyBorder="1" applyAlignment="1">
      <alignment horizontal="right" vertical="center"/>
    </xf>
    <xf numFmtId="3" fontId="4" fillId="5" borderId="33" xfId="0" applyNumberFormat="1" applyFont="1" applyFill="1" applyBorder="1" applyAlignment="1">
      <alignment horizontal="right" vertical="center"/>
    </xf>
    <xf numFmtId="0" fontId="10" fillId="0" borderId="8" xfId="0" applyFont="1" applyBorder="1" applyAlignment="1">
      <alignment vertical="center"/>
    </xf>
    <xf numFmtId="0" fontId="10" fillId="0" borderId="9" xfId="0" applyFont="1" applyBorder="1" applyAlignment="1">
      <alignment horizontal="right" vertical="center"/>
    </xf>
    <xf numFmtId="0" fontId="11" fillId="0" borderId="27" xfId="0" applyFont="1" applyBorder="1" applyAlignment="1">
      <alignment horizontal="center" vertical="center"/>
    </xf>
    <xf numFmtId="0" fontId="11" fillId="0" borderId="17" xfId="0" applyFont="1" applyBorder="1" applyAlignment="1">
      <alignment horizontal="right" vertical="center"/>
    </xf>
    <xf numFmtId="3" fontId="0" fillId="0" borderId="18" xfId="0" applyNumberFormat="1" applyBorder="1"/>
    <xf numFmtId="49" fontId="4" fillId="2" borderId="0" xfId="0" applyNumberFormat="1" applyFont="1" applyFill="1" applyAlignment="1">
      <alignment horizontal="center"/>
    </xf>
    <xf numFmtId="49" fontId="5" fillId="2" borderId="0" xfId="0" applyNumberFormat="1" applyFont="1" applyFill="1" applyAlignment="1">
      <alignment horizontal="center"/>
    </xf>
    <xf numFmtId="3" fontId="4" fillId="2" borderId="0" xfId="0" applyNumberFormat="1" applyFont="1" applyFill="1"/>
    <xf numFmtId="0" fontId="5" fillId="0" borderId="21" xfId="0" applyFont="1" applyBorder="1" applyAlignment="1">
      <alignment horizontal="right"/>
    </xf>
    <xf numFmtId="0" fontId="5" fillId="0" borderId="11" xfId="0" applyFont="1" applyBorder="1"/>
    <xf numFmtId="0" fontId="16" fillId="0" borderId="11" xfId="0" applyFont="1" applyBorder="1"/>
    <xf numFmtId="167" fontId="5" fillId="0" borderId="11" xfId="0" applyNumberFormat="1" applyFont="1" applyBorder="1"/>
    <xf numFmtId="3" fontId="5" fillId="0" borderId="11" xfId="0" applyNumberFormat="1" applyFont="1" applyBorder="1"/>
    <xf numFmtId="3" fontId="5" fillId="0" borderId="20" xfId="0" applyNumberFormat="1" applyFont="1" applyBorder="1" applyAlignment="1" applyProtection="1">
      <alignment horizontal="center" vertical="center"/>
      <protection hidden="1"/>
    </xf>
    <xf numFmtId="0" fontId="10" fillId="0" borderId="5" xfId="0" applyFont="1" applyBorder="1" applyAlignment="1" applyProtection="1">
      <alignment vertical="center"/>
      <protection hidden="1"/>
    </xf>
    <xf numFmtId="0" fontId="10" fillId="0" borderId="5" xfId="0" applyFont="1" applyBorder="1" applyAlignment="1">
      <alignment vertical="center"/>
    </xf>
    <xf numFmtId="3" fontId="10" fillId="0" borderId="5" xfId="0" applyNumberFormat="1" applyFont="1" applyBorder="1" applyAlignment="1">
      <alignment vertical="center"/>
    </xf>
    <xf numFmtId="3" fontId="0" fillId="0" borderId="36" xfId="2" applyNumberFormat="1" applyFont="1" applyBorder="1"/>
    <xf numFmtId="3" fontId="0" fillId="0" borderId="43" xfId="0" applyNumberFormat="1" applyBorder="1"/>
    <xf numFmtId="0" fontId="37" fillId="0" borderId="0" xfId="0" applyFont="1" applyProtection="1">
      <protection hidden="1"/>
    </xf>
    <xf numFmtId="9" fontId="11" fillId="7" borderId="32" xfId="2" applyFont="1" applyFill="1" applyBorder="1" applyAlignment="1" applyProtection="1">
      <alignment horizontal="center" vertical="center"/>
      <protection locked="0"/>
    </xf>
    <xf numFmtId="0" fontId="5" fillId="0" borderId="46" xfId="0" applyFont="1" applyBorder="1" applyAlignment="1">
      <alignment vertical="center"/>
    </xf>
    <xf numFmtId="0" fontId="11" fillId="0" borderId="50" xfId="0" applyFont="1" applyBorder="1" applyAlignment="1">
      <alignment vertical="center"/>
    </xf>
    <xf numFmtId="0" fontId="6" fillId="0" borderId="50" xfId="0" applyFont="1" applyBorder="1" applyAlignment="1">
      <alignment vertical="center"/>
    </xf>
    <xf numFmtId="0" fontId="6" fillId="0" borderId="21" xfId="0" applyFont="1" applyBorder="1" applyAlignment="1">
      <alignment vertical="center"/>
    </xf>
    <xf numFmtId="0" fontId="6" fillId="0" borderId="52" xfId="0" applyFont="1" applyBorder="1" applyAlignment="1">
      <alignment vertical="center"/>
    </xf>
    <xf numFmtId="0" fontId="5" fillId="0" borderId="53" xfId="0" applyFont="1" applyBorder="1" applyAlignment="1">
      <alignment vertical="center"/>
    </xf>
    <xf numFmtId="0" fontId="6" fillId="0" borderId="26" xfId="0" applyFont="1" applyBorder="1" applyAlignment="1">
      <alignment vertical="center"/>
    </xf>
    <xf numFmtId="0" fontId="5" fillId="0" borderId="7" xfId="0" applyFont="1" applyBorder="1" applyAlignment="1">
      <alignment vertical="center"/>
    </xf>
    <xf numFmtId="0" fontId="10" fillId="0" borderId="47" xfId="0" applyFont="1" applyBorder="1" applyAlignment="1">
      <alignment vertical="center"/>
    </xf>
    <xf numFmtId="0" fontId="6" fillId="0" borderId="50" xfId="0" applyFont="1" applyBorder="1" applyAlignment="1">
      <alignment horizontal="right" vertical="center"/>
    </xf>
    <xf numFmtId="0" fontId="6" fillId="0" borderId="55" xfId="0" applyFont="1" applyBorder="1" applyAlignment="1">
      <alignment vertical="center"/>
    </xf>
    <xf numFmtId="0" fontId="10" fillId="0" borderId="24" xfId="0" applyFont="1" applyBorder="1" applyAlignment="1">
      <alignment vertical="center"/>
    </xf>
    <xf numFmtId="0" fontId="6" fillId="0" borderId="19" xfId="0" applyFont="1" applyBorder="1" applyAlignment="1">
      <alignment vertical="center"/>
    </xf>
    <xf numFmtId="0" fontId="10" fillId="0" borderId="7" xfId="0" applyFont="1" applyBorder="1" applyAlignment="1">
      <alignment vertical="center"/>
    </xf>
    <xf numFmtId="0" fontId="10" fillId="0" borderId="56" xfId="0" applyFont="1" applyBorder="1" applyAlignment="1">
      <alignment horizontal="left" vertical="center"/>
    </xf>
    <xf numFmtId="0" fontId="11" fillId="0" borderId="50" xfId="0" applyFont="1" applyBorder="1" applyAlignment="1">
      <alignment horizontal="right" vertical="center"/>
    </xf>
    <xf numFmtId="0" fontId="11" fillId="0" borderId="52" xfId="0" applyFont="1" applyBorder="1" applyAlignment="1">
      <alignment horizontal="right" vertical="center"/>
    </xf>
    <xf numFmtId="49" fontId="11" fillId="7" borderId="24" xfId="0" applyNumberFormat="1" applyFont="1" applyFill="1" applyBorder="1" applyAlignment="1" applyProtection="1">
      <alignment horizontal="left" vertical="center"/>
      <protection locked="0"/>
    </xf>
    <xf numFmtId="0" fontId="0" fillId="0" borderId="0" xfId="0" applyAlignment="1">
      <alignment horizontal="center" vertical="center"/>
    </xf>
    <xf numFmtId="0" fontId="8" fillId="0" borderId="8" xfId="0" applyFont="1" applyBorder="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5" fillId="0" borderId="17" xfId="0" applyFont="1" applyBorder="1" applyAlignment="1">
      <alignment vertical="center"/>
    </xf>
    <xf numFmtId="0" fontId="0" fillId="0" borderId="17" xfId="0" applyBorder="1" applyAlignment="1">
      <alignment vertical="center"/>
    </xf>
    <xf numFmtId="0" fontId="0" fillId="0" borderId="8" xfId="0" applyBorder="1" applyAlignment="1">
      <alignment vertical="center"/>
    </xf>
    <xf numFmtId="0" fontId="0" fillId="0" borderId="17" xfId="0" applyBorder="1" applyAlignment="1">
      <alignment horizontal="left" vertical="center"/>
    </xf>
    <xf numFmtId="3" fontId="0" fillId="0" borderId="0" xfId="2" applyNumberFormat="1" applyFont="1"/>
    <xf numFmtId="0" fontId="4" fillId="0" borderId="0" xfId="0" applyFont="1" applyAlignment="1">
      <alignment horizontal="left" vertical="center" wrapText="1"/>
    </xf>
    <xf numFmtId="0" fontId="0" fillId="0" borderId="0" xfId="0" applyAlignment="1" applyProtection="1">
      <alignment horizontal="center" vertical="center"/>
      <protection hidden="1"/>
    </xf>
    <xf numFmtId="0" fontId="4" fillId="0" borderId="0" xfId="0" applyFont="1" applyAlignment="1" applyProtection="1">
      <alignment vertical="center"/>
      <protection hidden="1"/>
    </xf>
    <xf numFmtId="0" fontId="4" fillId="0" borderId="0" xfId="0" applyFont="1" applyAlignment="1" applyProtection="1">
      <alignment horizontal="right" vertical="center"/>
      <protection hidden="1"/>
    </xf>
    <xf numFmtId="166" fontId="0" fillId="0" borderId="0" xfId="0" applyNumberFormat="1" applyAlignment="1" applyProtection="1">
      <alignment horizontal="right" vertical="center"/>
      <protection hidden="1"/>
    </xf>
    <xf numFmtId="3" fontId="4" fillId="0" borderId="0" xfId="0" applyNumberFormat="1" applyFont="1" applyAlignment="1" applyProtection="1">
      <alignment vertical="center"/>
      <protection hidden="1"/>
    </xf>
    <xf numFmtId="0" fontId="6" fillId="0" borderId="0" xfId="0" applyFont="1" applyAlignment="1" applyProtection="1">
      <alignment horizontal="left"/>
      <protection hidden="1"/>
    </xf>
    <xf numFmtId="0" fontId="6" fillId="0" borderId="0" xfId="0" applyFont="1" applyAlignment="1" applyProtection="1">
      <alignment horizontal="right"/>
      <protection hidden="1"/>
    </xf>
    <xf numFmtId="0" fontId="5" fillId="0" borderId="13" xfId="0" applyFont="1" applyBorder="1" applyAlignment="1">
      <alignment horizontal="right"/>
    </xf>
    <xf numFmtId="3" fontId="5" fillId="0" borderId="3" xfId="0" applyNumberFormat="1" applyFont="1" applyBorder="1"/>
    <xf numFmtId="9" fontId="5" fillId="0" borderId="3" xfId="2" applyFont="1" applyBorder="1"/>
    <xf numFmtId="0" fontId="5" fillId="0" borderId="3" xfId="0" applyFont="1" applyBorder="1"/>
    <xf numFmtId="167" fontId="5" fillId="0" borderId="3" xfId="0" applyNumberFormat="1" applyFont="1" applyBorder="1"/>
    <xf numFmtId="3" fontId="5" fillId="0" borderId="2" xfId="0" applyNumberFormat="1" applyFont="1" applyBorder="1"/>
    <xf numFmtId="0" fontId="0" fillId="0" borderId="27" xfId="0" applyBorder="1" applyAlignment="1">
      <alignment horizontal="right"/>
    </xf>
    <xf numFmtId="0" fontId="4" fillId="0" borderId="14" xfId="0" applyFont="1" applyBorder="1" applyAlignment="1">
      <alignment horizontal="right"/>
    </xf>
    <xf numFmtId="0" fontId="17" fillId="0" borderId="34" xfId="0" applyFont="1" applyBorder="1"/>
    <xf numFmtId="167" fontId="0" fillId="0" borderId="34" xfId="0" applyNumberFormat="1" applyBorder="1"/>
    <xf numFmtId="3" fontId="0" fillId="0" borderId="34" xfId="0" applyNumberFormat="1" applyBorder="1"/>
    <xf numFmtId="3" fontId="4" fillId="0" borderId="34" xfId="0" applyNumberFormat="1" applyFont="1" applyBorder="1"/>
    <xf numFmtId="3" fontId="5" fillId="0" borderId="61" xfId="0" applyNumberFormat="1" applyFont="1" applyBorder="1" applyAlignment="1" applyProtection="1">
      <alignment vertical="center"/>
      <protection hidden="1"/>
    </xf>
    <xf numFmtId="0" fontId="4" fillId="0" borderId="29" xfId="0" applyFont="1" applyBorder="1" applyAlignment="1" applyProtection="1">
      <alignment vertical="center"/>
      <protection hidden="1"/>
    </xf>
    <xf numFmtId="0" fontId="4" fillId="0" borderId="53" xfId="0" applyFont="1" applyBorder="1" applyAlignment="1" applyProtection="1">
      <alignment vertical="center"/>
      <protection hidden="1"/>
    </xf>
    <xf numFmtId="49" fontId="5" fillId="0" borderId="56" xfId="0" applyNumberFormat="1" applyFont="1" applyBorder="1" applyAlignment="1" applyProtection="1">
      <alignment horizontal="center" vertical="center"/>
      <protection hidden="1"/>
    </xf>
    <xf numFmtId="3" fontId="11" fillId="0" borderId="21" xfId="0" applyNumberFormat="1" applyFont="1" applyBorder="1" applyAlignment="1" applyProtection="1">
      <alignment vertical="center"/>
      <protection hidden="1"/>
    </xf>
    <xf numFmtId="9" fontId="11" fillId="0" borderId="18" xfId="2" applyFont="1" applyBorder="1"/>
    <xf numFmtId="0" fontId="5" fillId="0" borderId="17" xfId="0" applyFont="1" applyBorder="1" applyAlignment="1" applyProtection="1">
      <alignment horizontal="left" vertical="center"/>
      <protection hidden="1"/>
    </xf>
    <xf numFmtId="0" fontId="0" fillId="0" borderId="17" xfId="0" applyBorder="1" applyAlignment="1" applyProtection="1">
      <alignment horizontal="left" vertical="center"/>
      <protection hidden="1"/>
    </xf>
    <xf numFmtId="0" fontId="8" fillId="0" borderId="8" xfId="0" applyFont="1" applyBorder="1" applyAlignment="1" applyProtection="1">
      <alignment horizontal="left" vertical="center"/>
      <protection hidden="1"/>
    </xf>
    <xf numFmtId="1" fontId="5" fillId="3" borderId="61" xfId="0" applyNumberFormat="1" applyFont="1" applyFill="1" applyBorder="1" applyAlignment="1" applyProtection="1">
      <alignment horizontal="center" vertical="center"/>
      <protection hidden="1"/>
    </xf>
    <xf numFmtId="0" fontId="4" fillId="0" borderId="15" xfId="0" applyFont="1" applyBorder="1" applyAlignment="1" applyProtection="1">
      <alignment horizontal="left" vertical="center"/>
      <protection hidden="1"/>
    </xf>
    <xf numFmtId="0" fontId="5" fillId="0" borderId="13" xfId="0" applyFont="1" applyBorder="1" applyAlignment="1" applyProtection="1">
      <alignment horizontal="left" vertical="center"/>
      <protection hidden="1"/>
    </xf>
    <xf numFmtId="49" fontId="10" fillId="0" borderId="7" xfId="0" applyNumberFormat="1" applyFont="1" applyBorder="1" applyAlignment="1">
      <alignment horizontal="left" vertical="center"/>
    </xf>
    <xf numFmtId="49" fontId="10" fillId="0" borderId="7" xfId="0" applyNumberFormat="1" applyFont="1" applyBorder="1" applyAlignment="1" applyProtection="1">
      <alignment horizontal="left" vertical="center"/>
      <protection hidden="1"/>
    </xf>
    <xf numFmtId="49" fontId="10" fillId="0" borderId="6" xfId="0" applyNumberFormat="1" applyFont="1" applyBorder="1" applyAlignment="1" applyProtection="1">
      <alignment horizontal="left" vertical="center"/>
      <protection hidden="1"/>
    </xf>
    <xf numFmtId="1" fontId="10" fillId="0" borderId="18" xfId="0" applyNumberFormat="1" applyFont="1" applyBorder="1" applyAlignment="1" applyProtection="1">
      <alignment horizontal="center"/>
      <protection hidden="1"/>
    </xf>
    <xf numFmtId="1" fontId="10" fillId="0" borderId="18" xfId="0" applyNumberFormat="1" applyFont="1" applyBorder="1" applyAlignment="1">
      <alignment horizontal="center"/>
    </xf>
    <xf numFmtId="166" fontId="5" fillId="0" borderId="0" xfId="0" applyNumberFormat="1" applyFont="1"/>
    <xf numFmtId="0" fontId="16" fillId="0" borderId="0" xfId="0" applyFont="1"/>
    <xf numFmtId="0" fontId="5" fillId="8" borderId="27" xfId="0" applyFont="1" applyFill="1" applyBorder="1" applyAlignment="1">
      <alignment horizontal="center" vertical="center"/>
    </xf>
    <xf numFmtId="0" fontId="5" fillId="8" borderId="0" xfId="0" applyFont="1" applyFill="1" applyAlignment="1">
      <alignment horizontal="center" vertical="center"/>
    </xf>
    <xf numFmtId="0" fontId="5" fillId="8" borderId="28" xfId="0" applyFont="1" applyFill="1" applyBorder="1" applyAlignment="1">
      <alignment horizontal="center" vertical="center"/>
    </xf>
    <xf numFmtId="166" fontId="5" fillId="0" borderId="0" xfId="0" applyNumberFormat="1" applyFont="1" applyAlignment="1">
      <alignment horizontal="center"/>
    </xf>
    <xf numFmtId="3" fontId="5" fillId="0" borderId="8" xfId="0" applyNumberFormat="1" applyFont="1" applyBorder="1"/>
    <xf numFmtId="3" fontId="5" fillId="0" borderId="65" xfId="0" applyNumberFormat="1" applyFont="1" applyBorder="1"/>
    <xf numFmtId="3" fontId="5" fillId="0" borderId="66" xfId="0" applyNumberFormat="1" applyFont="1" applyBorder="1"/>
    <xf numFmtId="3" fontId="5" fillId="0" borderId="57" xfId="0" applyNumberFormat="1" applyFont="1" applyBorder="1"/>
    <xf numFmtId="3" fontId="5" fillId="0" borderId="40" xfId="0" applyNumberFormat="1" applyFont="1" applyBorder="1"/>
    <xf numFmtId="3" fontId="5" fillId="0" borderId="17" xfId="0" applyNumberFormat="1" applyFont="1" applyBorder="1"/>
    <xf numFmtId="3" fontId="5" fillId="0" borderId="67" xfId="0" applyNumberFormat="1" applyFont="1" applyBorder="1"/>
    <xf numFmtId="3" fontId="5" fillId="0" borderId="13" xfId="0" applyNumberFormat="1" applyFont="1" applyBorder="1"/>
    <xf numFmtId="0" fontId="5" fillId="0" borderId="3" xfId="0" applyFont="1" applyBorder="1" applyAlignment="1">
      <alignment horizontal="center"/>
    </xf>
    <xf numFmtId="166" fontId="5" fillId="0" borderId="3" xfId="0" applyNumberFormat="1" applyFont="1" applyBorder="1"/>
    <xf numFmtId="3" fontId="5" fillId="0" borderId="14" xfId="0" applyNumberFormat="1" applyFont="1" applyBorder="1"/>
    <xf numFmtId="3" fontId="5" fillId="0" borderId="34" xfId="0" applyNumberFormat="1" applyFont="1" applyBorder="1"/>
    <xf numFmtId="0" fontId="5" fillId="0" borderId="34" xfId="0" applyFont="1" applyBorder="1" applyAlignment="1">
      <alignment horizontal="center"/>
    </xf>
    <xf numFmtId="0" fontId="5" fillId="0" borderId="61" xfId="0" applyFont="1" applyBorder="1" applyAlignment="1">
      <alignment horizontal="center" vertical="center"/>
    </xf>
    <xf numFmtId="3" fontId="5" fillId="0" borderId="68" xfId="0" applyNumberFormat="1" applyFont="1" applyBorder="1"/>
    <xf numFmtId="3" fontId="5" fillId="0" borderId="14" xfId="0" applyNumberFormat="1" applyFont="1" applyBorder="1" applyAlignment="1">
      <alignment horizontal="center"/>
    </xf>
    <xf numFmtId="0" fontId="4" fillId="0" borderId="3" xfId="0" applyFont="1" applyBorder="1" applyProtection="1">
      <protection hidden="1"/>
    </xf>
    <xf numFmtId="0" fontId="11" fillId="0" borderId="0" xfId="0" applyFont="1" applyAlignment="1" applyProtection="1">
      <alignment horizontal="left" vertical="center"/>
      <protection hidden="1"/>
    </xf>
    <xf numFmtId="0" fontId="11" fillId="0" borderId="0" xfId="0" applyFont="1" applyAlignment="1" applyProtection="1">
      <alignment vertical="center"/>
      <protection locked="0"/>
    </xf>
    <xf numFmtId="3" fontId="10" fillId="0" borderId="35" xfId="0" applyNumberFormat="1" applyFont="1" applyBorder="1" applyAlignment="1" applyProtection="1">
      <alignment horizontal="center" vertical="center"/>
      <protection hidden="1"/>
    </xf>
    <xf numFmtId="166" fontId="11" fillId="0" borderId="35" xfId="0" applyNumberFormat="1" applyFont="1" applyBorder="1" applyAlignment="1" applyProtection="1">
      <alignment horizontal="center" vertical="center"/>
      <protection hidden="1"/>
    </xf>
    <xf numFmtId="166" fontId="11" fillId="7" borderId="35" xfId="0" applyNumberFormat="1" applyFont="1" applyFill="1" applyBorder="1" applyAlignment="1" applyProtection="1">
      <alignment horizontal="center" vertical="center"/>
      <protection locked="0" hidden="1"/>
    </xf>
    <xf numFmtId="0" fontId="10" fillId="0" borderId="28" xfId="0" applyFont="1" applyBorder="1" applyAlignment="1">
      <alignment horizontal="right" vertical="center"/>
    </xf>
    <xf numFmtId="0" fontId="11" fillId="0" borderId="14" xfId="0" applyFont="1" applyBorder="1" applyAlignment="1" applyProtection="1">
      <alignment horizontal="center" vertical="center"/>
      <protection hidden="1"/>
    </xf>
    <xf numFmtId="0" fontId="10" fillId="0" borderId="34" xfId="0" applyFont="1" applyBorder="1" applyAlignment="1" applyProtection="1">
      <alignment horizontal="left" vertical="center"/>
      <protection hidden="1"/>
    </xf>
    <xf numFmtId="0" fontId="10" fillId="0" borderId="68" xfId="0" applyFont="1" applyBorder="1" applyAlignment="1" applyProtection="1">
      <alignment horizontal="left" vertical="center"/>
      <protection hidden="1"/>
    </xf>
    <xf numFmtId="166" fontId="11" fillId="0" borderId="54" xfId="0" applyNumberFormat="1" applyFont="1" applyBorder="1" applyAlignment="1" applyProtection="1">
      <alignment horizontal="center" vertical="center"/>
      <protection hidden="1"/>
    </xf>
    <xf numFmtId="0" fontId="34" fillId="0" borderId="0" xfId="0" applyFont="1"/>
    <xf numFmtId="167" fontId="11" fillId="0" borderId="0" xfId="0" applyNumberFormat="1" applyFont="1" applyAlignment="1">
      <alignment horizontal="center"/>
    </xf>
    <xf numFmtId="164" fontId="11" fillId="0" borderId="0" xfId="0" applyNumberFormat="1" applyFont="1" applyAlignment="1" applyProtection="1">
      <alignment horizontal="right"/>
      <protection hidden="1"/>
    </xf>
    <xf numFmtId="0" fontId="34" fillId="0" borderId="0" xfId="0" applyFont="1" applyProtection="1">
      <protection hidden="1"/>
    </xf>
    <xf numFmtId="0" fontId="11" fillId="0" borderId="31" xfId="0" applyFont="1" applyBorder="1" applyAlignment="1">
      <alignment vertical="center"/>
    </xf>
    <xf numFmtId="0" fontId="11" fillId="0" borderId="26" xfId="0" applyFont="1" applyBorder="1" applyAlignment="1" applyProtection="1">
      <alignment horizontal="left"/>
      <protection locked="0"/>
    </xf>
    <xf numFmtId="0" fontId="11" fillId="0" borderId="0" xfId="0" applyFont="1" applyAlignment="1" applyProtection="1">
      <alignment horizontal="left"/>
      <protection locked="0"/>
    </xf>
    <xf numFmtId="0" fontId="11" fillId="0" borderId="26" xfId="0" applyFont="1" applyBorder="1" applyAlignment="1" applyProtection="1">
      <alignment horizontal="left" vertical="center"/>
      <protection locked="0"/>
    </xf>
    <xf numFmtId="0" fontId="11" fillId="0" borderId="17" xfId="0" applyFont="1" applyBorder="1" applyAlignment="1" applyProtection="1">
      <alignment horizontal="left" vertical="center"/>
      <protection locked="0"/>
    </xf>
    <xf numFmtId="0" fontId="11" fillId="0" borderId="27" xfId="0" applyFont="1" applyBorder="1" applyAlignment="1">
      <alignment horizontal="right" vertical="center"/>
    </xf>
    <xf numFmtId="0" fontId="10" fillId="0" borderId="71" xfId="0" applyFont="1" applyBorder="1" applyAlignment="1">
      <alignment vertical="center"/>
    </xf>
    <xf numFmtId="164" fontId="6" fillId="7" borderId="47" xfId="0" applyNumberFormat="1" applyFont="1" applyFill="1" applyBorder="1" applyAlignment="1" applyProtection="1">
      <alignment horizontal="center" vertical="center"/>
      <protection locked="0"/>
    </xf>
    <xf numFmtId="164" fontId="6" fillId="7" borderId="49" xfId="0" applyNumberFormat="1" applyFont="1" applyFill="1" applyBorder="1" applyAlignment="1" applyProtection="1">
      <alignment horizontal="center" vertical="center"/>
      <protection locked="0"/>
    </xf>
    <xf numFmtId="0" fontId="4" fillId="2" borderId="0" xfId="0" applyFont="1" applyFill="1" applyAlignment="1">
      <alignment vertical="center"/>
    </xf>
    <xf numFmtId="0" fontId="4" fillId="2" borderId="0" xfId="0" applyFont="1" applyFill="1" applyAlignment="1">
      <alignment horizontal="center" vertical="center"/>
    </xf>
    <xf numFmtId="0" fontId="11" fillId="0" borderId="28" xfId="0" applyFont="1" applyBorder="1" applyAlignment="1" applyProtection="1">
      <alignment vertical="center"/>
      <protection locked="0"/>
    </xf>
    <xf numFmtId="0" fontId="11" fillId="0" borderId="34" xfId="0" applyFont="1" applyBorder="1" applyAlignment="1" applyProtection="1">
      <alignment vertical="center"/>
      <protection locked="0"/>
    </xf>
    <xf numFmtId="0" fontId="11" fillId="0" borderId="68" xfId="0" applyFont="1" applyBorder="1" applyAlignment="1" applyProtection="1">
      <alignment vertical="center"/>
      <protection locked="0"/>
    </xf>
    <xf numFmtId="0" fontId="11" fillId="0" borderId="18" xfId="0" applyFont="1" applyBorder="1" applyAlignment="1" applyProtection="1">
      <alignment horizontal="center" vertical="center"/>
      <protection hidden="1"/>
    </xf>
    <xf numFmtId="0" fontId="5" fillId="0" borderId="27" xfId="0" applyFont="1" applyBorder="1" applyProtection="1">
      <protection hidden="1"/>
    </xf>
    <xf numFmtId="0" fontId="11" fillId="0" borderId="31" xfId="0" applyFont="1" applyBorder="1" applyAlignment="1">
      <alignment horizontal="right" vertical="center"/>
    </xf>
    <xf numFmtId="167" fontId="4" fillId="0" borderId="0" xfId="0" applyNumberFormat="1" applyFont="1" applyAlignment="1" applyProtection="1">
      <alignment vertical="center"/>
      <protection hidden="1"/>
    </xf>
    <xf numFmtId="0" fontId="11" fillId="0" borderId="63" xfId="0" applyFont="1" applyBorder="1" applyAlignment="1">
      <alignment vertical="center"/>
    </xf>
    <xf numFmtId="0" fontId="11" fillId="0" borderId="11" xfId="0" applyFont="1" applyBorder="1" applyAlignment="1">
      <alignment vertical="center"/>
    </xf>
    <xf numFmtId="0" fontId="11" fillId="7" borderId="17" xfId="0" applyFont="1" applyFill="1" applyBorder="1" applyAlignment="1" applyProtection="1">
      <alignment horizontal="left"/>
      <protection locked="0"/>
    </xf>
    <xf numFmtId="0" fontId="11" fillId="0" borderId="11" xfId="0" applyFont="1" applyBorder="1"/>
    <xf numFmtId="0" fontId="11" fillId="7" borderId="11" xfId="0" applyFont="1" applyFill="1" applyBorder="1" applyAlignment="1" applyProtection="1">
      <alignment horizontal="left"/>
      <protection locked="0"/>
    </xf>
    <xf numFmtId="0" fontId="11" fillId="0" borderId="26" xfId="0" applyFont="1" applyBorder="1" applyAlignment="1" applyProtection="1">
      <alignment vertical="center"/>
      <protection locked="0"/>
    </xf>
    <xf numFmtId="0" fontId="11" fillId="0" borderId="28" xfId="0" applyFont="1" applyBorder="1" applyAlignment="1" applyProtection="1">
      <alignment horizontal="left"/>
      <protection locked="0"/>
    </xf>
    <xf numFmtId="3" fontId="11" fillId="0" borderId="0" xfId="0" applyNumberFormat="1" applyFont="1" applyAlignment="1">
      <alignment vertical="center"/>
    </xf>
    <xf numFmtId="164" fontId="11" fillId="7" borderId="18" xfId="0" applyNumberFormat="1" applyFont="1" applyFill="1" applyBorder="1" applyAlignment="1" applyProtection="1">
      <alignment horizontal="center" vertical="center"/>
      <protection locked="0"/>
    </xf>
    <xf numFmtId="0" fontId="11" fillId="0" borderId="27" xfId="0" applyFont="1" applyBorder="1" applyAlignment="1" applyProtection="1">
      <alignment vertical="center"/>
      <protection locked="0"/>
    </xf>
    <xf numFmtId="0" fontId="11" fillId="0" borderId="3" xfId="0" applyFont="1" applyBorder="1" applyAlignment="1">
      <alignment horizontal="left" vertical="center"/>
    </xf>
    <xf numFmtId="0" fontId="7" fillId="0" borderId="0" xfId="0" applyFont="1" applyAlignment="1">
      <alignment horizontal="right" vertical="center"/>
    </xf>
    <xf numFmtId="166" fontId="11" fillId="0" borderId="35" xfId="0" applyNumberFormat="1" applyFont="1" applyBorder="1" applyAlignment="1">
      <alignment horizontal="center" vertical="center"/>
    </xf>
    <xf numFmtId="0" fontId="49" fillId="0" borderId="0" xfId="0" applyFont="1" applyAlignment="1">
      <alignment vertical="center"/>
    </xf>
    <xf numFmtId="0" fontId="50" fillId="0" borderId="0" xfId="0" applyFont="1"/>
    <xf numFmtId="0" fontId="50" fillId="0" borderId="0" xfId="0" applyFont="1" applyAlignment="1">
      <alignment vertical="center"/>
    </xf>
    <xf numFmtId="0" fontId="51" fillId="0" borderId="0" xfId="0" applyFont="1" applyAlignment="1">
      <alignment vertical="center"/>
    </xf>
    <xf numFmtId="0" fontId="52" fillId="0" borderId="0" xfId="0" applyFont="1"/>
    <xf numFmtId="0" fontId="52" fillId="0" borderId="0" xfId="0" applyFont="1" applyAlignment="1">
      <alignment vertical="center"/>
    </xf>
    <xf numFmtId="0" fontId="35" fillId="0" borderId="0" xfId="0" applyFont="1"/>
    <xf numFmtId="9" fontId="11" fillId="0" borderId="26" xfId="0" applyNumberFormat="1" applyFont="1" applyBorder="1" applyAlignment="1" applyProtection="1">
      <alignment horizontal="left" vertical="center"/>
      <protection locked="0"/>
    </xf>
    <xf numFmtId="0" fontId="6" fillId="0" borderId="0" xfId="0" applyFont="1" applyProtection="1">
      <protection hidden="1"/>
    </xf>
    <xf numFmtId="0" fontId="5" fillId="0" borderId="0" xfId="0" applyFont="1" applyProtection="1">
      <protection hidden="1"/>
    </xf>
    <xf numFmtId="3" fontId="11" fillId="7" borderId="18" xfId="0" applyNumberFormat="1" applyFont="1" applyFill="1" applyBorder="1" applyAlignment="1" applyProtection="1">
      <alignment horizontal="center" vertical="center"/>
      <protection locked="0" hidden="1"/>
    </xf>
    <xf numFmtId="0" fontId="11" fillId="0" borderId="14" xfId="0" applyFont="1" applyBorder="1" applyAlignment="1" applyProtection="1">
      <alignment vertical="center"/>
      <protection locked="0"/>
    </xf>
    <xf numFmtId="0" fontId="3" fillId="7" borderId="36" xfId="0" applyFont="1" applyFill="1" applyBorder="1" applyAlignment="1" applyProtection="1">
      <alignment vertical="center"/>
      <protection locked="0"/>
    </xf>
    <xf numFmtId="0" fontId="6" fillId="0" borderId="21" xfId="0" applyFont="1" applyBorder="1" applyAlignment="1">
      <alignment horizontal="center" vertical="center"/>
    </xf>
    <xf numFmtId="0" fontId="6" fillId="0" borderId="0" xfId="0" applyFont="1" applyAlignment="1" applyProtection="1">
      <alignment horizontal="right" vertical="center"/>
      <protection hidden="1"/>
    </xf>
    <xf numFmtId="3" fontId="0" fillId="0" borderId="0" xfId="0" applyNumberFormat="1" applyProtection="1">
      <protection hidden="1"/>
    </xf>
    <xf numFmtId="1" fontId="10" fillId="0" borderId="18" xfId="0" applyNumberFormat="1" applyFont="1" applyBorder="1" applyAlignment="1">
      <alignment horizontal="center" vertical="center"/>
    </xf>
    <xf numFmtId="1" fontId="11" fillId="7" borderId="18" xfId="0" applyNumberFormat="1" applyFont="1" applyFill="1" applyBorder="1" applyAlignment="1" applyProtection="1">
      <alignment horizontal="center" vertical="center"/>
      <protection locked="0"/>
    </xf>
    <xf numFmtId="0" fontId="6" fillId="0" borderId="24" xfId="0" applyFont="1" applyBorder="1" applyAlignment="1">
      <alignment vertical="center"/>
    </xf>
    <xf numFmtId="1" fontId="10" fillId="0" borderId="0" xfId="0" applyNumberFormat="1" applyFont="1" applyAlignment="1" applyProtection="1">
      <alignment horizontal="center"/>
      <protection locked="0"/>
    </xf>
    <xf numFmtId="0" fontId="11" fillId="0" borderId="8" xfId="0" applyFont="1" applyBorder="1"/>
    <xf numFmtId="167" fontId="11" fillId="0" borderId="24" xfId="0" applyNumberFormat="1" applyFont="1" applyBorder="1" applyAlignment="1">
      <alignment horizontal="center"/>
    </xf>
    <xf numFmtId="167" fontId="11" fillId="0" borderId="58" xfId="0" applyNumberFormat="1" applyFont="1" applyBorder="1" applyAlignment="1">
      <alignment horizontal="center"/>
    </xf>
    <xf numFmtId="0" fontId="11" fillId="7" borderId="51" xfId="0" applyFont="1" applyFill="1" applyBorder="1" applyAlignment="1" applyProtection="1">
      <alignment horizontal="left" vertical="center"/>
      <protection locked="0"/>
    </xf>
    <xf numFmtId="1" fontId="11" fillId="7" borderId="32" xfId="0" applyNumberFormat="1" applyFont="1" applyFill="1" applyBorder="1" applyAlignment="1" applyProtection="1">
      <alignment horizontal="center" vertical="center"/>
      <protection locked="0"/>
    </xf>
    <xf numFmtId="1" fontId="11" fillId="7" borderId="73" xfId="0" applyNumberFormat="1" applyFont="1" applyFill="1" applyBorder="1" applyAlignment="1" applyProtection="1">
      <alignment horizontal="center" vertical="center"/>
      <protection locked="0"/>
    </xf>
    <xf numFmtId="0" fontId="11" fillId="7" borderId="36" xfId="0" applyFont="1" applyFill="1" applyBorder="1" applyAlignment="1" applyProtection="1">
      <alignment horizontal="left" vertical="center"/>
      <protection locked="0"/>
    </xf>
    <xf numFmtId="1" fontId="11" fillId="7" borderId="62" xfId="0" applyNumberFormat="1" applyFont="1" applyFill="1" applyBorder="1" applyAlignment="1" applyProtection="1">
      <alignment horizontal="center" vertical="center"/>
      <protection locked="0"/>
    </xf>
    <xf numFmtId="0" fontId="11" fillId="7" borderId="75" xfId="0" applyFont="1" applyFill="1" applyBorder="1" applyAlignment="1" applyProtection="1">
      <alignment horizontal="left" vertical="center"/>
      <protection locked="0"/>
    </xf>
    <xf numFmtId="1" fontId="10" fillId="8" borderId="61" xfId="0" applyNumberFormat="1" applyFont="1" applyFill="1" applyBorder="1" applyAlignment="1" applyProtection="1">
      <alignment horizontal="center" vertical="center"/>
      <protection hidden="1"/>
    </xf>
    <xf numFmtId="1" fontId="10" fillId="0" borderId="40" xfId="0" applyNumberFormat="1" applyFont="1" applyBorder="1" applyAlignment="1">
      <alignment horizontal="center"/>
    </xf>
    <xf numFmtId="0" fontId="11" fillId="0" borderId="26" xfId="0" applyFont="1" applyBorder="1" applyAlignment="1">
      <alignment vertical="center"/>
    </xf>
    <xf numFmtId="0" fontId="11" fillId="0" borderId="0" xfId="0" applyFont="1" applyProtection="1">
      <protection locked="0"/>
    </xf>
    <xf numFmtId="3" fontId="0" fillId="0" borderId="21" xfId="0" applyNumberFormat="1" applyBorder="1" applyAlignment="1">
      <alignment vertical="center"/>
    </xf>
    <xf numFmtId="3" fontId="0" fillId="0" borderId="43" xfId="0" applyNumberFormat="1" applyBorder="1" applyAlignment="1">
      <alignment vertical="center"/>
    </xf>
    <xf numFmtId="3" fontId="11" fillId="0" borderId="43" xfId="0" applyNumberFormat="1" applyFont="1" applyBorder="1" applyAlignment="1" applyProtection="1">
      <alignment vertical="center"/>
      <protection hidden="1"/>
    </xf>
    <xf numFmtId="0" fontId="10" fillId="3" borderId="13" xfId="0" applyFont="1" applyFill="1" applyBorder="1" applyAlignment="1">
      <alignment horizontal="center" vertical="center" wrapText="1"/>
    </xf>
    <xf numFmtId="0" fontId="10" fillId="3" borderId="1" xfId="0" applyFont="1" applyFill="1" applyBorder="1" applyAlignment="1">
      <alignment horizontal="center" vertical="center"/>
    </xf>
    <xf numFmtId="0" fontId="37" fillId="0" borderId="0" xfId="0" applyFont="1"/>
    <xf numFmtId="1" fontId="4" fillId="0" borderId="0" xfId="0" applyNumberFormat="1" applyFont="1"/>
    <xf numFmtId="17" fontId="0" fillId="3" borderId="0" xfId="0" applyNumberFormat="1" applyFill="1"/>
    <xf numFmtId="166" fontId="37" fillId="0" borderId="0" xfId="0" applyNumberFormat="1" applyFont="1"/>
    <xf numFmtId="1" fontId="37" fillId="0" borderId="0" xfId="0" applyNumberFormat="1" applyFont="1" applyAlignment="1">
      <alignment horizontal="center"/>
    </xf>
    <xf numFmtId="1" fontId="50" fillId="0" borderId="0" xfId="0" applyNumberFormat="1" applyFont="1"/>
    <xf numFmtId="0" fontId="11" fillId="0" borderId="3" xfId="0" applyFont="1" applyBorder="1" applyAlignment="1" applyProtection="1">
      <alignment vertical="center"/>
      <protection locked="0"/>
    </xf>
    <xf numFmtId="0" fontId="11" fillId="0" borderId="2" xfId="0" applyFont="1" applyBorder="1" applyAlignment="1" applyProtection="1">
      <alignment vertical="center"/>
      <protection locked="0"/>
    </xf>
    <xf numFmtId="0" fontId="11" fillId="0" borderId="0" xfId="1" applyFont="1" applyAlignment="1" applyProtection="1">
      <alignment vertical="center"/>
      <protection locked="0"/>
    </xf>
    <xf numFmtId="0" fontId="11" fillId="0" borderId="8" xfId="0" applyFont="1" applyBorder="1" applyAlignment="1" applyProtection="1">
      <alignment vertical="center"/>
      <protection locked="0"/>
    </xf>
    <xf numFmtId="0" fontId="11" fillId="2" borderId="8" xfId="0" applyFont="1" applyFill="1" applyBorder="1" applyAlignment="1" applyProtection="1">
      <alignment vertical="center"/>
      <protection locked="0"/>
    </xf>
    <xf numFmtId="0" fontId="11" fillId="0" borderId="9" xfId="0" applyFont="1" applyBorder="1" applyAlignment="1" applyProtection="1">
      <alignment vertical="center"/>
      <protection locked="0"/>
    </xf>
    <xf numFmtId="0" fontId="11" fillId="2" borderId="0" xfId="0" applyFont="1" applyFill="1" applyAlignment="1" applyProtection="1">
      <alignment vertical="center"/>
      <protection locked="0"/>
    </xf>
    <xf numFmtId="0" fontId="11" fillId="0" borderId="31" xfId="0" applyFont="1" applyBorder="1" applyAlignment="1" applyProtection="1">
      <alignment vertical="center"/>
      <protection locked="0"/>
    </xf>
    <xf numFmtId="0" fontId="11" fillId="2" borderId="31" xfId="0" applyFont="1" applyFill="1" applyBorder="1" applyAlignment="1" applyProtection="1">
      <alignment vertical="center"/>
      <protection locked="0"/>
    </xf>
    <xf numFmtId="0" fontId="11" fillId="0" borderId="17" xfId="0" applyFont="1" applyBorder="1" applyAlignment="1" applyProtection="1">
      <alignment vertical="center"/>
      <protection locked="0"/>
    </xf>
    <xf numFmtId="0" fontId="11" fillId="0" borderId="58" xfId="0" applyFont="1" applyBorder="1" applyAlignment="1" applyProtection="1">
      <alignment vertical="center"/>
      <protection locked="0"/>
    </xf>
    <xf numFmtId="0" fontId="52" fillId="0" borderId="0" xfId="0" applyFont="1" applyAlignment="1" applyProtection="1">
      <alignment vertical="center"/>
      <protection locked="0"/>
    </xf>
    <xf numFmtId="0" fontId="11" fillId="0" borderId="0" xfId="2" applyNumberFormat="1" applyFont="1" applyAlignment="1" applyProtection="1">
      <alignment vertical="center"/>
      <protection locked="0"/>
    </xf>
    <xf numFmtId="1" fontId="37" fillId="0" borderId="0" xfId="0" applyNumberFormat="1" applyFont="1" applyAlignment="1">
      <alignment horizontal="left"/>
    </xf>
    <xf numFmtId="0" fontId="7" fillId="7" borderId="18" xfId="0" applyFont="1" applyFill="1" applyBorder="1" applyAlignment="1" applyProtection="1">
      <alignment horizontal="center" vertical="center"/>
      <protection locked="0"/>
    </xf>
    <xf numFmtId="17" fontId="10" fillId="0" borderId="0" xfId="0" applyNumberFormat="1" applyFont="1"/>
    <xf numFmtId="1" fontId="10" fillId="0" borderId="0" xfId="0" applyNumberFormat="1" applyFont="1"/>
    <xf numFmtId="0" fontId="10" fillId="0" borderId="0" xfId="0" applyFont="1" applyAlignment="1">
      <alignment horizontal="right"/>
    </xf>
    <xf numFmtId="0" fontId="11" fillId="11" borderId="0" xfId="0" applyFont="1" applyFill="1"/>
    <xf numFmtId="3" fontId="11" fillId="11" borderId="0" xfId="0" applyNumberFormat="1" applyFont="1" applyFill="1"/>
    <xf numFmtId="0" fontId="3" fillId="0" borderId="0" xfId="0" applyFont="1" applyAlignment="1">
      <alignment horizontal="right"/>
    </xf>
    <xf numFmtId="1" fontId="11" fillId="0" borderId="0" xfId="0" applyNumberFormat="1" applyFont="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9" fillId="0" borderId="8" xfId="0" applyFont="1" applyBorder="1" applyAlignment="1">
      <alignment vertical="center"/>
    </xf>
    <xf numFmtId="0" fontId="4" fillId="0" borderId="9" xfId="0" applyFont="1" applyBorder="1" applyAlignment="1" applyProtection="1">
      <alignment horizontal="left" vertical="center"/>
      <protection hidden="1"/>
    </xf>
    <xf numFmtId="20" fontId="5" fillId="0" borderId="26" xfId="0" applyNumberFormat="1" applyFont="1" applyBorder="1"/>
    <xf numFmtId="0" fontId="4" fillId="0" borderId="31" xfId="0" applyFont="1" applyBorder="1" applyAlignment="1" applyProtection="1">
      <alignment horizontal="left" vertical="center"/>
      <protection hidden="1"/>
    </xf>
    <xf numFmtId="0" fontId="4" fillId="0" borderId="26" xfId="0" applyFont="1" applyBorder="1" applyAlignment="1" applyProtection="1">
      <alignment horizontal="left" vertical="center"/>
      <protection hidden="1"/>
    </xf>
    <xf numFmtId="0" fontId="33" fillId="0" borderId="26" xfId="0" applyFont="1" applyBorder="1" applyAlignment="1" applyProtection="1">
      <alignment vertical="center"/>
      <protection locked="0"/>
    </xf>
    <xf numFmtId="1" fontId="11" fillId="0" borderId="26" xfId="0" applyNumberFormat="1" applyFont="1" applyBorder="1" applyAlignment="1" applyProtection="1">
      <alignment horizontal="center" vertical="center"/>
      <protection locked="0"/>
    </xf>
    <xf numFmtId="0" fontId="11" fillId="0" borderId="31" xfId="0" applyFont="1" applyBorder="1" applyAlignment="1" applyProtection="1">
      <alignment vertical="center"/>
      <protection hidden="1"/>
    </xf>
    <xf numFmtId="0" fontId="52" fillId="0" borderId="26" xfId="0" applyFont="1" applyBorder="1" applyAlignment="1" applyProtection="1">
      <alignment vertical="center"/>
      <protection locked="0"/>
    </xf>
    <xf numFmtId="0" fontId="52" fillId="0" borderId="26" xfId="0" applyFont="1" applyBorder="1" applyAlignment="1">
      <alignment vertical="center"/>
    </xf>
    <xf numFmtId="0" fontId="11" fillId="0" borderId="56" xfId="0" applyFont="1" applyBorder="1" applyAlignment="1" applyProtection="1">
      <alignment vertical="center"/>
      <protection locked="0"/>
    </xf>
    <xf numFmtId="0" fontId="11" fillId="0" borderId="42" xfId="0" applyFont="1" applyBorder="1" applyAlignment="1" applyProtection="1">
      <alignment vertical="center"/>
      <protection locked="0"/>
    </xf>
    <xf numFmtId="0" fontId="11" fillId="0" borderId="53" xfId="0" applyFont="1" applyBorder="1" applyAlignment="1" applyProtection="1">
      <alignment vertical="center"/>
      <protection locked="0"/>
    </xf>
    <xf numFmtId="0" fontId="11" fillId="0" borderId="10" xfId="0" applyFont="1" applyBorder="1" applyAlignment="1" applyProtection="1">
      <alignment vertical="center"/>
      <protection locked="0"/>
    </xf>
    <xf numFmtId="0" fontId="54" fillId="0" borderId="26" xfId="0" applyFont="1" applyBorder="1" applyAlignment="1" applyProtection="1">
      <alignment vertical="center"/>
      <protection hidden="1"/>
    </xf>
    <xf numFmtId="0" fontId="11" fillId="0" borderId="24" xfId="0" applyFont="1" applyBorder="1" applyAlignment="1" applyProtection="1">
      <alignment vertical="center"/>
      <protection locked="0"/>
    </xf>
    <xf numFmtId="0" fontId="11" fillId="0" borderId="70" xfId="0" applyFont="1" applyBorder="1" applyAlignment="1" applyProtection="1">
      <alignment horizontal="left" vertical="center"/>
      <protection hidden="1"/>
    </xf>
    <xf numFmtId="0" fontId="11" fillId="0" borderId="69" xfId="0" applyFont="1" applyBorder="1" applyAlignment="1" applyProtection="1">
      <alignment horizontal="left" vertical="center"/>
      <protection hidden="1"/>
    </xf>
    <xf numFmtId="0" fontId="11" fillId="0" borderId="70" xfId="0" applyFont="1" applyBorder="1" applyAlignment="1" applyProtection="1">
      <alignment vertical="center"/>
      <protection hidden="1"/>
    </xf>
    <xf numFmtId="0" fontId="6" fillId="0" borderId="0" xfId="0" applyFont="1" applyAlignment="1" applyProtection="1">
      <alignment horizontal="center"/>
      <protection hidden="1"/>
    </xf>
    <xf numFmtId="0" fontId="3" fillId="0" borderId="0" xfId="0" applyFont="1" applyAlignment="1" applyProtection="1">
      <alignment vertical="center"/>
      <protection hidden="1"/>
    </xf>
    <xf numFmtId="0" fontId="3" fillId="0" borderId="0" xfId="0" applyFont="1" applyProtection="1">
      <protection hidden="1"/>
    </xf>
    <xf numFmtId="0" fontId="6" fillId="7" borderId="100" xfId="0" applyFont="1" applyFill="1" applyBorder="1" applyAlignment="1" applyProtection="1">
      <alignment vertical="center"/>
      <protection locked="0"/>
    </xf>
    <xf numFmtId="0" fontId="6" fillId="7" borderId="0" xfId="0" applyFont="1" applyFill="1" applyAlignment="1" applyProtection="1">
      <alignment vertical="center"/>
      <protection locked="0"/>
    </xf>
    <xf numFmtId="0" fontId="6" fillId="7" borderId="111" xfId="0" applyFont="1" applyFill="1" applyBorder="1" applyAlignment="1" applyProtection="1">
      <alignment vertical="center"/>
      <protection locked="0"/>
    </xf>
    <xf numFmtId="0" fontId="6" fillId="0" borderId="0" xfId="0" applyFont="1" applyAlignment="1" applyProtection="1">
      <alignment horizontal="center" vertical="center"/>
      <protection hidden="1"/>
    </xf>
    <xf numFmtId="0" fontId="6" fillId="0" borderId="0" xfId="0" applyFont="1" applyAlignment="1" applyProtection="1">
      <alignment vertical="center"/>
      <protection hidden="1"/>
    </xf>
    <xf numFmtId="3" fontId="6" fillId="0" borderId="0" xfId="0" applyNumberFormat="1" applyFont="1" applyAlignment="1" applyProtection="1">
      <alignment horizontal="center" vertical="center"/>
      <protection hidden="1"/>
    </xf>
    <xf numFmtId="0" fontId="6" fillId="0" borderId="0" xfId="0" applyFont="1" applyAlignment="1" applyProtection="1">
      <alignment horizontal="left" vertical="center"/>
      <protection hidden="1"/>
    </xf>
    <xf numFmtId="3" fontId="3" fillId="0" borderId="0" xfId="0" applyNumberFormat="1" applyFont="1" applyAlignment="1" applyProtection="1">
      <alignment vertical="center"/>
      <protection hidden="1"/>
    </xf>
    <xf numFmtId="0" fontId="8" fillId="0" borderId="0" xfId="0" applyFont="1" applyAlignment="1" applyProtection="1">
      <alignment horizontal="left"/>
      <protection hidden="1"/>
    </xf>
    <xf numFmtId="166" fontId="10" fillId="0" borderId="35" xfId="0" applyNumberFormat="1" applyFont="1" applyBorder="1" applyAlignment="1" applyProtection="1">
      <alignment horizontal="center" vertical="center"/>
      <protection hidden="1"/>
    </xf>
    <xf numFmtId="1" fontId="11" fillId="3" borderId="18" xfId="0" applyNumberFormat="1" applyFont="1" applyFill="1" applyBorder="1" applyAlignment="1" applyProtection="1">
      <alignment horizontal="center" vertical="center"/>
      <protection hidden="1"/>
    </xf>
    <xf numFmtId="3" fontId="11" fillId="0" borderId="9" xfId="0" applyNumberFormat="1" applyFont="1" applyBorder="1" applyAlignment="1">
      <alignment horizontal="center" vertical="center"/>
    </xf>
    <xf numFmtId="3" fontId="11" fillId="0" borderId="42" xfId="0" quotePrefix="1" applyNumberFormat="1" applyFont="1" applyBorder="1" applyAlignment="1">
      <alignment horizontal="center" vertical="center"/>
    </xf>
    <xf numFmtId="3" fontId="11" fillId="0" borderId="127" xfId="0" applyNumberFormat="1" applyFont="1" applyBorder="1" applyAlignment="1">
      <alignment horizontal="center" vertical="center"/>
    </xf>
    <xf numFmtId="0" fontId="11" fillId="0" borderId="129" xfId="0" applyFont="1" applyBorder="1" applyAlignment="1" applyProtection="1">
      <alignment vertical="center"/>
      <protection hidden="1"/>
    </xf>
    <xf numFmtId="0" fontId="11" fillId="0" borderId="129" xfId="0" applyFont="1" applyBorder="1" applyAlignment="1">
      <alignment horizontal="right" vertical="center"/>
    </xf>
    <xf numFmtId="0" fontId="11" fillId="0" borderId="129" xfId="0" applyFont="1" applyBorder="1" applyAlignment="1">
      <alignment vertical="center"/>
    </xf>
    <xf numFmtId="0" fontId="0" fillId="0" borderId="31" xfId="0" applyBorder="1"/>
    <xf numFmtId="0" fontId="11" fillId="0" borderId="127" xfId="0" applyFont="1" applyBorder="1" applyAlignment="1">
      <alignment horizontal="right" vertical="center"/>
    </xf>
    <xf numFmtId="0" fontId="11" fillId="0" borderId="127" xfId="0" quotePrefix="1" applyFont="1" applyBorder="1" applyAlignment="1">
      <alignment horizontal="right" vertical="center"/>
    </xf>
    <xf numFmtId="14" fontId="2" fillId="0" borderId="0" xfId="0" applyNumberFormat="1" applyFont="1"/>
    <xf numFmtId="0" fontId="10" fillId="0" borderId="0" xfId="0" applyFont="1" applyProtection="1">
      <protection hidden="1"/>
    </xf>
    <xf numFmtId="0" fontId="5" fillId="0" borderId="0" xfId="0" applyFont="1" applyAlignment="1" applyProtection="1">
      <alignment horizontal="center" vertical="center"/>
      <protection hidden="1"/>
    </xf>
    <xf numFmtId="166" fontId="11" fillId="0" borderId="27" xfId="0" applyNumberFormat="1" applyFont="1" applyBorder="1" applyAlignment="1">
      <alignment vertical="center"/>
    </xf>
    <xf numFmtId="166" fontId="11" fillId="0" borderId="0" xfId="0" applyNumberFormat="1" applyFont="1" applyAlignment="1">
      <alignment vertical="center"/>
    </xf>
    <xf numFmtId="1" fontId="5" fillId="7" borderId="38" xfId="0" applyNumberFormat="1" applyFont="1" applyFill="1" applyBorder="1" applyAlignment="1" applyProtection="1">
      <alignment horizontal="center"/>
      <protection locked="0"/>
    </xf>
    <xf numFmtId="0" fontId="10" fillId="0" borderId="34" xfId="0" applyFont="1" applyBorder="1" applyAlignment="1">
      <alignment horizontal="center" vertical="center"/>
    </xf>
    <xf numFmtId="0" fontId="10" fillId="0" borderId="34" xfId="0" applyFont="1" applyBorder="1" applyAlignment="1">
      <alignment vertical="center"/>
    </xf>
    <xf numFmtId="0" fontId="10" fillId="0" borderId="34" xfId="0" applyFont="1" applyBorder="1" applyAlignment="1">
      <alignment horizontal="right" vertical="center"/>
    </xf>
    <xf numFmtId="3" fontId="10" fillId="0" borderId="34" xfId="0" applyNumberFormat="1" applyFont="1" applyBorder="1" applyAlignment="1">
      <alignment vertical="center"/>
    </xf>
    <xf numFmtId="0" fontId="5" fillId="0" borderId="93" xfId="0" applyFont="1" applyBorder="1" applyAlignment="1">
      <alignment vertical="center"/>
    </xf>
    <xf numFmtId="0" fontId="0" fillId="0" borderId="106" xfId="0" applyBorder="1" applyAlignment="1">
      <alignment vertical="center"/>
    </xf>
    <xf numFmtId="0" fontId="10" fillId="0" borderId="101" xfId="0" applyFont="1" applyBorder="1" applyAlignment="1">
      <alignment horizontal="center" vertical="center"/>
    </xf>
    <xf numFmtId="0" fontId="11" fillId="0" borderId="101" xfId="0" applyFont="1" applyBorder="1" applyAlignment="1">
      <alignment horizontal="center" vertical="center"/>
    </xf>
    <xf numFmtId="0" fontId="10" fillId="0" borderId="94" xfId="0" applyFont="1" applyBorder="1" applyAlignment="1">
      <alignment horizontal="center" vertical="center"/>
    </xf>
    <xf numFmtId="0" fontId="10" fillId="0" borderId="108" xfId="0" applyFont="1" applyBorder="1" applyAlignment="1">
      <alignment horizontal="right" vertical="center"/>
    </xf>
    <xf numFmtId="0" fontId="4" fillId="0" borderId="101" xfId="0" applyFont="1" applyBorder="1" applyAlignment="1">
      <alignment horizontal="left" vertical="center"/>
    </xf>
    <xf numFmtId="0" fontId="5" fillId="0" borderId="101" xfId="0" applyFont="1" applyBorder="1" applyAlignment="1">
      <alignment horizontal="center" vertical="center"/>
    </xf>
    <xf numFmtId="0" fontId="0" fillId="0" borderId="101" xfId="0" applyBorder="1" applyAlignment="1">
      <alignment horizontal="center" vertical="center"/>
    </xf>
    <xf numFmtId="0" fontId="11" fillId="0" borderId="94" xfId="0" applyFont="1" applyBorder="1" applyAlignment="1">
      <alignment horizontal="center" vertical="center"/>
    </xf>
    <xf numFmtId="0" fontId="5" fillId="0" borderId="91" xfId="0" applyFont="1" applyBorder="1" applyAlignment="1" applyProtection="1">
      <alignment vertical="center"/>
      <protection hidden="1"/>
    </xf>
    <xf numFmtId="0" fontId="5" fillId="0" borderId="93" xfId="0" applyFont="1" applyBorder="1" applyAlignment="1" applyProtection="1">
      <alignment vertical="center"/>
      <protection hidden="1"/>
    </xf>
    <xf numFmtId="0" fontId="0" fillId="0" borderId="106" xfId="0" applyBorder="1" applyAlignment="1" applyProtection="1">
      <alignment vertical="center"/>
      <protection hidden="1"/>
    </xf>
    <xf numFmtId="0" fontId="0" fillId="0" borderId="93" xfId="0" applyBorder="1" applyAlignment="1" applyProtection="1">
      <alignment vertical="center"/>
      <protection hidden="1"/>
    </xf>
    <xf numFmtId="0" fontId="10" fillId="0" borderId="99" xfId="0" applyFont="1" applyBorder="1" applyAlignment="1" applyProtection="1">
      <alignment horizontal="left" vertical="center"/>
      <protection hidden="1"/>
    </xf>
    <xf numFmtId="3" fontId="11" fillId="0" borderId="108" xfId="0" applyNumberFormat="1" applyFont="1" applyBorder="1" applyAlignment="1" applyProtection="1">
      <alignment vertical="center"/>
      <protection hidden="1"/>
    </xf>
    <xf numFmtId="3" fontId="10" fillId="0" borderId="139" xfId="0" applyNumberFormat="1" applyFont="1" applyBorder="1" applyAlignment="1" applyProtection="1">
      <alignment vertical="center"/>
      <protection hidden="1"/>
    </xf>
    <xf numFmtId="0" fontId="4" fillId="0" borderId="142" xfId="0" applyFont="1" applyBorder="1" applyAlignment="1" applyProtection="1">
      <alignment horizontal="left" vertical="center"/>
      <protection hidden="1"/>
    </xf>
    <xf numFmtId="0" fontId="4" fillId="0" borderId="143" xfId="0" applyFont="1" applyBorder="1" applyAlignment="1" applyProtection="1">
      <alignment horizontal="left" vertical="center"/>
      <protection hidden="1"/>
    </xf>
    <xf numFmtId="0" fontId="6" fillId="0" borderId="65" xfId="0" applyFont="1" applyBorder="1" applyAlignment="1">
      <alignment vertical="center"/>
    </xf>
    <xf numFmtId="0" fontId="6" fillId="0" borderId="43" xfId="0" applyFont="1" applyBorder="1" applyAlignment="1">
      <alignment horizontal="center" vertical="center"/>
    </xf>
    <xf numFmtId="0" fontId="6" fillId="0" borderId="41" xfId="0" applyFont="1" applyBorder="1" applyAlignment="1">
      <alignment vertical="center"/>
    </xf>
    <xf numFmtId="0" fontId="6" fillId="0" borderId="74" xfId="0" applyFont="1" applyBorder="1" applyAlignment="1">
      <alignment horizontal="center" vertical="center"/>
    </xf>
    <xf numFmtId="0" fontId="3" fillId="0" borderId="0" xfId="0" applyFont="1" applyAlignment="1">
      <alignment horizontal="right" vertical="center"/>
    </xf>
    <xf numFmtId="0" fontId="5" fillId="0" borderId="13" xfId="0" applyFont="1" applyBorder="1" applyAlignment="1">
      <alignment horizontal="left" vertical="center"/>
    </xf>
    <xf numFmtId="0" fontId="5" fillId="0" borderId="13" xfId="0" applyFont="1" applyBorder="1" applyProtection="1">
      <protection locked="0"/>
    </xf>
    <xf numFmtId="0" fontId="11" fillId="0" borderId="17" xfId="0" applyFont="1" applyBorder="1" applyAlignment="1">
      <alignment horizontal="left"/>
    </xf>
    <xf numFmtId="0" fontId="5" fillId="0" borderId="10" xfId="0" applyFont="1" applyBorder="1" applyAlignment="1">
      <alignment vertical="center"/>
    </xf>
    <xf numFmtId="0" fontId="11" fillId="0" borderId="127" xfId="0" applyFont="1" applyBorder="1" applyAlignment="1">
      <alignment vertical="center"/>
    </xf>
    <xf numFmtId="0" fontId="11" fillId="0" borderId="129" xfId="0" applyFont="1" applyBorder="1" applyAlignment="1">
      <alignment horizontal="left" vertical="center"/>
    </xf>
    <xf numFmtId="0" fontId="11" fillId="0" borderId="127" xfId="0" applyFont="1" applyBorder="1" applyAlignment="1">
      <alignment horizontal="left" vertical="center"/>
    </xf>
    <xf numFmtId="0" fontId="5" fillId="0" borderId="27" xfId="0" applyFont="1" applyBorder="1" applyAlignment="1">
      <alignment horizontal="left" vertical="center"/>
    </xf>
    <xf numFmtId="0" fontId="11" fillId="0" borderId="34" xfId="0" applyFont="1" applyBorder="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Protection="1">
      <protection hidden="1"/>
    </xf>
    <xf numFmtId="0" fontId="6" fillId="0" borderId="65" xfId="0" applyFont="1" applyBorder="1" applyAlignment="1">
      <alignment horizontal="left" vertical="center"/>
    </xf>
    <xf numFmtId="0" fontId="6" fillId="0" borderId="11" xfId="0" applyFont="1" applyBorder="1" applyAlignment="1">
      <alignment horizontal="left" vertical="center"/>
    </xf>
    <xf numFmtId="0" fontId="6" fillId="0" borderId="43" xfId="0" applyFont="1" applyBorder="1" applyAlignment="1">
      <alignment horizontal="left" vertical="center"/>
    </xf>
    <xf numFmtId="0" fontId="11" fillId="0" borderId="27" xfId="0" applyFont="1" applyBorder="1" applyAlignment="1" applyProtection="1">
      <alignment horizontal="center" vertical="center"/>
      <protection hidden="1"/>
    </xf>
    <xf numFmtId="0" fontId="11" fillId="0" borderId="128" xfId="0" applyFont="1" applyBorder="1" applyAlignment="1" applyProtection="1">
      <alignment horizontal="center" vertical="center"/>
      <protection hidden="1"/>
    </xf>
    <xf numFmtId="0" fontId="10" fillId="0" borderId="149" xfId="0" applyFont="1" applyBorder="1" applyAlignment="1">
      <alignment horizontal="right" vertical="center"/>
    </xf>
    <xf numFmtId="0" fontId="10" fillId="0" borderId="129" xfId="0" applyFont="1" applyBorder="1" applyAlignment="1" applyProtection="1">
      <alignment vertical="center"/>
      <protection hidden="1"/>
    </xf>
    <xf numFmtId="0" fontId="11" fillId="0" borderId="149" xfId="0" applyFont="1" applyBorder="1" applyAlignment="1">
      <alignment horizontal="right" vertical="center"/>
    </xf>
    <xf numFmtId="0" fontId="11" fillId="0" borderId="129" xfId="0" applyFont="1" applyBorder="1" applyAlignment="1" applyProtection="1">
      <alignment horizontal="left" vertical="center"/>
      <protection hidden="1"/>
    </xf>
    <xf numFmtId="0" fontId="10" fillId="0" borderId="149" xfId="0" quotePrefix="1" applyFont="1" applyBorder="1" applyAlignment="1">
      <alignment horizontal="right" vertical="center"/>
    </xf>
    <xf numFmtId="0" fontId="10" fillId="0" borderId="129" xfId="0" applyFont="1" applyBorder="1" applyAlignment="1" applyProtection="1">
      <alignment horizontal="left" vertical="center"/>
      <protection hidden="1"/>
    </xf>
    <xf numFmtId="0" fontId="11" fillId="0" borderId="149" xfId="0" applyFont="1" applyBorder="1" applyAlignment="1" applyProtection="1">
      <alignment horizontal="right" vertical="center"/>
      <protection hidden="1"/>
    </xf>
    <xf numFmtId="0" fontId="10" fillId="0" borderId="149" xfId="0" applyFont="1" applyBorder="1" applyAlignment="1" applyProtection="1">
      <alignment horizontal="right" vertical="center"/>
      <protection hidden="1"/>
    </xf>
    <xf numFmtId="0" fontId="10" fillId="0" borderId="127" xfId="0" applyFont="1" applyBorder="1" applyAlignment="1">
      <alignment horizontal="right" vertical="center"/>
    </xf>
    <xf numFmtId="0" fontId="5" fillId="0" borderId="127" xfId="0" applyFont="1" applyBorder="1" applyAlignment="1">
      <alignment horizontal="right" vertical="center"/>
    </xf>
    <xf numFmtId="0" fontId="10" fillId="0" borderId="127" xfId="0" applyFont="1" applyBorder="1" applyAlignment="1">
      <alignment vertical="center"/>
    </xf>
    <xf numFmtId="9" fontId="11" fillId="7" borderId="150" xfId="2" applyFont="1" applyFill="1" applyBorder="1" applyAlignment="1" applyProtection="1">
      <alignment horizontal="center" vertical="center"/>
      <protection locked="0"/>
    </xf>
    <xf numFmtId="0" fontId="11" fillId="0" borderId="8" xfId="0" applyFont="1" applyBorder="1" applyAlignment="1">
      <alignment horizontal="right" vertical="center"/>
    </xf>
    <xf numFmtId="9" fontId="11" fillId="0" borderId="9" xfId="2" applyFont="1" applyBorder="1" applyAlignment="1" applyProtection="1">
      <alignment horizontal="center" vertical="center"/>
      <protection locked="0"/>
    </xf>
    <xf numFmtId="9" fontId="11" fillId="0" borderId="127" xfId="2" applyFont="1" applyBorder="1" applyAlignment="1" applyProtection="1">
      <alignment horizontal="right" vertical="center"/>
      <protection locked="0"/>
    </xf>
    <xf numFmtId="0" fontId="10" fillId="0" borderId="129" xfId="0" applyFont="1" applyBorder="1" applyAlignment="1">
      <alignment vertical="center"/>
    </xf>
    <xf numFmtId="9" fontId="11" fillId="0" borderId="127" xfId="0" applyNumberFormat="1" applyFont="1" applyBorder="1" applyAlignment="1">
      <alignment horizontal="left" vertical="center"/>
    </xf>
    <xf numFmtId="166" fontId="11" fillId="0" borderId="127" xfId="0" applyNumberFormat="1" applyFont="1" applyBorder="1" applyAlignment="1" applyProtection="1">
      <alignment horizontal="right" vertical="center"/>
      <protection locked="0"/>
    </xf>
    <xf numFmtId="0" fontId="11" fillId="0" borderId="31" xfId="0" applyFont="1" applyBorder="1" applyAlignment="1" applyProtection="1">
      <alignment horizontal="right" vertical="center"/>
      <protection hidden="1"/>
    </xf>
    <xf numFmtId="0" fontId="11" fillId="0" borderId="27" xfId="0" applyFont="1" applyBorder="1" applyAlignment="1" applyProtection="1">
      <alignment horizontal="left" vertical="center"/>
      <protection hidden="1"/>
    </xf>
    <xf numFmtId="0" fontId="11" fillId="0" borderId="31" xfId="0" applyFont="1" applyBorder="1" applyAlignment="1" applyProtection="1">
      <alignment horizontal="left" vertical="center"/>
      <protection hidden="1"/>
    </xf>
    <xf numFmtId="0" fontId="11" fillId="0" borderId="127" xfId="0" applyFont="1" applyBorder="1" applyAlignment="1" applyProtection="1">
      <alignment horizontal="left" vertical="center"/>
      <protection hidden="1"/>
    </xf>
    <xf numFmtId="0" fontId="0" fillId="0" borderId="129" xfId="0" applyBorder="1" applyProtection="1">
      <protection hidden="1"/>
    </xf>
    <xf numFmtId="0" fontId="0" fillId="0" borderId="127" xfId="0" applyBorder="1"/>
    <xf numFmtId="0" fontId="11" fillId="0" borderId="129" xfId="0" applyFont="1" applyBorder="1" applyProtection="1">
      <protection hidden="1"/>
    </xf>
    <xf numFmtId="0" fontId="4" fillId="0" borderId="3" xfId="0" applyFont="1" applyBorder="1" applyAlignment="1" applyProtection="1">
      <alignment horizontal="left" vertical="center"/>
      <protection hidden="1"/>
    </xf>
    <xf numFmtId="0" fontId="11" fillId="0" borderId="128" xfId="0" applyFont="1" applyBorder="1" applyAlignment="1" applyProtection="1">
      <alignment horizontal="left" vertical="center"/>
      <protection hidden="1"/>
    </xf>
    <xf numFmtId="0" fontId="11" fillId="0" borderId="148" xfId="0" applyFont="1" applyBorder="1"/>
    <xf numFmtId="0" fontId="0" fillId="0" borderId="128" xfId="0" applyBorder="1"/>
    <xf numFmtId="0" fontId="5" fillId="0" borderId="128" xfId="0" applyFont="1" applyBorder="1" applyAlignment="1" applyProtection="1">
      <alignment vertical="center"/>
      <protection hidden="1"/>
    </xf>
    <xf numFmtId="0" fontId="0" fillId="0" borderId="11" xfId="0" applyBorder="1" applyProtection="1">
      <protection hidden="1"/>
    </xf>
    <xf numFmtId="0" fontId="10" fillId="0" borderId="52" xfId="0" applyFont="1" applyBorder="1" applyAlignment="1">
      <alignment horizontal="center" vertical="center"/>
    </xf>
    <xf numFmtId="0" fontId="3" fillId="0" borderId="37" xfId="0" applyFont="1" applyBorder="1" applyAlignment="1">
      <alignment horizontal="center" vertical="center"/>
    </xf>
    <xf numFmtId="0" fontId="3" fillId="0" borderId="15" xfId="0" applyFont="1" applyBorder="1" applyAlignment="1">
      <alignment horizontal="center" vertical="center"/>
    </xf>
    <xf numFmtId="0" fontId="3" fillId="0" borderId="54" xfId="0" applyFont="1" applyBorder="1" applyAlignment="1">
      <alignment horizontal="center" vertical="center"/>
    </xf>
    <xf numFmtId="0" fontId="22" fillId="0" borderId="27" xfId="0" applyFont="1" applyBorder="1" applyAlignment="1">
      <alignment horizontal="center" vertical="center" wrapText="1"/>
    </xf>
    <xf numFmtId="0" fontId="11" fillId="0" borderId="79" xfId="0" applyFont="1" applyBorder="1" applyAlignment="1">
      <alignment horizontal="center" vertical="center"/>
    </xf>
    <xf numFmtId="0" fontId="11" fillId="0" borderId="21" xfId="0" applyFont="1" applyBorder="1" applyAlignment="1">
      <alignment horizontal="center" vertical="center"/>
    </xf>
    <xf numFmtId="0" fontId="10" fillId="0" borderId="65" xfId="0" applyFont="1" applyBorder="1" applyAlignment="1">
      <alignment vertical="center"/>
    </xf>
    <xf numFmtId="0" fontId="11" fillId="0" borderId="43" xfId="0" applyFont="1" applyBorder="1" applyAlignment="1">
      <alignment horizontal="center" vertical="center"/>
    </xf>
    <xf numFmtId="164" fontId="10" fillId="0" borderId="18" xfId="2" applyNumberFormat="1" applyFont="1" applyBorder="1" applyAlignment="1" applyProtection="1">
      <alignment vertical="center"/>
      <protection hidden="1"/>
    </xf>
    <xf numFmtId="0" fontId="10" fillId="0" borderId="12" xfId="0" applyFont="1" applyBorder="1" applyAlignment="1">
      <alignment vertical="center"/>
    </xf>
    <xf numFmtId="0" fontId="10" fillId="0" borderId="41" xfId="0" applyFont="1" applyBorder="1" applyAlignment="1">
      <alignment vertical="center"/>
    </xf>
    <xf numFmtId="0" fontId="11" fillId="0" borderId="74" xfId="0" applyFont="1" applyBorder="1" applyAlignment="1">
      <alignment horizontal="center" vertical="center"/>
    </xf>
    <xf numFmtId="0" fontId="11" fillId="0" borderId="24" xfId="0" applyFont="1" applyBorder="1" applyAlignment="1">
      <alignment horizontal="center" vertical="center"/>
    </xf>
    <xf numFmtId="0" fontId="11" fillId="0" borderId="38" xfId="0" applyFont="1" applyBorder="1" applyAlignment="1">
      <alignment horizontal="center" vertical="center"/>
    </xf>
    <xf numFmtId="0" fontId="6" fillId="0" borderId="11" xfId="0" applyFont="1" applyBorder="1" applyAlignment="1">
      <alignment horizontal="center" vertical="center"/>
    </xf>
    <xf numFmtId="3" fontId="6" fillId="0" borderId="43" xfId="0" applyNumberFormat="1" applyFont="1" applyBorder="1" applyAlignment="1">
      <alignment horizontal="right" vertical="center"/>
    </xf>
    <xf numFmtId="3" fontId="11" fillId="0" borderId="152" xfId="0" applyNumberFormat="1" applyFont="1" applyBorder="1" applyAlignment="1">
      <alignment horizontal="center" vertical="center"/>
    </xf>
    <xf numFmtId="0" fontId="2" fillId="0" borderId="0" xfId="0" applyFont="1"/>
    <xf numFmtId="0" fontId="11" fillId="0" borderId="154" xfId="0" applyFont="1" applyBorder="1" applyAlignment="1" applyProtection="1">
      <alignment horizontal="left" vertical="center"/>
      <protection hidden="1"/>
    </xf>
    <xf numFmtId="0" fontId="8" fillId="0" borderId="0" xfId="0" applyFont="1" applyAlignment="1" applyProtection="1">
      <alignment vertical="top"/>
      <protection hidden="1"/>
    </xf>
    <xf numFmtId="0" fontId="10" fillId="0" borderId="0" xfId="0" applyFont="1" applyAlignment="1" applyProtection="1">
      <alignment horizontal="center" vertical="center"/>
      <protection hidden="1"/>
    </xf>
    <xf numFmtId="0" fontId="10" fillId="0" borderId="129" xfId="0" applyFont="1" applyBorder="1" applyAlignment="1">
      <alignment horizontal="left" vertical="center"/>
    </xf>
    <xf numFmtId="0" fontId="2" fillId="0" borderId="0" xfId="0" applyFont="1" applyAlignment="1">
      <alignment vertical="center"/>
    </xf>
    <xf numFmtId="0" fontId="6" fillId="0" borderId="100" xfId="0" applyFont="1" applyBorder="1" applyAlignment="1" applyProtection="1">
      <alignment horizontal="center" vertical="center"/>
      <protection hidden="1"/>
    </xf>
    <xf numFmtId="0" fontId="6" fillId="7" borderId="85" xfId="0" applyFont="1" applyFill="1" applyBorder="1" applyAlignment="1" applyProtection="1">
      <alignment vertical="center"/>
      <protection locked="0"/>
    </xf>
    <xf numFmtId="0" fontId="3" fillId="0" borderId="0" xfId="0" applyFont="1" applyAlignment="1" applyProtection="1">
      <alignment horizontal="center" vertical="center"/>
      <protection hidden="1"/>
    </xf>
    <xf numFmtId="167" fontId="6" fillId="0" borderId="0" xfId="0" applyNumberFormat="1" applyFont="1" applyAlignment="1" applyProtection="1">
      <alignment horizontal="center"/>
      <protection hidden="1"/>
    </xf>
    <xf numFmtId="0" fontId="11" fillId="0" borderId="14" xfId="0" applyFont="1" applyBorder="1" applyAlignment="1">
      <alignment horizontal="center"/>
    </xf>
    <xf numFmtId="0" fontId="10" fillId="0" borderId="0" xfId="0" applyFont="1" applyAlignment="1" applyProtection="1">
      <alignment vertical="center"/>
      <protection hidden="1"/>
    </xf>
    <xf numFmtId="0" fontId="10" fillId="0" borderId="0" xfId="0" applyFont="1" applyAlignment="1" applyProtection="1">
      <alignment horizontal="right" vertical="center"/>
      <protection hidden="1"/>
    </xf>
    <xf numFmtId="166" fontId="10" fillId="0" borderId="0" xfId="0" applyNumberFormat="1" applyFont="1" applyAlignment="1" applyProtection="1">
      <alignment horizontal="right" vertical="center"/>
      <protection hidden="1"/>
    </xf>
    <xf numFmtId="3" fontId="10" fillId="0" borderId="0" xfId="0" applyNumberFormat="1" applyFont="1" applyAlignment="1" applyProtection="1">
      <alignment vertical="center"/>
      <protection hidden="1"/>
    </xf>
    <xf numFmtId="0" fontId="10" fillId="0" borderId="160" xfId="0" applyFont="1" applyBorder="1" applyAlignment="1">
      <alignment horizontal="center" vertical="center"/>
    </xf>
    <xf numFmtId="0" fontId="11" fillId="0" borderId="161" xfId="0" applyFont="1" applyBorder="1" applyAlignment="1">
      <alignment horizontal="center" vertical="center"/>
    </xf>
    <xf numFmtId="0" fontId="11" fillId="0" borderId="99" xfId="0" applyFont="1" applyBorder="1" applyAlignment="1">
      <alignment horizontal="right" vertical="center"/>
    </xf>
    <xf numFmtId="166" fontId="10" fillId="0" borderId="108" xfId="0" applyNumberFormat="1" applyFont="1" applyBorder="1" applyAlignment="1" applyProtection="1">
      <alignment horizontal="right" vertical="center"/>
      <protection locked="0"/>
    </xf>
    <xf numFmtId="0" fontId="8" fillId="0" borderId="91" xfId="0" applyFont="1" applyBorder="1" applyAlignment="1">
      <alignment horizontal="left"/>
    </xf>
    <xf numFmtId="0" fontId="18" fillId="0" borderId="93" xfId="0" applyFont="1" applyBorder="1"/>
    <xf numFmtId="0" fontId="18" fillId="0" borderId="106" xfId="0" applyFont="1" applyBorder="1"/>
    <xf numFmtId="0" fontId="8" fillId="0" borderId="93" xfId="0" applyFont="1" applyBorder="1" applyAlignment="1">
      <alignment vertical="center"/>
    </xf>
    <xf numFmtId="0" fontId="8" fillId="0" borderId="163" xfId="0" applyFont="1" applyBorder="1" applyAlignment="1">
      <alignment vertical="center"/>
    </xf>
    <xf numFmtId="0" fontId="0" fillId="0" borderId="92" xfId="0" applyBorder="1" applyAlignment="1">
      <alignment vertical="center"/>
    </xf>
    <xf numFmtId="0" fontId="8" fillId="0" borderId="160" xfId="0" applyFont="1" applyBorder="1" applyAlignment="1">
      <alignment horizontal="left"/>
    </xf>
    <xf numFmtId="0" fontId="0" fillId="0" borderId="165" xfId="0" applyBorder="1" applyAlignment="1">
      <alignment vertical="center"/>
    </xf>
    <xf numFmtId="0" fontId="11" fillId="0" borderId="168" xfId="0" applyFont="1" applyBorder="1" applyAlignment="1">
      <alignment horizontal="center" vertical="center"/>
    </xf>
    <xf numFmtId="0" fontId="5" fillId="0" borderId="169" xfId="0" applyFont="1" applyBorder="1" applyAlignment="1">
      <alignment vertical="center"/>
    </xf>
    <xf numFmtId="167" fontId="4" fillId="0" borderId="170" xfId="0" applyNumberFormat="1" applyFont="1" applyBorder="1" applyAlignment="1" applyProtection="1">
      <alignment horizontal="right" vertical="center"/>
      <protection hidden="1"/>
    </xf>
    <xf numFmtId="0" fontId="11" fillId="0" borderId="101" xfId="0" applyFont="1" applyBorder="1" applyAlignment="1">
      <alignment horizontal="center"/>
    </xf>
    <xf numFmtId="0" fontId="11" fillId="0" borderId="161" xfId="0" applyFont="1" applyBorder="1" applyAlignment="1">
      <alignment horizontal="center"/>
    </xf>
    <xf numFmtId="0" fontId="11" fillId="0" borderId="171" xfId="0" applyFont="1" applyBorder="1" applyAlignment="1">
      <alignment horizontal="center"/>
    </xf>
    <xf numFmtId="0" fontId="54" fillId="0" borderId="0" xfId="0" applyFont="1" applyAlignment="1" applyProtection="1">
      <alignment vertical="center"/>
      <protection hidden="1"/>
    </xf>
    <xf numFmtId="0" fontId="0" fillId="0" borderId="0" xfId="0" applyAlignment="1">
      <alignment horizontal="right" vertical="center"/>
    </xf>
    <xf numFmtId="0" fontId="11" fillId="0" borderId="129" xfId="0" quotePrefix="1" applyFont="1" applyBorder="1" applyAlignment="1">
      <alignment horizontal="left" vertical="center"/>
    </xf>
    <xf numFmtId="0" fontId="11" fillId="0" borderId="121" xfId="0" quotePrefix="1" applyFont="1" applyBorder="1" applyAlignment="1">
      <alignment horizontal="left" vertical="center"/>
    </xf>
    <xf numFmtId="0" fontId="3" fillId="0" borderId="0" xfId="0" applyFont="1" applyAlignment="1" applyProtection="1">
      <alignment horizontal="right" vertical="top" wrapText="1"/>
      <protection hidden="1"/>
    </xf>
    <xf numFmtId="0" fontId="11" fillId="0" borderId="65" xfId="0" applyFont="1" applyBorder="1" applyAlignment="1">
      <alignment horizontal="center"/>
    </xf>
    <xf numFmtId="0" fontId="11" fillId="8" borderId="11" xfId="0" applyFont="1" applyFill="1" applyBorder="1" applyAlignment="1">
      <alignment horizontal="left"/>
    </xf>
    <xf numFmtId="167" fontId="11" fillId="0" borderId="18" xfId="2" applyNumberFormat="1" applyFont="1" applyBorder="1"/>
    <xf numFmtId="0" fontId="11" fillId="0" borderId="44" xfId="0" applyFont="1" applyBorder="1" applyAlignment="1">
      <alignment vertical="center"/>
    </xf>
    <xf numFmtId="0" fontId="11" fillId="0" borderId="174" xfId="0" applyFont="1" applyBorder="1" applyAlignment="1">
      <alignment horizontal="left"/>
    </xf>
    <xf numFmtId="0" fontId="11" fillId="0" borderId="19" xfId="0" applyFont="1" applyBorder="1"/>
    <xf numFmtId="1" fontId="10" fillId="0" borderId="26" xfId="0" applyNumberFormat="1" applyFont="1" applyBorder="1" applyAlignment="1" applyProtection="1">
      <alignment horizontal="center"/>
      <protection locked="0"/>
    </xf>
    <xf numFmtId="0" fontId="11" fillId="0" borderId="26" xfId="0" applyFont="1" applyBorder="1"/>
    <xf numFmtId="1" fontId="10" fillId="0" borderId="0" xfId="0" applyNumberFormat="1" applyFont="1" applyAlignment="1">
      <alignment horizontal="center"/>
    </xf>
    <xf numFmtId="0" fontId="54" fillId="0" borderId="31" xfId="0" applyFont="1" applyBorder="1" applyAlignment="1" applyProtection="1">
      <alignment vertical="center"/>
      <protection hidden="1"/>
    </xf>
    <xf numFmtId="0" fontId="10" fillId="0" borderId="27" xfId="0" applyFont="1" applyBorder="1" applyAlignment="1" applyProtection="1">
      <alignment vertical="center"/>
      <protection hidden="1"/>
    </xf>
    <xf numFmtId="0" fontId="11" fillId="0" borderId="43" xfId="0" applyFont="1" applyBorder="1" applyAlignment="1">
      <alignment vertical="center"/>
    </xf>
    <xf numFmtId="164" fontId="11" fillId="7" borderId="18" xfId="0" applyNumberFormat="1" applyFont="1" applyFill="1" applyBorder="1" applyAlignment="1" applyProtection="1">
      <alignment vertical="center"/>
      <protection locked="0"/>
    </xf>
    <xf numFmtId="0" fontId="36" fillId="7" borderId="21" xfId="0" applyFont="1" applyFill="1" applyBorder="1" applyAlignment="1" applyProtection="1">
      <alignment vertical="center"/>
      <protection locked="0"/>
    </xf>
    <xf numFmtId="0" fontId="36" fillId="7" borderId="11" xfId="0" applyFont="1" applyFill="1" applyBorder="1" applyAlignment="1" applyProtection="1">
      <alignment vertical="center"/>
      <protection locked="0"/>
    </xf>
    <xf numFmtId="3" fontId="11" fillId="0" borderId="0" xfId="0" applyNumberFormat="1" applyFont="1" applyAlignment="1" applyProtection="1">
      <alignment vertical="center"/>
      <protection locked="0"/>
    </xf>
    <xf numFmtId="0" fontId="11" fillId="0" borderId="35" xfId="0" applyFont="1" applyBorder="1" applyAlignment="1" applyProtection="1">
      <alignment horizontal="center" vertical="center"/>
      <protection hidden="1"/>
    </xf>
    <xf numFmtId="0" fontId="11" fillId="0" borderId="129" xfId="0" applyFont="1" applyBorder="1" applyAlignment="1">
      <alignment horizontal="left" vertical="center" wrapText="1"/>
    </xf>
    <xf numFmtId="0" fontId="11" fillId="0" borderId="127" xfId="0" applyFont="1" applyBorder="1" applyAlignment="1" applyProtection="1">
      <alignment vertical="center"/>
      <protection hidden="1"/>
    </xf>
    <xf numFmtId="0" fontId="10" fillId="0" borderId="8" xfId="0" applyFont="1" applyBorder="1"/>
    <xf numFmtId="0" fontId="11" fillId="0" borderId="15" xfId="0" applyFont="1" applyBorder="1" applyAlignment="1">
      <alignment vertical="center"/>
    </xf>
    <xf numFmtId="0" fontId="10" fillId="0" borderId="177" xfId="0" applyFont="1" applyBorder="1" applyAlignment="1" applyProtection="1">
      <alignment vertical="center"/>
      <protection hidden="1"/>
    </xf>
    <xf numFmtId="3" fontId="5" fillId="0" borderId="107" xfId="0" applyNumberFormat="1" applyFont="1" applyBorder="1" applyAlignment="1" applyProtection="1">
      <alignment vertical="center"/>
      <protection hidden="1"/>
    </xf>
    <xf numFmtId="0" fontId="48" fillId="0" borderId="128" xfId="0" applyFont="1" applyBorder="1" applyAlignment="1" applyProtection="1">
      <alignment horizontal="left" vertical="center"/>
      <protection hidden="1"/>
    </xf>
    <xf numFmtId="0" fontId="40" fillId="0" borderId="21" xfId="0" applyFont="1" applyBorder="1" applyAlignment="1">
      <alignment horizontal="left" vertical="center"/>
    </xf>
    <xf numFmtId="0" fontId="41" fillId="0" borderId="11" xfId="0" applyFont="1" applyBorder="1" applyAlignment="1">
      <alignment horizontal="left" vertical="center"/>
    </xf>
    <xf numFmtId="0" fontId="41" fillId="0" borderId="43" xfId="0" applyFont="1" applyBorder="1" applyAlignment="1">
      <alignment horizontal="left" vertical="center"/>
    </xf>
    <xf numFmtId="0" fontId="6" fillId="7" borderId="85" xfId="0" applyFont="1" applyFill="1" applyBorder="1" applyAlignment="1" applyProtection="1">
      <alignment vertical="center"/>
      <protection hidden="1"/>
    </xf>
    <xf numFmtId="0" fontId="11" fillId="7" borderId="18" xfId="0" applyFont="1" applyFill="1" applyBorder="1" applyAlignment="1" applyProtection="1">
      <alignment horizontal="center" vertical="center"/>
      <protection locked="0"/>
    </xf>
    <xf numFmtId="164" fontId="11" fillId="0" borderId="11" xfId="0" applyNumberFormat="1" applyFont="1" applyBorder="1" applyAlignment="1" applyProtection="1">
      <alignment horizontal="center" vertical="center"/>
      <protection hidden="1"/>
    </xf>
    <xf numFmtId="0" fontId="40" fillId="0" borderId="18" xfId="0" applyFont="1" applyBorder="1" applyAlignment="1">
      <alignment horizontal="center" vertical="center"/>
    </xf>
    <xf numFmtId="166" fontId="40" fillId="7" borderId="18" xfId="0" applyNumberFormat="1" applyFont="1" applyFill="1" applyBorder="1" applyAlignment="1" applyProtection="1">
      <alignment horizontal="center" vertical="center"/>
      <protection locked="0"/>
    </xf>
    <xf numFmtId="0" fontId="40" fillId="0" borderId="21" xfId="0" applyFont="1" applyBorder="1" applyAlignment="1">
      <alignment horizontal="center" vertical="center"/>
    </xf>
    <xf numFmtId="166" fontId="40" fillId="7" borderId="21" xfId="0" applyNumberFormat="1" applyFont="1" applyFill="1" applyBorder="1" applyAlignment="1" applyProtection="1">
      <alignment horizontal="center" vertical="center"/>
      <protection locked="0"/>
    </xf>
    <xf numFmtId="0" fontId="40" fillId="0" borderId="11" xfId="0" applyFont="1" applyBorder="1" applyAlignment="1">
      <alignment horizontal="left" vertical="center"/>
    </xf>
    <xf numFmtId="1" fontId="40" fillId="7" borderId="18" xfId="0" applyNumberFormat="1" applyFont="1" applyFill="1" applyBorder="1" applyAlignment="1" applyProtection="1">
      <alignment horizontal="center" vertical="center"/>
      <protection locked="0"/>
    </xf>
    <xf numFmtId="0" fontId="40" fillId="0" borderId="43" xfId="0" applyFont="1" applyBorder="1" applyAlignment="1">
      <alignment horizontal="center" vertical="center"/>
    </xf>
    <xf numFmtId="0" fontId="40" fillId="0" borderId="26" xfId="0" applyFont="1" applyBorder="1" applyAlignment="1">
      <alignment horizontal="center" vertical="center"/>
    </xf>
    <xf numFmtId="166" fontId="40" fillId="7" borderId="84" xfId="0" applyNumberFormat="1" applyFont="1" applyFill="1" applyBorder="1" applyAlignment="1" applyProtection="1">
      <alignment horizontal="center" vertical="center"/>
      <protection locked="0"/>
    </xf>
    <xf numFmtId="0" fontId="40" fillId="0" borderId="44" xfId="0" applyFont="1" applyBorder="1" applyAlignment="1" applyProtection="1">
      <alignment vertical="center"/>
      <protection hidden="1"/>
    </xf>
    <xf numFmtId="0" fontId="40" fillId="0" borderId="58" xfId="0" applyFont="1" applyBorder="1" applyAlignment="1">
      <alignment horizontal="center" vertical="center"/>
    </xf>
    <xf numFmtId="0" fontId="41" fillId="0" borderId="0" xfId="0" applyFont="1" applyAlignment="1">
      <alignment horizontal="center" vertical="center"/>
    </xf>
    <xf numFmtId="166" fontId="40" fillId="7" borderId="43" xfId="0" applyNumberFormat="1" applyFont="1" applyFill="1" applyBorder="1" applyAlignment="1" applyProtection="1">
      <alignment horizontal="center"/>
      <protection locked="0"/>
    </xf>
    <xf numFmtId="0" fontId="40" fillId="0" borderId="21" xfId="0" applyFont="1" applyBorder="1" applyAlignment="1">
      <alignment horizontal="left"/>
    </xf>
    <xf numFmtId="0" fontId="41" fillId="0" borderId="11" xfId="0" applyFont="1" applyBorder="1" applyAlignment="1">
      <alignment horizontal="left"/>
    </xf>
    <xf numFmtId="0" fontId="41" fillId="0" borderId="43" xfId="0" applyFont="1" applyBorder="1" applyAlignment="1">
      <alignment horizontal="left"/>
    </xf>
    <xf numFmtId="166" fontId="40" fillId="0" borderId="43" xfId="0" applyNumberFormat="1" applyFont="1" applyBorder="1" applyAlignment="1">
      <alignment horizontal="center" vertical="center"/>
    </xf>
    <xf numFmtId="166" fontId="40" fillId="0" borderId="43" xfId="0" applyNumberFormat="1" applyFont="1" applyBorder="1" applyAlignment="1" applyProtection="1">
      <alignment horizontal="center" vertical="center"/>
      <protection hidden="1"/>
    </xf>
    <xf numFmtId="0" fontId="40" fillId="0" borderId="9" xfId="0" applyFont="1" applyBorder="1" applyAlignment="1">
      <alignment horizontal="center" vertical="center"/>
    </xf>
    <xf numFmtId="0" fontId="40" fillId="0" borderId="83" xfId="0" applyFont="1" applyBorder="1" applyAlignment="1">
      <alignment horizontal="center" vertical="center"/>
    </xf>
    <xf numFmtId="0" fontId="2" fillId="2" borderId="0" xfId="0" applyFont="1" applyFill="1" applyAlignment="1">
      <alignment vertical="center"/>
    </xf>
    <xf numFmtId="0" fontId="2" fillId="2" borderId="0" xfId="0" applyFont="1" applyFill="1" applyAlignment="1">
      <alignment horizontal="center" vertical="center"/>
    </xf>
    <xf numFmtId="0" fontId="7" fillId="2" borderId="0" xfId="0" applyFont="1" applyFill="1" applyAlignment="1">
      <alignment horizontal="center" vertical="center"/>
    </xf>
    <xf numFmtId="0" fontId="7" fillId="0" borderId="0" xfId="0" applyFont="1" applyAlignment="1">
      <alignment horizontal="left" vertical="center"/>
    </xf>
    <xf numFmtId="0" fontId="24" fillId="2" borderId="0" xfId="0" applyFont="1" applyFill="1" applyAlignment="1">
      <alignment vertical="center"/>
    </xf>
    <xf numFmtId="0" fontId="19" fillId="2" borderId="0" xfId="0" applyFont="1" applyFill="1" applyAlignment="1">
      <alignment horizontal="center" vertical="center"/>
    </xf>
    <xf numFmtId="164" fontId="11" fillId="0" borderId="18" xfId="0" applyNumberFormat="1" applyFont="1" applyBorder="1"/>
    <xf numFmtId="0" fontId="6" fillId="0" borderId="38" xfId="0" applyFont="1" applyBorder="1" applyAlignment="1">
      <alignment horizontal="center" vertical="center"/>
    </xf>
    <xf numFmtId="0" fontId="40" fillId="0" borderId="43" xfId="0" applyFont="1" applyBorder="1" applyAlignment="1">
      <alignment horizontal="left" vertical="center"/>
    </xf>
    <xf numFmtId="0" fontId="2" fillId="0" borderId="0" xfId="0" applyFont="1" applyAlignment="1">
      <alignment horizontal="left" vertical="center" wrapText="1"/>
    </xf>
    <xf numFmtId="0" fontId="11" fillId="0" borderId="0" xfId="0" applyFont="1" applyAlignment="1">
      <alignment horizontal="right" vertical="center"/>
    </xf>
    <xf numFmtId="166" fontId="11" fillId="0" borderId="31" xfId="0" applyNumberFormat="1" applyFont="1" applyBorder="1" applyAlignment="1" applyProtection="1">
      <alignment horizontal="right" vertical="center"/>
      <protection locked="0"/>
    </xf>
    <xf numFmtId="0" fontId="11" fillId="0" borderId="181" xfId="0" applyFont="1" applyBorder="1" applyAlignment="1">
      <alignment horizontal="center" vertical="center"/>
    </xf>
    <xf numFmtId="0" fontId="14" fillId="0" borderId="99" xfId="0" applyFont="1" applyBorder="1" applyAlignment="1" applyProtection="1">
      <alignment horizontal="right" vertical="center"/>
      <protection hidden="1"/>
    </xf>
    <xf numFmtId="169" fontId="11" fillId="0" borderId="99" xfId="0" applyNumberFormat="1" applyFont="1" applyBorder="1" applyAlignment="1" applyProtection="1">
      <alignment vertical="center"/>
      <protection hidden="1"/>
    </xf>
    <xf numFmtId="0" fontId="0" fillId="0" borderId="112" xfId="0" applyBorder="1" applyAlignment="1" applyProtection="1">
      <alignment horizontal="center" vertical="center"/>
      <protection hidden="1"/>
    </xf>
    <xf numFmtId="3" fontId="5" fillId="0" borderId="182" xfId="0" applyNumberFormat="1" applyFont="1" applyBorder="1" applyAlignment="1" applyProtection="1">
      <alignment vertical="center"/>
      <protection hidden="1"/>
    </xf>
    <xf numFmtId="0" fontId="40" fillId="0" borderId="21" xfId="0" applyFont="1" applyBorder="1" applyAlignment="1">
      <alignment vertical="center"/>
    </xf>
    <xf numFmtId="0" fontId="40" fillId="0" borderId="11" xfId="0" applyFont="1" applyBorder="1" applyAlignment="1">
      <alignment vertical="center"/>
    </xf>
    <xf numFmtId="0" fontId="4" fillId="0" borderId="17" xfId="0" applyFont="1" applyBorder="1" applyAlignment="1">
      <alignment horizontal="left" vertical="center"/>
    </xf>
    <xf numFmtId="3" fontId="11" fillId="7" borderId="18" xfId="0" applyNumberFormat="1" applyFont="1" applyFill="1" applyBorder="1" applyAlignment="1" applyProtection="1">
      <alignment horizontal="center" vertical="center"/>
      <protection locked="0"/>
    </xf>
    <xf numFmtId="3" fontId="11" fillId="0" borderId="134" xfId="0" applyNumberFormat="1" applyFont="1" applyBorder="1" applyAlignment="1" applyProtection="1">
      <alignment horizontal="center" vertical="center"/>
      <protection hidden="1"/>
    </xf>
    <xf numFmtId="3" fontId="5" fillId="0" borderId="135" xfId="0" applyNumberFormat="1" applyFont="1" applyBorder="1" applyAlignment="1" applyProtection="1">
      <alignment horizontal="center" vertical="center"/>
      <protection hidden="1"/>
    </xf>
    <xf numFmtId="167" fontId="0" fillId="0" borderId="0" xfId="0" applyNumberFormat="1" applyAlignment="1">
      <alignment horizontal="center"/>
    </xf>
    <xf numFmtId="3" fontId="4" fillId="7" borderId="38" xfId="0" applyNumberFormat="1" applyFont="1" applyFill="1" applyBorder="1" applyAlignment="1" applyProtection="1">
      <alignment horizontal="center" vertical="center"/>
      <protection locked="0"/>
    </xf>
    <xf numFmtId="167" fontId="4" fillId="0" borderId="54" xfId="0" applyNumberFormat="1" applyFont="1" applyBorder="1" applyAlignment="1">
      <alignment horizontal="center" vertical="center"/>
    </xf>
    <xf numFmtId="0" fontId="11" fillId="0" borderId="59" xfId="0" applyFont="1" applyBorder="1" applyAlignment="1" applyProtection="1">
      <alignment horizontal="center" vertical="center"/>
      <protection hidden="1"/>
    </xf>
    <xf numFmtId="0" fontId="11" fillId="0" borderId="26" xfId="0" applyFont="1" applyBorder="1" applyAlignment="1" applyProtection="1">
      <alignment horizontal="center" vertical="center"/>
      <protection hidden="1"/>
    </xf>
    <xf numFmtId="167" fontId="11" fillId="0" borderId="157" xfId="0" applyNumberFormat="1" applyFont="1" applyBorder="1" applyAlignment="1" applyProtection="1">
      <alignment horizontal="center" vertical="center"/>
      <protection hidden="1"/>
    </xf>
    <xf numFmtId="3" fontId="11" fillId="7" borderId="32" xfId="0" applyNumberFormat="1" applyFont="1" applyFill="1" applyBorder="1" applyAlignment="1" applyProtection="1">
      <alignment horizontal="center" vertical="center"/>
      <protection locked="0"/>
    </xf>
    <xf numFmtId="3" fontId="11" fillId="0" borderId="138" xfId="0" applyNumberFormat="1" applyFont="1" applyBorder="1" applyAlignment="1" applyProtection="1">
      <alignment horizontal="center" vertical="center"/>
      <protection hidden="1"/>
    </xf>
    <xf numFmtId="3" fontId="11" fillId="0" borderId="32" xfId="0" applyNumberFormat="1" applyFont="1" applyBorder="1" applyAlignment="1" applyProtection="1">
      <alignment horizontal="center" vertical="center"/>
      <protection hidden="1"/>
    </xf>
    <xf numFmtId="3" fontId="11" fillId="7" borderId="24" xfId="0" applyNumberFormat="1" applyFont="1" applyFill="1" applyBorder="1" applyAlignment="1" applyProtection="1">
      <alignment horizontal="center" vertical="center"/>
      <protection locked="0"/>
    </xf>
    <xf numFmtId="0" fontId="11" fillId="0" borderId="20" xfId="0" applyFont="1" applyBorder="1" applyAlignment="1" applyProtection="1">
      <alignment horizontal="center" vertical="center"/>
      <protection hidden="1"/>
    </xf>
    <xf numFmtId="0" fontId="11" fillId="0" borderId="19" xfId="0" applyFont="1" applyBorder="1" applyAlignment="1" applyProtection="1">
      <alignment horizontal="center" vertical="center"/>
      <protection hidden="1"/>
    </xf>
    <xf numFmtId="167" fontId="11" fillId="0" borderId="162" xfId="0" applyNumberFormat="1" applyFont="1" applyBorder="1" applyAlignment="1" applyProtection="1">
      <alignment horizontal="center" vertical="center"/>
      <protection hidden="1"/>
    </xf>
    <xf numFmtId="3" fontId="11" fillId="0" borderId="33" xfId="0" applyNumberFormat="1" applyFont="1" applyBorder="1" applyAlignment="1" applyProtection="1">
      <alignment horizontal="center" vertical="center"/>
      <protection hidden="1"/>
    </xf>
    <xf numFmtId="3" fontId="11" fillId="0" borderId="18" xfId="0" applyNumberFormat="1" applyFont="1" applyBorder="1" applyAlignment="1" applyProtection="1">
      <alignment horizontal="center" vertical="center"/>
      <protection hidden="1"/>
    </xf>
    <xf numFmtId="3" fontId="5" fillId="0" borderId="162" xfId="0" applyNumberFormat="1" applyFont="1" applyBorder="1" applyAlignment="1" applyProtection="1">
      <alignment horizontal="center" vertical="center"/>
      <protection hidden="1"/>
    </xf>
    <xf numFmtId="167" fontId="11" fillId="6" borderId="134" xfId="0" applyNumberFormat="1" applyFont="1" applyFill="1" applyBorder="1" applyAlignment="1">
      <alignment horizontal="center" vertical="center"/>
    </xf>
    <xf numFmtId="167" fontId="11" fillId="6" borderId="35" xfId="0" applyNumberFormat="1" applyFont="1" applyFill="1" applyBorder="1" applyAlignment="1">
      <alignment horizontal="center" vertical="center"/>
    </xf>
    <xf numFmtId="0" fontId="3" fillId="3" borderId="71" xfId="0" applyFont="1" applyFill="1" applyBorder="1" applyAlignment="1">
      <alignment horizontal="left" vertical="center"/>
    </xf>
    <xf numFmtId="0" fontId="6" fillId="3" borderId="63" xfId="0" applyFont="1" applyFill="1" applyBorder="1" applyAlignment="1">
      <alignment horizontal="center" vertical="center"/>
    </xf>
    <xf numFmtId="0" fontId="6" fillId="3" borderId="63" xfId="0" applyFont="1" applyFill="1" applyBorder="1" applyAlignment="1">
      <alignment horizontal="center" vertical="center" wrapText="1"/>
    </xf>
    <xf numFmtId="0" fontId="3" fillId="3" borderId="63" xfId="0" applyFont="1" applyFill="1" applyBorder="1" applyAlignment="1">
      <alignment horizontal="center" vertical="center"/>
    </xf>
    <xf numFmtId="0" fontId="3" fillId="3" borderId="145" xfId="0" applyFont="1" applyFill="1" applyBorder="1" applyAlignment="1">
      <alignment horizontal="center" vertical="center"/>
    </xf>
    <xf numFmtId="0" fontId="3" fillId="3" borderId="17" xfId="0" applyFont="1" applyFill="1" applyBorder="1" applyAlignment="1">
      <alignment horizontal="center" vertical="center"/>
    </xf>
    <xf numFmtId="14" fontId="2" fillId="0" borderId="0" xfId="0" applyNumberFormat="1" applyFont="1" applyAlignment="1">
      <alignment horizontal="center"/>
    </xf>
    <xf numFmtId="3" fontId="4" fillId="0" borderId="0" xfId="0" applyNumberFormat="1" applyFont="1" applyAlignment="1">
      <alignment vertical="center"/>
    </xf>
    <xf numFmtId="3" fontId="4" fillId="0" borderId="0" xfId="0" applyNumberFormat="1" applyFont="1" applyAlignment="1">
      <alignment horizontal="left" vertical="center"/>
    </xf>
    <xf numFmtId="1" fontId="5" fillId="7" borderId="38" xfId="0" applyNumberFormat="1" applyFont="1" applyFill="1" applyBorder="1" applyAlignment="1" applyProtection="1">
      <alignment horizontal="center" vertical="center"/>
      <protection locked="0"/>
    </xf>
    <xf numFmtId="3" fontId="11" fillId="6" borderId="18" xfId="0" applyNumberFormat="1" applyFont="1" applyFill="1" applyBorder="1" applyAlignment="1" applyProtection="1">
      <alignment vertical="center"/>
      <protection hidden="1"/>
    </xf>
    <xf numFmtId="3" fontId="11" fillId="6" borderId="32" xfId="0" applyNumberFormat="1" applyFont="1" applyFill="1" applyBorder="1" applyAlignment="1" applyProtection="1">
      <alignment vertical="center"/>
      <protection hidden="1"/>
    </xf>
    <xf numFmtId="3" fontId="11" fillId="6" borderId="18" xfId="0" applyNumberFormat="1" applyFont="1" applyFill="1" applyBorder="1" applyAlignment="1">
      <alignment vertical="center"/>
    </xf>
    <xf numFmtId="3" fontId="11" fillId="6" borderId="38" xfId="0" applyNumberFormat="1" applyFont="1" applyFill="1" applyBorder="1" applyAlignment="1" applyProtection="1">
      <alignment vertical="center"/>
      <protection hidden="1"/>
    </xf>
    <xf numFmtId="3" fontId="11" fillId="6" borderId="20" xfId="0" applyNumberFormat="1" applyFont="1" applyFill="1" applyBorder="1" applyAlignment="1">
      <alignment vertical="center"/>
    </xf>
    <xf numFmtId="3" fontId="11" fillId="6" borderId="38" xfId="0" applyNumberFormat="1" applyFont="1" applyFill="1" applyBorder="1" applyAlignment="1">
      <alignment vertical="center"/>
    </xf>
    <xf numFmtId="3" fontId="11" fillId="6" borderId="18" xfId="0" applyNumberFormat="1" applyFont="1" applyFill="1" applyBorder="1" applyAlignment="1" applyProtection="1">
      <alignment horizontal="right" vertical="center"/>
      <protection hidden="1"/>
    </xf>
    <xf numFmtId="0" fontId="11" fillId="6" borderId="18" xfId="0" applyFont="1" applyFill="1" applyBorder="1" applyAlignment="1" applyProtection="1">
      <alignment horizontal="center" vertical="center"/>
      <protection hidden="1"/>
    </xf>
    <xf numFmtId="164" fontId="11" fillId="6" borderId="18" xfId="2" applyNumberFormat="1" applyFont="1" applyFill="1" applyBorder="1" applyProtection="1">
      <protection hidden="1"/>
    </xf>
    <xf numFmtId="164" fontId="11" fillId="6" borderId="18" xfId="2" applyNumberFormat="1" applyFont="1" applyFill="1" applyBorder="1" applyAlignment="1" applyProtection="1">
      <alignment horizontal="right" vertical="center"/>
      <protection hidden="1"/>
    </xf>
    <xf numFmtId="4" fontId="11" fillId="6" borderId="18" xfId="0" applyNumberFormat="1" applyFont="1" applyFill="1" applyBorder="1" applyProtection="1">
      <protection hidden="1"/>
    </xf>
    <xf numFmtId="4" fontId="11" fillId="6" borderId="18" xfId="0" applyNumberFormat="1" applyFont="1" applyFill="1" applyBorder="1" applyAlignment="1" applyProtection="1">
      <alignment horizontal="right" vertical="center"/>
      <protection hidden="1"/>
    </xf>
    <xf numFmtId="3" fontId="11" fillId="6" borderId="43" xfId="0" applyNumberFormat="1" applyFont="1" applyFill="1" applyBorder="1" applyProtection="1">
      <protection hidden="1"/>
    </xf>
    <xf numFmtId="3" fontId="11" fillId="6" borderId="43" xfId="0" applyNumberFormat="1" applyFont="1" applyFill="1" applyBorder="1" applyAlignment="1" applyProtection="1">
      <alignment horizontal="right" vertical="center"/>
      <protection hidden="1"/>
    </xf>
    <xf numFmtId="3" fontId="11" fillId="6" borderId="18" xfId="0" applyNumberFormat="1" applyFont="1" applyFill="1" applyBorder="1" applyAlignment="1" applyProtection="1">
      <alignment horizontal="right" vertical="center"/>
      <protection locked="0"/>
    </xf>
    <xf numFmtId="3" fontId="11" fillId="6" borderId="20" xfId="0" applyNumberFormat="1" applyFont="1" applyFill="1" applyBorder="1" applyAlignment="1" applyProtection="1">
      <alignment horizontal="right" vertical="center"/>
      <protection hidden="1"/>
    </xf>
    <xf numFmtId="164" fontId="11" fillId="6" borderId="18" xfId="0" applyNumberFormat="1" applyFont="1" applyFill="1" applyBorder="1" applyAlignment="1" applyProtection="1">
      <alignment horizontal="right"/>
      <protection hidden="1"/>
    </xf>
    <xf numFmtId="0" fontId="11" fillId="0" borderId="44" xfId="0" applyFont="1" applyBorder="1" applyAlignment="1" applyProtection="1">
      <alignment vertical="center"/>
      <protection hidden="1"/>
    </xf>
    <xf numFmtId="1" fontId="10" fillId="6" borderId="145" xfId="0" applyNumberFormat="1" applyFont="1" applyFill="1" applyBorder="1" applyAlignment="1" applyProtection="1">
      <alignment horizontal="center" vertical="center"/>
      <protection hidden="1"/>
    </xf>
    <xf numFmtId="166" fontId="11" fillId="6" borderId="66" xfId="0" applyNumberFormat="1" applyFont="1" applyFill="1" applyBorder="1" applyAlignment="1" applyProtection="1">
      <alignment horizontal="center" vertical="center"/>
      <protection hidden="1"/>
    </xf>
    <xf numFmtId="3" fontId="10" fillId="6" borderId="65" xfId="0" applyNumberFormat="1" applyFont="1" applyFill="1" applyBorder="1" applyAlignment="1" applyProtection="1">
      <alignment vertical="center"/>
      <protection hidden="1"/>
    </xf>
    <xf numFmtId="3" fontId="10" fillId="6" borderId="66" xfId="0" applyNumberFormat="1" applyFont="1" applyFill="1" applyBorder="1" applyAlignment="1" applyProtection="1">
      <alignment horizontal="center" vertical="center"/>
      <protection hidden="1"/>
    </xf>
    <xf numFmtId="3" fontId="11" fillId="6" borderId="12" xfId="0" applyNumberFormat="1" applyFont="1" applyFill="1" applyBorder="1" applyAlignment="1" applyProtection="1">
      <alignment vertical="center"/>
      <protection hidden="1"/>
    </xf>
    <xf numFmtId="3" fontId="10" fillId="6" borderId="41" xfId="0" applyNumberFormat="1" applyFont="1" applyFill="1" applyBorder="1" applyAlignment="1" applyProtection="1">
      <alignment vertical="center"/>
      <protection hidden="1"/>
    </xf>
    <xf numFmtId="166" fontId="11" fillId="6" borderId="144" xfId="0" applyNumberFormat="1" applyFont="1" applyFill="1" applyBorder="1" applyAlignment="1" applyProtection="1">
      <alignment horizontal="center" vertical="center"/>
      <protection hidden="1"/>
    </xf>
    <xf numFmtId="1" fontId="10" fillId="6" borderId="33" xfId="0" applyNumberFormat="1" applyFont="1" applyFill="1" applyBorder="1" applyAlignment="1" applyProtection="1">
      <alignment horizontal="center" vertical="center"/>
      <protection hidden="1"/>
    </xf>
    <xf numFmtId="166" fontId="11" fillId="6" borderId="35" xfId="0" applyNumberFormat="1" applyFont="1" applyFill="1" applyBorder="1" applyAlignment="1" applyProtection="1">
      <alignment horizontal="center" vertical="center"/>
      <protection hidden="1"/>
    </xf>
    <xf numFmtId="1" fontId="10" fillId="6" borderId="36" xfId="0" applyNumberFormat="1" applyFont="1" applyFill="1" applyBorder="1" applyAlignment="1" applyProtection="1">
      <alignment horizontal="center"/>
      <protection hidden="1"/>
    </xf>
    <xf numFmtId="164" fontId="11" fillId="6" borderId="36" xfId="0" applyNumberFormat="1" applyFont="1" applyFill="1" applyBorder="1" applyAlignment="1">
      <alignment horizontal="center" vertical="center"/>
    </xf>
    <xf numFmtId="3" fontId="4" fillId="6" borderId="18" xfId="0" applyNumberFormat="1" applyFont="1" applyFill="1" applyBorder="1" applyAlignment="1" applyProtection="1">
      <alignment vertical="center"/>
      <protection hidden="1"/>
    </xf>
    <xf numFmtId="167" fontId="4" fillId="6" borderId="58" xfId="0" applyNumberFormat="1" applyFont="1" applyFill="1" applyBorder="1" applyAlignment="1" applyProtection="1">
      <alignment vertical="center"/>
      <protection hidden="1"/>
    </xf>
    <xf numFmtId="3" fontId="10" fillId="6" borderId="32" xfId="0" applyNumberFormat="1" applyFont="1" applyFill="1" applyBorder="1" applyAlignment="1" applyProtection="1">
      <alignment vertical="center"/>
      <protection hidden="1"/>
    </xf>
    <xf numFmtId="3" fontId="5" fillId="6" borderId="62" xfId="0" applyNumberFormat="1" applyFont="1" applyFill="1" applyBorder="1" applyAlignment="1" applyProtection="1">
      <alignment vertical="center"/>
      <protection hidden="1"/>
    </xf>
    <xf numFmtId="3" fontId="10" fillId="6" borderId="18" xfId="0" applyNumberFormat="1" applyFont="1" applyFill="1" applyBorder="1" applyAlignment="1" applyProtection="1">
      <alignment vertical="center"/>
      <protection hidden="1"/>
    </xf>
    <xf numFmtId="3" fontId="10" fillId="6" borderId="59" xfId="0" applyNumberFormat="1" applyFont="1" applyFill="1" applyBorder="1" applyAlignment="1" applyProtection="1">
      <alignment vertical="center"/>
      <protection hidden="1"/>
    </xf>
    <xf numFmtId="3" fontId="11" fillId="6" borderId="20" xfId="0" applyNumberFormat="1" applyFont="1" applyFill="1" applyBorder="1" applyAlignment="1" applyProtection="1">
      <alignment vertical="center"/>
      <protection hidden="1"/>
    </xf>
    <xf numFmtId="3" fontId="11" fillId="6" borderId="18" xfId="0" applyNumberFormat="1" applyFont="1" applyFill="1" applyBorder="1" applyAlignment="1" applyProtection="1">
      <alignment vertical="center"/>
      <protection locked="0"/>
    </xf>
    <xf numFmtId="3" fontId="10" fillId="6" borderId="139" xfId="0" applyNumberFormat="1" applyFont="1" applyFill="1" applyBorder="1" applyAlignment="1" applyProtection="1">
      <alignment vertical="center"/>
      <protection hidden="1"/>
    </xf>
    <xf numFmtId="3" fontId="5" fillId="6" borderId="132" xfId="0" applyNumberFormat="1" applyFont="1" applyFill="1" applyBorder="1" applyAlignment="1" applyProtection="1">
      <alignment vertical="center"/>
      <protection hidden="1"/>
    </xf>
    <xf numFmtId="3" fontId="5" fillId="6" borderId="18" xfId="0" applyNumberFormat="1" applyFont="1" applyFill="1" applyBorder="1" applyAlignment="1" applyProtection="1">
      <alignment horizontal="right" vertical="center"/>
      <protection hidden="1"/>
    </xf>
    <xf numFmtId="3" fontId="5" fillId="6" borderId="18" xfId="0" applyNumberFormat="1" applyFont="1" applyFill="1" applyBorder="1" applyAlignment="1" applyProtection="1">
      <alignment vertical="center"/>
      <protection hidden="1"/>
    </xf>
    <xf numFmtId="3" fontId="11" fillId="6" borderId="0" xfId="0" applyNumberFormat="1" applyFont="1" applyFill="1" applyProtection="1">
      <protection hidden="1"/>
    </xf>
    <xf numFmtId="3" fontId="11" fillId="6" borderId="18" xfId="0" applyNumberFormat="1" applyFont="1" applyFill="1" applyBorder="1"/>
    <xf numFmtId="3" fontId="10" fillId="6" borderId="18" xfId="0" applyNumberFormat="1" applyFont="1" applyFill="1" applyBorder="1" applyAlignment="1" applyProtection="1">
      <alignment vertical="center"/>
      <protection locked="0"/>
    </xf>
    <xf numFmtId="3" fontId="10" fillId="6" borderId="135" xfId="0" applyNumberFormat="1" applyFont="1" applyFill="1" applyBorder="1" applyAlignment="1" applyProtection="1">
      <alignment vertical="center"/>
      <protection locked="0"/>
    </xf>
    <xf numFmtId="0" fontId="5" fillId="0" borderId="50" xfId="0" applyFont="1" applyBorder="1" applyAlignment="1">
      <alignment vertical="center"/>
    </xf>
    <xf numFmtId="0" fontId="5" fillId="0" borderId="24" xfId="0" applyFont="1" applyBorder="1" applyAlignment="1">
      <alignment vertical="center"/>
    </xf>
    <xf numFmtId="0" fontId="22" fillId="3" borderId="109" xfId="0" applyFont="1" applyFill="1" applyBorder="1" applyAlignment="1">
      <alignment horizontal="center" wrapText="1"/>
    </xf>
    <xf numFmtId="3" fontId="5" fillId="0" borderId="59" xfId="0" applyNumberFormat="1" applyFont="1" applyBorder="1" applyAlignment="1" applyProtection="1">
      <alignment horizontal="center" vertical="center"/>
      <protection hidden="1"/>
    </xf>
    <xf numFmtId="0" fontId="0" fillId="0" borderId="48" xfId="0" applyBorder="1"/>
    <xf numFmtId="166" fontId="0" fillId="0" borderId="62" xfId="0" applyNumberFormat="1" applyBorder="1"/>
    <xf numFmtId="1" fontId="0" fillId="0" borderId="62" xfId="0" applyNumberFormat="1" applyBorder="1"/>
    <xf numFmtId="164" fontId="0" fillId="0" borderId="47" xfId="2" applyNumberFormat="1" applyFont="1" applyBorder="1"/>
    <xf numFmtId="3" fontId="0" fillId="0" borderId="48" xfId="2" applyNumberFormat="1" applyFont="1" applyBorder="1"/>
    <xf numFmtId="3" fontId="0" fillId="0" borderId="62" xfId="0" applyNumberFormat="1" applyBorder="1"/>
    <xf numFmtId="3" fontId="0" fillId="0" borderId="49" xfId="0" applyNumberFormat="1" applyBorder="1"/>
    <xf numFmtId="3" fontId="0" fillId="0" borderId="79" xfId="0" applyNumberFormat="1" applyBorder="1"/>
    <xf numFmtId="3" fontId="0" fillId="0" borderId="48" xfId="0" applyNumberFormat="1" applyBorder="1"/>
    <xf numFmtId="3" fontId="5" fillId="0" borderId="29" xfId="0" applyNumberFormat="1" applyFont="1" applyBorder="1" applyAlignment="1" applyProtection="1">
      <alignment horizontal="center" vertical="center"/>
      <protection hidden="1"/>
    </xf>
    <xf numFmtId="0" fontId="0" fillId="0" borderId="36" xfId="0" applyBorder="1"/>
    <xf numFmtId="0" fontId="0" fillId="0" borderId="37" xfId="0" applyBorder="1"/>
    <xf numFmtId="166" fontId="0" fillId="0" borderId="38" xfId="0" applyNumberFormat="1" applyBorder="1"/>
    <xf numFmtId="1" fontId="0" fillId="0" borderId="38" xfId="0" applyNumberFormat="1" applyBorder="1"/>
    <xf numFmtId="164" fontId="0" fillId="0" borderId="55" xfId="2" applyNumberFormat="1" applyFont="1" applyBorder="1"/>
    <xf numFmtId="3" fontId="0" fillId="0" borderId="37" xfId="2" applyNumberFormat="1" applyFont="1" applyBorder="1"/>
    <xf numFmtId="3" fontId="0" fillId="0" borderId="38" xfId="0" applyNumberFormat="1" applyBorder="1"/>
    <xf numFmtId="3" fontId="0" fillId="0" borderId="54" xfId="0" applyNumberFormat="1" applyBorder="1"/>
    <xf numFmtId="3" fontId="0" fillId="0" borderId="74" xfId="0" applyNumberFormat="1" applyBorder="1"/>
    <xf numFmtId="3" fontId="0" fillId="0" borderId="37" xfId="0" applyNumberFormat="1" applyBorder="1"/>
    <xf numFmtId="3" fontId="5" fillId="0" borderId="38" xfId="0" applyNumberFormat="1" applyFont="1" applyBorder="1" applyAlignment="1" applyProtection="1">
      <alignment horizontal="center" vertical="center"/>
      <protection hidden="1"/>
    </xf>
    <xf numFmtId="0" fontId="0" fillId="0" borderId="38" xfId="0" applyBorder="1"/>
    <xf numFmtId="0" fontId="5" fillId="6" borderId="27" xfId="0" applyFont="1" applyFill="1" applyBorder="1" applyAlignment="1">
      <alignment horizontal="center" vertical="center"/>
    </xf>
    <xf numFmtId="0" fontId="5" fillId="6" borderId="0" xfId="0" applyFont="1" applyFill="1" applyAlignment="1">
      <alignment horizontal="center" vertical="center"/>
    </xf>
    <xf numFmtId="0" fontId="5" fillId="6" borderId="28" xfId="0" applyFont="1" applyFill="1" applyBorder="1" applyAlignment="1">
      <alignment horizontal="center" vertical="center"/>
    </xf>
    <xf numFmtId="0" fontId="5" fillId="6" borderId="22" xfId="0" applyFont="1" applyFill="1" applyBorder="1" applyAlignment="1">
      <alignment horizontal="center" vertical="center"/>
    </xf>
    <xf numFmtId="0" fontId="5" fillId="6" borderId="20" xfId="0" applyFont="1" applyFill="1" applyBorder="1" applyAlignment="1">
      <alignment horizontal="center" vertical="center"/>
    </xf>
    <xf numFmtId="0" fontId="5" fillId="6" borderId="23" xfId="0" applyFont="1" applyFill="1" applyBorder="1" applyAlignment="1">
      <alignment horizontal="center" vertical="center"/>
    </xf>
    <xf numFmtId="0" fontId="4" fillId="12" borderId="0" xfId="0" applyFont="1" applyFill="1" applyAlignment="1">
      <alignment horizontal="center"/>
    </xf>
    <xf numFmtId="0" fontId="5" fillId="12" borderId="22" xfId="0" applyFont="1" applyFill="1" applyBorder="1" applyAlignment="1">
      <alignment horizontal="center" vertical="center"/>
    </xf>
    <xf numFmtId="0" fontId="5" fillId="12" borderId="20" xfId="0" applyFont="1" applyFill="1" applyBorder="1" applyAlignment="1">
      <alignment horizontal="center" vertical="center"/>
    </xf>
    <xf numFmtId="0" fontId="5" fillId="12" borderId="23" xfId="0" applyFont="1" applyFill="1" applyBorder="1" applyAlignment="1">
      <alignment horizontal="center" vertical="center"/>
    </xf>
    <xf numFmtId="0" fontId="5" fillId="12" borderId="9" xfId="0" applyFont="1" applyFill="1" applyBorder="1" applyAlignment="1">
      <alignment horizontal="center" vertical="center"/>
    </xf>
    <xf numFmtId="3" fontId="5" fillId="12" borderId="20" xfId="0" applyNumberFormat="1" applyFont="1" applyFill="1" applyBorder="1" applyAlignment="1" applyProtection="1">
      <alignment horizontal="center" vertical="center"/>
      <protection hidden="1"/>
    </xf>
    <xf numFmtId="0" fontId="0" fillId="12" borderId="0" xfId="0" applyFill="1"/>
    <xf numFmtId="0" fontId="5" fillId="12" borderId="0" xfId="0" applyFont="1" applyFill="1"/>
    <xf numFmtId="3" fontId="0" fillId="6" borderId="48" xfId="2" applyNumberFormat="1" applyFont="1" applyFill="1" applyBorder="1"/>
    <xf numFmtId="3" fontId="0" fillId="6" borderId="62" xfId="0" applyNumberFormat="1" applyFill="1" applyBorder="1"/>
    <xf numFmtId="3" fontId="0" fillId="6" borderId="49" xfId="0" applyNumberFormat="1" applyFill="1" applyBorder="1"/>
    <xf numFmtId="3" fontId="0" fillId="6" borderId="36" xfId="2" applyNumberFormat="1" applyFont="1" applyFill="1" applyBorder="1"/>
    <xf numFmtId="3" fontId="0" fillId="6" borderId="18" xfId="0" applyNumberFormat="1" applyFill="1" applyBorder="1"/>
    <xf numFmtId="3" fontId="0" fillId="6" borderId="35" xfId="0" applyNumberFormat="1" applyFill="1" applyBorder="1"/>
    <xf numFmtId="3" fontId="0" fillId="6" borderId="37" xfId="2" applyNumberFormat="1" applyFont="1" applyFill="1" applyBorder="1"/>
    <xf numFmtId="3" fontId="0" fillId="6" borderId="38" xfId="0" applyNumberFormat="1" applyFill="1" applyBorder="1"/>
    <xf numFmtId="3" fontId="0" fillId="6" borderId="54" xfId="0" applyNumberFormat="1" applyFill="1" applyBorder="1"/>
    <xf numFmtId="3" fontId="2" fillId="0" borderId="36" xfId="2" applyNumberFormat="1" applyFont="1" applyBorder="1"/>
    <xf numFmtId="3" fontId="2" fillId="0" borderId="43" xfId="0" applyNumberFormat="1" applyFont="1" applyBorder="1"/>
    <xf numFmtId="3" fontId="2" fillId="0" borderId="18" xfId="0" applyNumberFormat="1" applyFont="1" applyBorder="1"/>
    <xf numFmtId="3" fontId="2" fillId="0" borderId="35" xfId="0" applyNumberFormat="1" applyFont="1" applyBorder="1"/>
    <xf numFmtId="3" fontId="5" fillId="0" borderId="0" xfId="2" applyNumberFormat="1" applyFont="1"/>
    <xf numFmtId="0" fontId="0" fillId="0" borderId="22" xfId="0" applyBorder="1"/>
    <xf numFmtId="166" fontId="0" fillId="0" borderId="20" xfId="0" applyNumberFormat="1" applyBorder="1"/>
    <xf numFmtId="0" fontId="0" fillId="0" borderId="20" xfId="0" applyBorder="1"/>
    <xf numFmtId="164" fontId="0" fillId="0" borderId="19" xfId="2" applyNumberFormat="1" applyFont="1" applyBorder="1"/>
    <xf numFmtId="3" fontId="0" fillId="6" borderId="22" xfId="2" applyNumberFormat="1" applyFont="1" applyFill="1" applyBorder="1"/>
    <xf numFmtId="3" fontId="0" fillId="6" borderId="20" xfId="0" applyNumberFormat="1" applyFill="1" applyBorder="1"/>
    <xf numFmtId="3" fontId="0" fillId="6" borderId="23" xfId="0" applyNumberFormat="1" applyFill="1" applyBorder="1"/>
    <xf numFmtId="3" fontId="0" fillId="0" borderId="22" xfId="2" applyNumberFormat="1" applyFont="1" applyBorder="1"/>
    <xf numFmtId="3" fontId="0" fillId="0" borderId="9" xfId="0" applyNumberFormat="1" applyBorder="1"/>
    <xf numFmtId="3" fontId="0" fillId="0" borderId="20" xfId="0" applyNumberFormat="1" applyBorder="1"/>
    <xf numFmtId="3" fontId="0" fillId="0" borderId="23" xfId="0" applyNumberFormat="1" applyBorder="1"/>
    <xf numFmtId="3" fontId="0" fillId="0" borderId="22" xfId="0" applyNumberFormat="1" applyBorder="1"/>
    <xf numFmtId="3" fontId="5" fillId="0" borderId="51" xfId="0" applyNumberFormat="1" applyFont="1" applyBorder="1"/>
    <xf numFmtId="3" fontId="5" fillId="0" borderId="58" xfId="0" applyNumberFormat="1" applyFont="1" applyBorder="1"/>
    <xf numFmtId="3" fontId="5" fillId="0" borderId="32" xfId="0" applyNumberFormat="1" applyFont="1" applyBorder="1"/>
    <xf numFmtId="3" fontId="5" fillId="0" borderId="33" xfId="0" applyNumberFormat="1" applyFont="1" applyBorder="1"/>
    <xf numFmtId="0" fontId="0" fillId="0" borderId="62" xfId="0" applyBorder="1"/>
    <xf numFmtId="3" fontId="2" fillId="0" borderId="48" xfId="2" applyNumberFormat="1" applyFont="1" applyBorder="1"/>
    <xf numFmtId="3" fontId="2" fillId="0" borderId="79" xfId="0" applyNumberFormat="1" applyFont="1" applyBorder="1"/>
    <xf numFmtId="0" fontId="11" fillId="0" borderId="100" xfId="0" applyFont="1" applyBorder="1" applyAlignment="1" applyProtection="1">
      <alignment horizontal="center" vertical="center"/>
      <protection hidden="1"/>
    </xf>
    <xf numFmtId="0" fontId="11" fillId="0" borderId="102" xfId="0" applyFont="1" applyBorder="1" applyAlignment="1" applyProtection="1">
      <alignment vertical="center"/>
      <protection hidden="1"/>
    </xf>
    <xf numFmtId="0" fontId="11" fillId="0" borderId="102" xfId="0" applyFont="1" applyBorder="1" applyAlignment="1" applyProtection="1">
      <alignment horizontal="left" vertical="center"/>
      <protection hidden="1"/>
    </xf>
    <xf numFmtId="0" fontId="6" fillId="7" borderId="103" xfId="0" applyFont="1" applyFill="1" applyBorder="1" applyAlignment="1" applyProtection="1">
      <alignment horizontal="center" vertical="center"/>
      <protection locked="0"/>
    </xf>
    <xf numFmtId="0" fontId="0" fillId="7" borderId="125" xfId="0" applyFill="1" applyBorder="1" applyAlignment="1" applyProtection="1">
      <alignment horizontal="center" vertical="center"/>
      <protection locked="0"/>
    </xf>
    <xf numFmtId="0" fontId="11" fillId="0" borderId="121" xfId="0" applyFont="1" applyBorder="1" applyAlignment="1" applyProtection="1">
      <alignment vertical="center"/>
      <protection hidden="1"/>
    </xf>
    <xf numFmtId="0" fontId="10" fillId="0" borderId="121" xfId="0" applyFont="1" applyBorder="1" applyAlignment="1" applyProtection="1">
      <alignment vertical="center"/>
      <protection hidden="1"/>
    </xf>
    <xf numFmtId="3" fontId="10" fillId="0" borderId="103" xfId="0" applyNumberFormat="1" applyFont="1" applyBorder="1" applyAlignment="1" applyProtection="1">
      <alignment horizontal="center" vertical="center"/>
      <protection hidden="1"/>
    </xf>
    <xf numFmtId="0" fontId="10" fillId="0" borderId="100" xfId="0" applyFont="1" applyBorder="1" applyAlignment="1" applyProtection="1">
      <alignment horizontal="center" vertical="center"/>
      <protection hidden="1"/>
    </xf>
    <xf numFmtId="0" fontId="10" fillId="0" borderId="130" xfId="0" applyFont="1" applyBorder="1" applyAlignment="1" applyProtection="1">
      <alignment vertical="center"/>
      <protection hidden="1"/>
    </xf>
    <xf numFmtId="0" fontId="2" fillId="0" borderId="121" xfId="0" applyFont="1" applyBorder="1" applyAlignment="1" applyProtection="1">
      <alignment vertical="center"/>
      <protection hidden="1"/>
    </xf>
    <xf numFmtId="0" fontId="6" fillId="7" borderId="104" xfId="0" applyFont="1" applyFill="1" applyBorder="1" applyAlignment="1" applyProtection="1">
      <alignment horizontal="center" vertical="center"/>
      <protection locked="0"/>
    </xf>
    <xf numFmtId="0" fontId="6" fillId="7" borderId="125" xfId="0" applyFont="1" applyFill="1" applyBorder="1" applyAlignment="1" applyProtection="1">
      <alignment horizontal="center" vertical="center"/>
      <protection locked="0"/>
    </xf>
    <xf numFmtId="0" fontId="6" fillId="7" borderId="179" xfId="0" applyFont="1" applyFill="1" applyBorder="1" applyAlignment="1" applyProtection="1">
      <alignment horizontal="left" vertical="center"/>
      <protection locked="0"/>
    </xf>
    <xf numFmtId="0" fontId="2" fillId="0" borderId="122" xfId="0" applyFont="1" applyBorder="1" applyAlignment="1" applyProtection="1">
      <alignment horizontal="center"/>
      <protection hidden="1"/>
    </xf>
    <xf numFmtId="0" fontId="0" fillId="0" borderId="122" xfId="0" applyBorder="1" applyAlignment="1" applyProtection="1">
      <alignment horizontal="center"/>
      <protection hidden="1"/>
    </xf>
    <xf numFmtId="0" fontId="5" fillId="0" borderId="0" xfId="0" applyFont="1" applyAlignment="1" applyProtection="1">
      <alignment horizontal="left" vertical="center"/>
      <protection hidden="1"/>
    </xf>
    <xf numFmtId="0" fontId="10" fillId="0" borderId="0" xfId="0" applyFont="1" applyAlignment="1" applyProtection="1">
      <alignment horizontal="left" vertical="center"/>
      <protection hidden="1"/>
    </xf>
    <xf numFmtId="14" fontId="11" fillId="0" borderId="0" xfId="0" applyNumberFormat="1" applyFont="1" applyAlignment="1" applyProtection="1">
      <alignment horizontal="left" vertical="center"/>
      <protection hidden="1"/>
    </xf>
    <xf numFmtId="0" fontId="11" fillId="0" borderId="121" xfId="0" applyFont="1" applyBorder="1" applyAlignment="1" applyProtection="1">
      <alignment horizontal="left" vertical="center" wrapText="1"/>
      <protection hidden="1"/>
    </xf>
    <xf numFmtId="0" fontId="11" fillId="0" borderId="121" xfId="0" applyFont="1" applyBorder="1" applyAlignment="1" applyProtection="1">
      <alignment horizontal="left" vertical="center"/>
      <protection hidden="1"/>
    </xf>
    <xf numFmtId="0" fontId="5" fillId="0" borderId="0" xfId="0" applyFont="1" applyAlignment="1" applyProtection="1">
      <alignment horizontal="left" vertical="center" wrapText="1"/>
      <protection hidden="1"/>
    </xf>
    <xf numFmtId="14" fontId="11" fillId="0" borderId="0" xfId="0" applyNumberFormat="1" applyFont="1" applyAlignment="1" applyProtection="1">
      <alignment horizontal="left"/>
      <protection hidden="1"/>
    </xf>
    <xf numFmtId="0" fontId="11" fillId="0" borderId="100" xfId="0" applyFont="1" applyBorder="1" applyAlignment="1">
      <alignment horizontal="center" vertical="center"/>
    </xf>
    <xf numFmtId="0" fontId="11" fillId="0" borderId="121" xfId="0" applyFont="1" applyBorder="1" applyAlignment="1">
      <alignment horizontal="center" vertical="center"/>
    </xf>
    <xf numFmtId="3" fontId="11" fillId="0" borderId="121" xfId="0" applyNumberFormat="1" applyFont="1" applyBorder="1" applyAlignment="1">
      <alignment horizontal="center" vertical="center"/>
    </xf>
    <xf numFmtId="0" fontId="14" fillId="0" borderId="121" xfId="0" applyFont="1" applyBorder="1" applyAlignment="1">
      <alignment horizontal="center" vertical="center"/>
    </xf>
    <xf numFmtId="3" fontId="11" fillId="0" borderId="103" xfId="0" applyNumberFormat="1" applyFont="1" applyBorder="1" applyAlignment="1" applyProtection="1">
      <alignment horizontal="center" vertical="center"/>
      <protection hidden="1"/>
    </xf>
    <xf numFmtId="14" fontId="10" fillId="0" borderId="0" xfId="0" applyNumberFormat="1" applyFont="1" applyAlignment="1" applyProtection="1">
      <alignment horizontal="left" vertical="center"/>
      <protection hidden="1"/>
    </xf>
    <xf numFmtId="0" fontId="6" fillId="0" borderId="0" xfId="0" applyFont="1" applyAlignment="1">
      <alignment horizontal="right" vertical="center" shrinkToFit="1"/>
    </xf>
    <xf numFmtId="0" fontId="0" fillId="0" borderId="0" xfId="0" applyAlignment="1" applyProtection="1">
      <alignment horizontal="right" vertical="center"/>
      <protection hidden="1"/>
    </xf>
    <xf numFmtId="0" fontId="10" fillId="0" borderId="0" xfId="0" applyFont="1" applyAlignment="1" applyProtection="1">
      <alignment horizontal="center" vertical="center" shrinkToFit="1"/>
      <protection hidden="1"/>
    </xf>
    <xf numFmtId="3" fontId="10" fillId="0" borderId="0" xfId="0" applyNumberFormat="1" applyFont="1" applyAlignment="1" applyProtection="1">
      <alignment horizontal="center"/>
      <protection hidden="1"/>
    </xf>
    <xf numFmtId="3" fontId="3" fillId="0" borderId="0" xfId="0" applyNumberFormat="1" applyFont="1" applyAlignment="1" applyProtection="1">
      <alignment horizontal="right"/>
      <protection hidden="1"/>
    </xf>
    <xf numFmtId="3" fontId="14" fillId="0" borderId="0" xfId="0" applyNumberFormat="1" applyFont="1" applyAlignment="1" applyProtection="1">
      <alignment horizontal="right" vertical="center"/>
      <protection hidden="1"/>
    </xf>
    <xf numFmtId="167" fontId="14" fillId="0" borderId="0" xfId="0" applyNumberFormat="1" applyFont="1" applyAlignment="1" applyProtection="1">
      <alignment horizontal="right"/>
      <protection hidden="1"/>
    </xf>
    <xf numFmtId="0" fontId="10" fillId="0" borderId="121" xfId="0" applyFont="1" applyBorder="1" applyAlignment="1" applyProtection="1">
      <alignment horizontal="left" vertical="center"/>
      <protection hidden="1"/>
    </xf>
    <xf numFmtId="3" fontId="8" fillId="0" borderId="0" xfId="0" applyNumberFormat="1" applyFont="1" applyProtection="1">
      <protection hidden="1"/>
    </xf>
    <xf numFmtId="3" fontId="10" fillId="0" borderId="0" xfId="0" applyNumberFormat="1" applyFont="1" applyAlignment="1" applyProtection="1">
      <alignment horizontal="left" vertical="center"/>
      <protection hidden="1"/>
    </xf>
    <xf numFmtId="3" fontId="10" fillId="0" borderId="0" xfId="0" applyNumberFormat="1" applyFont="1" applyAlignment="1" applyProtection="1">
      <alignment horizontal="left"/>
      <protection hidden="1"/>
    </xf>
    <xf numFmtId="3" fontId="8" fillId="0" borderId="0" xfId="0" applyNumberFormat="1" applyFont="1" applyAlignment="1" applyProtection="1">
      <alignment horizontal="left"/>
      <protection hidden="1"/>
    </xf>
    <xf numFmtId="3" fontId="11" fillId="0" borderId="0" xfId="0" quotePrefix="1" applyNumberFormat="1" applyFont="1" applyAlignment="1">
      <alignment horizontal="center" vertical="center"/>
    </xf>
    <xf numFmtId="167" fontId="11" fillId="0" borderId="0" xfId="0" applyNumberFormat="1" applyFont="1" applyAlignment="1" applyProtection="1">
      <alignment horizontal="center"/>
      <protection hidden="1"/>
    </xf>
    <xf numFmtId="167" fontId="11" fillId="8" borderId="0" xfId="0" applyNumberFormat="1" applyFont="1" applyFill="1" applyAlignment="1" applyProtection="1">
      <alignment horizontal="center"/>
      <protection hidden="1"/>
    </xf>
    <xf numFmtId="0" fontId="10" fillId="0" borderId="100" xfId="0" applyFont="1" applyBorder="1" applyAlignment="1" applyProtection="1">
      <alignment horizontal="left" vertical="center"/>
      <protection hidden="1"/>
    </xf>
    <xf numFmtId="0" fontId="6" fillId="3" borderId="0" xfId="0" applyFont="1" applyFill="1" applyAlignment="1">
      <alignment vertical="center" wrapText="1"/>
    </xf>
    <xf numFmtId="3" fontId="11" fillId="0" borderId="103" xfId="0" quotePrefix="1" applyNumberFormat="1" applyFont="1" applyBorder="1" applyAlignment="1">
      <alignment horizontal="center" vertical="center"/>
    </xf>
    <xf numFmtId="3" fontId="11" fillId="0" borderId="188"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16" xfId="0" applyFont="1" applyBorder="1" applyAlignment="1">
      <alignment horizontal="center" vertical="center"/>
    </xf>
    <xf numFmtId="0" fontId="11" fillId="8" borderId="116" xfId="0" applyFont="1" applyFill="1" applyBorder="1" applyAlignment="1">
      <alignment horizontal="center" vertical="center"/>
    </xf>
    <xf numFmtId="0" fontId="11" fillId="8" borderId="103" xfId="0" applyFont="1" applyFill="1" applyBorder="1" applyAlignment="1">
      <alignment horizontal="center" vertical="center"/>
    </xf>
    <xf numFmtId="0" fontId="11" fillId="8" borderId="117" xfId="0" applyFont="1" applyFill="1" applyBorder="1" applyAlignment="1">
      <alignment horizontal="center" vertical="center"/>
    </xf>
    <xf numFmtId="167" fontId="11" fillId="0" borderId="117" xfId="0" applyNumberFormat="1" applyFont="1" applyBorder="1" applyAlignment="1">
      <alignment horizontal="center" vertical="center"/>
    </xf>
    <xf numFmtId="166" fontId="11" fillId="0" borderId="117" xfId="0" applyNumberFormat="1" applyFont="1" applyBorder="1" applyAlignment="1">
      <alignment horizontal="center" vertical="center"/>
    </xf>
    <xf numFmtId="166" fontId="11" fillId="8" borderId="117" xfId="0" applyNumberFormat="1" applyFont="1" applyFill="1" applyBorder="1" applyAlignment="1">
      <alignment horizontal="center" vertical="center"/>
    </xf>
    <xf numFmtId="167" fontId="11" fillId="0" borderId="186" xfId="0" applyNumberFormat="1" applyFont="1" applyBorder="1" applyAlignment="1">
      <alignment horizontal="center" vertical="center"/>
    </xf>
    <xf numFmtId="3" fontId="11" fillId="0" borderId="190" xfId="0" applyNumberFormat="1" applyFont="1" applyBorder="1" applyAlignment="1">
      <alignment horizontal="center" vertical="center"/>
    </xf>
    <xf numFmtId="3" fontId="11" fillId="0" borderId="116" xfId="0" applyNumberFormat="1" applyFont="1" applyBorder="1" applyAlignment="1">
      <alignment horizontal="center" vertical="center"/>
    </xf>
    <xf numFmtId="3" fontId="11" fillId="0" borderId="103" xfId="0" applyNumberFormat="1" applyFont="1" applyBorder="1" applyAlignment="1">
      <alignment horizontal="center" vertical="center"/>
    </xf>
    <xf numFmtId="167" fontId="11" fillId="0" borderId="188" xfId="0" quotePrefix="1" applyNumberFormat="1" applyFont="1" applyBorder="1" applyAlignment="1">
      <alignment horizontal="center" vertical="center"/>
    </xf>
    <xf numFmtId="167" fontId="11" fillId="0" borderId="103" xfId="0" quotePrefix="1" applyNumberFormat="1" applyFont="1" applyBorder="1" applyAlignment="1">
      <alignment horizontal="center" vertical="center"/>
    </xf>
    <xf numFmtId="167" fontId="11" fillId="8" borderId="117" xfId="0" applyNumberFormat="1" applyFont="1" applyFill="1" applyBorder="1" applyAlignment="1">
      <alignment horizontal="center" vertical="center"/>
    </xf>
    <xf numFmtId="167" fontId="11" fillId="8" borderId="103" xfId="0" applyNumberFormat="1" applyFont="1" applyFill="1" applyBorder="1" applyAlignment="1">
      <alignment horizontal="center" vertical="center"/>
    </xf>
    <xf numFmtId="0" fontId="2" fillId="0" borderId="102" xfId="0" applyFont="1" applyBorder="1"/>
    <xf numFmtId="0" fontId="10" fillId="0" borderId="191" xfId="0" applyFont="1" applyBorder="1" applyAlignment="1" applyProtection="1">
      <alignment vertical="center"/>
      <protection hidden="1"/>
    </xf>
    <xf numFmtId="0" fontId="11" fillId="0" borderId="191" xfId="0" applyFont="1" applyBorder="1" applyAlignment="1" applyProtection="1">
      <alignment vertical="center"/>
      <protection hidden="1"/>
    </xf>
    <xf numFmtId="3" fontId="11" fillId="0" borderId="116" xfId="0" applyNumberFormat="1" applyFont="1" applyBorder="1" applyAlignment="1" applyProtection="1">
      <alignment horizontal="center" vertical="center"/>
      <protection hidden="1"/>
    </xf>
    <xf numFmtId="3" fontId="11" fillId="0" borderId="118" xfId="0" applyNumberFormat="1" applyFont="1" applyBorder="1" applyAlignment="1" applyProtection="1">
      <alignment horizontal="center" vertical="center"/>
      <protection hidden="1"/>
    </xf>
    <xf numFmtId="3" fontId="10" fillId="0" borderId="116" xfId="0" applyNumberFormat="1" applyFont="1" applyBorder="1" applyAlignment="1" applyProtection="1">
      <alignment horizontal="center" vertical="center"/>
      <protection hidden="1"/>
    </xf>
    <xf numFmtId="3" fontId="10" fillId="0" borderId="118" xfId="0" applyNumberFormat="1" applyFont="1" applyBorder="1" applyAlignment="1" applyProtection="1">
      <alignment horizontal="center" vertical="center"/>
      <protection hidden="1"/>
    </xf>
    <xf numFmtId="3" fontId="11" fillId="6" borderId="116" xfId="0" applyNumberFormat="1" applyFont="1" applyFill="1" applyBorder="1" applyAlignment="1" applyProtection="1">
      <alignment horizontal="center" vertical="center"/>
      <protection hidden="1"/>
    </xf>
    <xf numFmtId="0" fontId="0" fillId="0" borderId="121" xfId="0" applyBorder="1"/>
    <xf numFmtId="0" fontId="0" fillId="0" borderId="130" xfId="0" applyBorder="1"/>
    <xf numFmtId="167" fontId="11" fillId="0" borderId="121" xfId="0" applyNumberFormat="1" applyFont="1" applyBorder="1" applyAlignment="1" applyProtection="1">
      <alignment vertical="center"/>
      <protection hidden="1"/>
    </xf>
    <xf numFmtId="166" fontId="11" fillId="0" borderId="115" xfId="0" applyNumberFormat="1" applyFont="1" applyBorder="1" applyAlignment="1" applyProtection="1">
      <alignment horizontal="center" vertical="center"/>
      <protection hidden="1"/>
    </xf>
    <xf numFmtId="167" fontId="10" fillId="0" borderId="121" xfId="0" applyNumberFormat="1" applyFont="1" applyBorder="1" applyAlignment="1" applyProtection="1">
      <alignment vertical="center"/>
      <protection hidden="1"/>
    </xf>
    <xf numFmtId="3" fontId="10" fillId="0" borderId="115" xfId="0" applyNumberFormat="1" applyFont="1" applyBorder="1" applyAlignment="1" applyProtection="1">
      <alignment horizontal="center" vertical="center"/>
      <protection hidden="1"/>
    </xf>
    <xf numFmtId="166" fontId="10" fillId="0" borderId="115" xfId="0" applyNumberFormat="1" applyFont="1" applyBorder="1" applyAlignment="1" applyProtection="1">
      <alignment horizontal="center" vertical="center"/>
      <protection hidden="1"/>
    </xf>
    <xf numFmtId="0" fontId="10" fillId="0" borderId="121" xfId="0" applyFont="1" applyBorder="1" applyAlignment="1" applyProtection="1">
      <alignment horizontal="left" vertical="center" wrapText="1"/>
      <protection hidden="1"/>
    </xf>
    <xf numFmtId="0" fontId="10" fillId="0" borderId="115" xfId="0" applyFont="1" applyBorder="1" applyAlignment="1" applyProtection="1">
      <alignment horizontal="left" vertical="center" wrapText="1"/>
      <protection hidden="1"/>
    </xf>
    <xf numFmtId="0" fontId="6" fillId="0" borderId="121" xfId="0" applyFont="1" applyBorder="1" applyAlignment="1" applyProtection="1">
      <alignment vertical="center"/>
      <protection hidden="1"/>
    </xf>
    <xf numFmtId="0" fontId="6" fillId="0" borderId="102" xfId="0" applyFont="1" applyBorder="1" applyAlignment="1" applyProtection="1">
      <alignment vertical="center"/>
      <protection hidden="1"/>
    </xf>
    <xf numFmtId="0" fontId="0" fillId="0" borderId="121" xfId="0" applyBorder="1" applyAlignment="1">
      <alignment vertical="center"/>
    </xf>
    <xf numFmtId="0" fontId="10" fillId="0" borderId="102" xfId="0" applyFont="1" applyBorder="1" applyAlignment="1" applyProtection="1">
      <alignment horizontal="left" vertical="center"/>
      <protection hidden="1"/>
    </xf>
    <xf numFmtId="0" fontId="11" fillId="0" borderId="130" xfId="0" applyFont="1" applyBorder="1" applyAlignment="1" applyProtection="1">
      <alignment horizontal="left" vertical="center"/>
      <protection hidden="1"/>
    </xf>
    <xf numFmtId="0" fontId="0" fillId="0" borderId="130" xfId="0" applyBorder="1" applyAlignment="1">
      <alignment vertical="center"/>
    </xf>
    <xf numFmtId="0" fontId="11" fillId="0" borderId="185" xfId="0" applyFont="1" applyBorder="1" applyAlignment="1" applyProtection="1">
      <alignment horizontal="left" vertical="center"/>
      <protection hidden="1"/>
    </xf>
    <xf numFmtId="14" fontId="10" fillId="0" borderId="0" xfId="0" applyNumberFormat="1" applyFont="1" applyAlignment="1" applyProtection="1">
      <alignment horizontal="left"/>
      <protection hidden="1"/>
    </xf>
    <xf numFmtId="3" fontId="6" fillId="0" borderId="117" xfId="0" applyNumberFormat="1" applyFont="1" applyBorder="1" applyAlignment="1" applyProtection="1">
      <alignment horizontal="center" vertical="center"/>
      <protection hidden="1"/>
    </xf>
    <xf numFmtId="3" fontId="3" fillId="0" borderId="117" xfId="0" applyNumberFormat="1" applyFont="1" applyBorder="1" applyAlignment="1" applyProtection="1">
      <alignment horizontal="center" vertical="center"/>
      <protection hidden="1"/>
    </xf>
    <xf numFmtId="166" fontId="6" fillId="0" borderId="117" xfId="0" applyNumberFormat="1" applyFont="1" applyBorder="1" applyAlignment="1" applyProtection="1">
      <alignment horizontal="center" vertical="center"/>
      <protection hidden="1"/>
    </xf>
    <xf numFmtId="166" fontId="6" fillId="6" borderId="117" xfId="0" applyNumberFormat="1" applyFont="1" applyFill="1" applyBorder="1" applyAlignment="1" applyProtection="1">
      <alignment horizontal="center" vertical="center"/>
      <protection hidden="1"/>
    </xf>
    <xf numFmtId="166" fontId="3" fillId="0" borderId="117" xfId="0" applyNumberFormat="1" applyFont="1" applyBorder="1" applyAlignment="1" applyProtection="1">
      <alignment horizontal="center" vertical="center"/>
      <protection hidden="1"/>
    </xf>
    <xf numFmtId="167" fontId="3" fillId="0" borderId="117" xfId="0" applyNumberFormat="1" applyFont="1" applyBorder="1" applyAlignment="1" applyProtection="1">
      <alignment horizontal="center" vertical="center"/>
      <protection hidden="1"/>
    </xf>
    <xf numFmtId="3" fontId="6" fillId="0" borderId="103" xfId="0" applyNumberFormat="1" applyFont="1" applyBorder="1" applyAlignment="1" applyProtection="1">
      <alignment horizontal="center" vertical="center"/>
      <protection hidden="1"/>
    </xf>
    <xf numFmtId="3" fontId="3" fillId="0" borderId="103" xfId="0" applyNumberFormat="1" applyFont="1" applyBorder="1" applyAlignment="1" applyProtection="1">
      <alignment horizontal="center" vertical="center"/>
      <protection hidden="1"/>
    </xf>
    <xf numFmtId="166" fontId="6" fillId="0" borderId="103" xfId="0" applyNumberFormat="1" applyFont="1" applyBorder="1" applyAlignment="1" applyProtection="1">
      <alignment horizontal="center" vertical="center"/>
      <protection hidden="1"/>
    </xf>
    <xf numFmtId="166" fontId="3" fillId="0" borderId="103" xfId="0" applyNumberFormat="1" applyFont="1" applyBorder="1" applyAlignment="1" applyProtection="1">
      <alignment horizontal="center" vertical="center"/>
      <protection hidden="1"/>
    </xf>
    <xf numFmtId="167" fontId="3" fillId="0" borderId="103" xfId="0" applyNumberFormat="1" applyFont="1" applyBorder="1" applyAlignment="1" applyProtection="1">
      <alignment horizontal="center" vertical="center"/>
      <protection hidden="1"/>
    </xf>
    <xf numFmtId="172" fontId="6" fillId="0" borderId="117" xfId="0" applyNumberFormat="1" applyFont="1" applyBorder="1" applyAlignment="1" applyProtection="1">
      <alignment horizontal="center" vertical="center"/>
      <protection hidden="1"/>
    </xf>
    <xf numFmtId="172" fontId="6" fillId="0" borderId="103" xfId="0" applyNumberFormat="1" applyFont="1" applyBorder="1" applyAlignment="1" applyProtection="1">
      <alignment horizontal="center" vertical="center"/>
      <protection hidden="1"/>
    </xf>
    <xf numFmtId="167" fontId="6" fillId="0" borderId="117" xfId="0" applyNumberFormat="1" applyFont="1" applyBorder="1" applyAlignment="1" applyProtection="1">
      <alignment horizontal="center" vertical="center"/>
      <protection hidden="1"/>
    </xf>
    <xf numFmtId="167" fontId="6" fillId="0" borderId="103" xfId="0" applyNumberFormat="1" applyFont="1" applyBorder="1" applyAlignment="1" applyProtection="1">
      <alignment horizontal="center" vertical="center"/>
      <protection hidden="1"/>
    </xf>
    <xf numFmtId="0" fontId="0" fillId="0" borderId="102" xfId="0" applyBorder="1" applyAlignment="1">
      <alignment vertical="center"/>
    </xf>
    <xf numFmtId="0" fontId="3" fillId="0" borderId="0" xfId="0" applyFont="1" applyAlignment="1" applyProtection="1">
      <alignment vertical="center" shrinkToFit="1"/>
      <protection hidden="1"/>
    </xf>
    <xf numFmtId="3" fontId="3" fillId="0" borderId="0" xfId="0" applyNumberFormat="1" applyFont="1" applyAlignment="1" applyProtection="1">
      <alignment vertical="center" shrinkToFit="1"/>
      <protection hidden="1"/>
    </xf>
    <xf numFmtId="3" fontId="3" fillId="0" borderId="0" xfId="0" applyNumberFormat="1" applyFont="1" applyAlignment="1">
      <alignment horizontal="right" vertical="center"/>
    </xf>
    <xf numFmtId="167" fontId="8" fillId="0" borderId="0" xfId="0" applyNumberFormat="1" applyFont="1" applyAlignment="1" applyProtection="1">
      <alignment vertical="center"/>
      <protection hidden="1"/>
    </xf>
    <xf numFmtId="0" fontId="11" fillId="6" borderId="110" xfId="0" applyFont="1" applyFill="1" applyBorder="1" applyAlignment="1" applyProtection="1">
      <alignment horizontal="center" vertical="center"/>
      <protection hidden="1"/>
    </xf>
    <xf numFmtId="167" fontId="11" fillId="6" borderId="100" xfId="0" applyNumberFormat="1" applyFont="1" applyFill="1" applyBorder="1" applyAlignment="1" applyProtection="1">
      <alignment horizontal="center" vertical="center"/>
      <protection hidden="1"/>
    </xf>
    <xf numFmtId="3" fontId="11" fillId="0" borderId="100" xfId="0" applyNumberFormat="1" applyFont="1" applyBorder="1" applyAlignment="1" applyProtection="1">
      <alignment horizontal="center" vertical="center"/>
      <protection hidden="1"/>
    </xf>
    <xf numFmtId="3" fontId="6" fillId="6" borderId="104" xfId="0" applyNumberFormat="1" applyFont="1" applyFill="1" applyBorder="1" applyAlignment="1" applyProtection="1">
      <alignment horizontal="center" vertical="center"/>
      <protection hidden="1"/>
    </xf>
    <xf numFmtId="3" fontId="11" fillId="6" borderId="103" xfId="0" applyNumberFormat="1" applyFont="1" applyFill="1" applyBorder="1" applyAlignment="1" applyProtection="1">
      <alignment horizontal="center" vertical="center"/>
      <protection hidden="1"/>
    </xf>
    <xf numFmtId="3" fontId="11" fillId="6" borderId="104" xfId="0" applyNumberFormat="1" applyFont="1" applyFill="1" applyBorder="1" applyAlignment="1" applyProtection="1">
      <alignment horizontal="center" vertical="center"/>
      <protection hidden="1"/>
    </xf>
    <xf numFmtId="3" fontId="10" fillId="0" borderId="120" xfId="0" applyNumberFormat="1" applyFont="1" applyBorder="1" applyAlignment="1" applyProtection="1">
      <alignment horizontal="center" vertical="center"/>
      <protection hidden="1"/>
    </xf>
    <xf numFmtId="0" fontId="11" fillId="8" borderId="0" xfId="0" applyFont="1" applyFill="1" applyAlignment="1" applyProtection="1">
      <alignment horizontal="left" vertical="center"/>
      <protection locked="0"/>
    </xf>
    <xf numFmtId="166" fontId="11" fillId="0" borderId="0" xfId="0" applyNumberFormat="1" applyFont="1" applyAlignment="1">
      <alignment horizontal="center" vertical="center"/>
    </xf>
    <xf numFmtId="3" fontId="11" fillId="0" borderId="0" xfId="0" applyNumberFormat="1" applyFont="1" applyAlignment="1" applyProtection="1">
      <alignment horizontal="center"/>
      <protection hidden="1"/>
    </xf>
    <xf numFmtId="167" fontId="2" fillId="0" borderId="0" xfId="0" applyNumberFormat="1" applyFont="1" applyAlignment="1">
      <alignment horizontal="center"/>
    </xf>
    <xf numFmtId="0" fontId="11" fillId="0" borderId="202" xfId="0" applyFont="1" applyBorder="1" applyAlignment="1">
      <alignment horizontal="center" vertical="center"/>
    </xf>
    <xf numFmtId="166" fontId="11" fillId="0" borderId="203" xfId="0" applyNumberFormat="1" applyFont="1" applyBorder="1" applyAlignment="1">
      <alignment horizontal="center" vertical="center"/>
    </xf>
    <xf numFmtId="0" fontId="11" fillId="0" borderId="201" xfId="0" applyFont="1" applyBorder="1" applyAlignment="1">
      <alignment horizontal="center" vertical="center"/>
    </xf>
    <xf numFmtId="3" fontId="11" fillId="0" borderId="202" xfId="0" quotePrefix="1" applyNumberFormat="1" applyFont="1" applyBorder="1" applyAlignment="1">
      <alignment horizontal="center" vertical="center"/>
    </xf>
    <xf numFmtId="0" fontId="6" fillId="3" borderId="85" xfId="0" applyFont="1" applyFill="1" applyBorder="1" applyAlignment="1">
      <alignment vertical="center" wrapText="1"/>
    </xf>
    <xf numFmtId="3" fontId="11" fillId="8" borderId="103" xfId="0" applyNumberFormat="1" applyFont="1" applyFill="1" applyBorder="1" applyAlignment="1">
      <alignment horizontal="center" vertical="center"/>
    </xf>
    <xf numFmtId="0" fontId="11" fillId="0" borderId="206" xfId="0" applyFont="1" applyBorder="1" applyAlignment="1" applyProtection="1">
      <alignment horizontal="center" vertical="center"/>
      <protection hidden="1"/>
    </xf>
    <xf numFmtId="0" fontId="0" fillId="0" borderId="85" xfId="0" applyBorder="1"/>
    <xf numFmtId="0" fontId="47" fillId="0" borderId="178" xfId="0" applyFont="1" applyBorder="1" applyAlignment="1">
      <alignment horizontal="left" vertical="center"/>
    </xf>
    <xf numFmtId="3" fontId="42" fillId="6" borderId="18" xfId="0" applyNumberFormat="1" applyFont="1" applyFill="1" applyBorder="1" applyAlignment="1" applyProtection="1">
      <alignment vertical="center"/>
      <protection locked="0"/>
    </xf>
    <xf numFmtId="3" fontId="39" fillId="6" borderId="18" xfId="0" applyNumberFormat="1" applyFont="1" applyFill="1" applyBorder="1" applyAlignment="1" applyProtection="1">
      <alignment vertical="center"/>
      <protection locked="0"/>
    </xf>
    <xf numFmtId="164" fontId="47" fillId="6" borderId="18" xfId="0" applyNumberFormat="1" applyFont="1" applyFill="1" applyBorder="1" applyAlignment="1" applyProtection="1">
      <alignment vertical="center"/>
      <protection hidden="1"/>
    </xf>
    <xf numFmtId="169" fontId="39" fillId="6" borderId="18" xfId="0" applyNumberFormat="1" applyFont="1" applyFill="1" applyBorder="1" applyAlignment="1" applyProtection="1">
      <alignment vertical="center"/>
      <protection hidden="1"/>
    </xf>
    <xf numFmtId="164" fontId="47" fillId="6" borderId="18" xfId="0" applyNumberFormat="1" applyFont="1" applyFill="1" applyBorder="1" applyAlignment="1" applyProtection="1">
      <alignment horizontal="right" vertical="center"/>
      <protection hidden="1"/>
    </xf>
    <xf numFmtId="0" fontId="47" fillId="0" borderId="129" xfId="0" applyFont="1" applyBorder="1" applyAlignment="1">
      <alignment vertical="center"/>
    </xf>
    <xf numFmtId="0" fontId="47" fillId="0" borderId="127" xfId="0" applyFont="1" applyBorder="1" applyAlignment="1">
      <alignment vertical="center"/>
    </xf>
    <xf numFmtId="164" fontId="47" fillId="6" borderId="18" xfId="0" applyNumberFormat="1" applyFont="1" applyFill="1" applyBorder="1" applyAlignment="1" applyProtection="1">
      <alignment horizontal="center" vertical="center"/>
      <protection hidden="1"/>
    </xf>
    <xf numFmtId="169" fontId="39" fillId="6" borderId="32" xfId="0" applyNumberFormat="1" applyFont="1" applyFill="1" applyBorder="1" applyAlignment="1" applyProtection="1">
      <alignment vertical="center"/>
      <protection hidden="1"/>
    </xf>
    <xf numFmtId="0" fontId="39" fillId="0" borderId="147" xfId="0" applyFont="1" applyBorder="1" applyAlignment="1">
      <alignment horizontal="center" vertical="center"/>
    </xf>
    <xf numFmtId="164" fontId="39" fillId="6" borderId="18" xfId="2" applyNumberFormat="1" applyFont="1" applyFill="1" applyBorder="1" applyAlignment="1">
      <alignment vertical="center"/>
    </xf>
    <xf numFmtId="0" fontId="47" fillId="0" borderId="153" xfId="0" applyFont="1" applyBorder="1" applyAlignment="1">
      <alignment horizontal="center" vertical="center"/>
    </xf>
    <xf numFmtId="166" fontId="47" fillId="6" borderId="18" xfId="0" applyNumberFormat="1" applyFont="1" applyFill="1" applyBorder="1" applyAlignment="1">
      <alignment vertical="center"/>
    </xf>
    <xf numFmtId="0" fontId="47" fillId="0" borderId="127" xfId="0" applyFont="1" applyBorder="1" applyAlignment="1">
      <alignment horizontal="center" vertical="center"/>
    </xf>
    <xf numFmtId="164" fontId="47" fillId="6" borderId="18" xfId="2" applyNumberFormat="1" applyFont="1" applyFill="1" applyBorder="1" applyAlignment="1">
      <alignment vertical="center"/>
    </xf>
    <xf numFmtId="164" fontId="47" fillId="6" borderId="20" xfId="2" applyNumberFormat="1" applyFont="1" applyFill="1" applyBorder="1" applyAlignment="1">
      <alignment vertical="center"/>
    </xf>
    <xf numFmtId="0" fontId="38" fillId="0" borderId="128" xfId="0" applyFont="1" applyBorder="1" applyAlignment="1" applyProtection="1">
      <alignment horizontal="left" vertical="center"/>
      <protection hidden="1"/>
    </xf>
    <xf numFmtId="0" fontId="38" fillId="0" borderId="129" xfId="0" applyFont="1" applyBorder="1"/>
    <xf numFmtId="0" fontId="38" fillId="0" borderId="127" xfId="0" applyFont="1" applyBorder="1"/>
    <xf numFmtId="0" fontId="38" fillId="6" borderId="18" xfId="0" applyFont="1" applyFill="1" applyBorder="1" applyAlignment="1" applyProtection="1">
      <alignment horizontal="left" vertical="center"/>
      <protection hidden="1"/>
    </xf>
    <xf numFmtId="0" fontId="38" fillId="6" borderId="43" xfId="0" applyFont="1" applyFill="1" applyBorder="1" applyAlignment="1" applyProtection="1">
      <alignment horizontal="left" vertical="center"/>
      <protection hidden="1"/>
    </xf>
    <xf numFmtId="0" fontId="38" fillId="0" borderId="127" xfId="0" applyFont="1" applyBorder="1" applyAlignment="1" applyProtection="1">
      <alignment horizontal="left" vertical="center"/>
      <protection hidden="1"/>
    </xf>
    <xf numFmtId="3" fontId="39" fillId="6" borderId="43" xfId="0" applyNumberFormat="1" applyFont="1" applyFill="1" applyBorder="1" applyAlignment="1" applyProtection="1">
      <alignment horizontal="right" vertical="center"/>
      <protection hidden="1"/>
    </xf>
    <xf numFmtId="164" fontId="47" fillId="0" borderId="18" xfId="2" applyNumberFormat="1" applyFont="1" applyBorder="1" applyAlignment="1" applyProtection="1">
      <alignment horizontal="right" vertical="center"/>
      <protection hidden="1"/>
    </xf>
    <xf numFmtId="0" fontId="2" fillId="0" borderId="88" xfId="0" applyFont="1" applyBorder="1" applyAlignment="1" applyProtection="1">
      <alignment horizontal="left" vertical="center"/>
      <protection hidden="1"/>
    </xf>
    <xf numFmtId="1" fontId="2" fillId="0" borderId="88" xfId="0" applyNumberFormat="1" applyFont="1" applyBorder="1" applyAlignment="1" applyProtection="1">
      <alignment horizontal="left" vertical="center"/>
      <protection hidden="1"/>
    </xf>
    <xf numFmtId="170" fontId="2" fillId="0" borderId="88" xfId="0" applyNumberFormat="1" applyFont="1" applyBorder="1" applyAlignment="1" applyProtection="1">
      <alignment horizontal="left" vertical="center"/>
      <protection hidden="1"/>
    </xf>
    <xf numFmtId="0" fontId="11" fillId="7" borderId="0" xfId="0" applyFont="1" applyFill="1" applyAlignment="1" applyProtection="1">
      <alignment horizontal="left" vertical="center"/>
      <protection locked="0"/>
    </xf>
    <xf numFmtId="0" fontId="11" fillId="7" borderId="0" xfId="0" applyFont="1" applyFill="1"/>
    <xf numFmtId="3" fontId="11" fillId="0" borderId="119" xfId="0" applyNumberFormat="1" applyFont="1" applyBorder="1" applyAlignment="1">
      <alignment horizontal="center" vertical="center"/>
    </xf>
    <xf numFmtId="0" fontId="11" fillId="0" borderId="119" xfId="0" applyFont="1" applyBorder="1" applyAlignment="1">
      <alignment horizontal="center" vertical="center"/>
    </xf>
    <xf numFmtId="166" fontId="11" fillId="0" borderId="207" xfId="0" applyNumberFormat="1" applyFont="1" applyBorder="1" applyAlignment="1">
      <alignment horizontal="center" vertical="center"/>
    </xf>
    <xf numFmtId="3" fontId="11" fillId="0" borderId="209" xfId="0" applyNumberFormat="1" applyFont="1" applyBorder="1" applyAlignment="1">
      <alignment horizontal="center" vertical="center"/>
    </xf>
    <xf numFmtId="3" fontId="11" fillId="0" borderId="119" xfId="0" quotePrefix="1" applyNumberFormat="1" applyFont="1" applyBorder="1" applyAlignment="1">
      <alignment horizontal="center" vertical="center"/>
    </xf>
    <xf numFmtId="167" fontId="11" fillId="0" borderId="119" xfId="0" quotePrefix="1" applyNumberFormat="1" applyFont="1" applyBorder="1" applyAlignment="1">
      <alignment horizontal="center" vertical="center"/>
    </xf>
    <xf numFmtId="3" fontId="11" fillId="8" borderId="119" xfId="0" applyNumberFormat="1" applyFont="1" applyFill="1" applyBorder="1" applyAlignment="1">
      <alignment horizontal="center" vertical="center"/>
    </xf>
    <xf numFmtId="0" fontId="11" fillId="8" borderId="119" xfId="0" applyFont="1" applyFill="1" applyBorder="1" applyAlignment="1">
      <alignment horizontal="center" vertical="center"/>
    </xf>
    <xf numFmtId="166" fontId="11" fillId="8" borderId="207" xfId="0" applyNumberFormat="1" applyFont="1" applyFill="1" applyBorder="1" applyAlignment="1">
      <alignment horizontal="center" vertical="center"/>
    </xf>
    <xf numFmtId="0" fontId="11" fillId="8" borderId="209" xfId="0" applyFont="1" applyFill="1" applyBorder="1" applyAlignment="1">
      <alignment horizontal="center" vertical="center"/>
    </xf>
    <xf numFmtId="0" fontId="11" fillId="8" borderId="207" xfId="0" applyFont="1" applyFill="1" applyBorder="1" applyAlignment="1">
      <alignment horizontal="center" vertical="center"/>
    </xf>
    <xf numFmtId="167" fontId="11" fillId="8" borderId="207" xfId="0" applyNumberFormat="1" applyFont="1" applyFill="1" applyBorder="1" applyAlignment="1">
      <alignment horizontal="center" vertical="center"/>
    </xf>
    <xf numFmtId="167" fontId="11" fillId="8" borderId="119" xfId="0" applyNumberFormat="1" applyFont="1" applyFill="1" applyBorder="1" applyAlignment="1">
      <alignment horizontal="center" vertical="center"/>
    </xf>
    <xf numFmtId="3" fontId="11" fillId="0" borderId="202" xfId="0" applyNumberFormat="1" applyFont="1" applyBorder="1" applyAlignment="1">
      <alignment horizontal="center" vertical="center"/>
    </xf>
    <xf numFmtId="0" fontId="38" fillId="0" borderId="0" xfId="0" applyFont="1" applyAlignment="1" applyProtection="1">
      <alignment horizontal="left" vertical="center"/>
      <protection hidden="1"/>
    </xf>
    <xf numFmtId="4" fontId="38" fillId="0" borderId="0" xfId="0" applyNumberFormat="1" applyFont="1" applyAlignment="1" applyProtection="1">
      <alignment horizontal="left" vertical="center"/>
      <protection hidden="1"/>
    </xf>
    <xf numFmtId="167" fontId="10" fillId="0" borderId="0" xfId="0" applyNumberFormat="1" applyFont="1" applyAlignment="1" applyProtection="1">
      <alignment horizontal="center" vertical="center"/>
      <protection hidden="1"/>
    </xf>
    <xf numFmtId="3" fontId="11" fillId="0" borderId="0" xfId="0" applyNumberFormat="1" applyFont="1" applyAlignment="1" applyProtection="1">
      <alignment horizontal="center" vertical="center"/>
      <protection hidden="1"/>
    </xf>
    <xf numFmtId="3" fontId="11" fillId="0" borderId="118" xfId="0" applyNumberFormat="1" applyFont="1" applyBorder="1" applyAlignment="1">
      <alignment horizontal="center" vertical="center"/>
    </xf>
    <xf numFmtId="3" fontId="11" fillId="0" borderId="210" xfId="0" applyNumberFormat="1" applyFont="1" applyBorder="1" applyAlignment="1">
      <alignment horizontal="center" vertical="center"/>
    </xf>
    <xf numFmtId="167" fontId="11" fillId="0" borderId="125" xfId="0" applyNumberFormat="1" applyFont="1" applyBorder="1" applyAlignment="1">
      <alignment horizontal="center" vertical="center"/>
    </xf>
    <xf numFmtId="167" fontId="11" fillId="0" borderId="211" xfId="0" applyNumberFormat="1" applyFont="1" applyBorder="1" applyAlignment="1">
      <alignment horizontal="center" vertical="center"/>
    </xf>
    <xf numFmtId="167" fontId="11" fillId="0" borderId="103" xfId="0" applyNumberFormat="1" applyFont="1" applyBorder="1" applyAlignment="1">
      <alignment horizontal="center" vertical="center"/>
    </xf>
    <xf numFmtId="167" fontId="11" fillId="0" borderId="212" xfId="0" applyNumberFormat="1" applyFont="1" applyBorder="1" applyAlignment="1">
      <alignment horizontal="center" vertical="center"/>
    </xf>
    <xf numFmtId="0" fontId="0" fillId="0" borderId="185" xfId="0" applyBorder="1" applyAlignment="1">
      <alignment vertical="center"/>
    </xf>
    <xf numFmtId="0" fontId="11" fillId="0" borderId="99" xfId="0" applyFont="1" applyBorder="1" applyAlignment="1">
      <alignment vertical="center"/>
    </xf>
    <xf numFmtId="0" fontId="11" fillId="0" borderId="216" xfId="0" applyFont="1" applyBorder="1" applyAlignment="1" applyProtection="1">
      <alignment horizontal="left" vertical="center"/>
      <protection hidden="1"/>
    </xf>
    <xf numFmtId="164" fontId="53" fillId="7" borderId="18" xfId="2" applyNumberFormat="1" applyFont="1" applyFill="1" applyBorder="1" applyAlignment="1" applyProtection="1">
      <alignment horizontal="center" vertical="center"/>
      <protection locked="0"/>
    </xf>
    <xf numFmtId="164" fontId="53" fillId="7" borderId="35" xfId="2" applyNumberFormat="1" applyFont="1" applyFill="1" applyBorder="1" applyAlignment="1" applyProtection="1">
      <alignment horizontal="center" vertical="center"/>
      <protection locked="0"/>
    </xf>
    <xf numFmtId="3" fontId="11" fillId="6" borderId="21" xfId="0" applyNumberFormat="1" applyFont="1" applyFill="1" applyBorder="1" applyAlignment="1">
      <alignment horizontal="center" vertical="center"/>
    </xf>
    <xf numFmtId="3" fontId="11" fillId="0" borderId="24" xfId="0" applyNumberFormat="1" applyFont="1" applyBorder="1" applyAlignment="1" applyProtection="1">
      <alignment horizontal="center" vertical="center"/>
      <protection hidden="1"/>
    </xf>
    <xf numFmtId="3" fontId="0" fillId="0" borderId="18" xfId="0" applyNumberFormat="1" applyBorder="1" applyAlignment="1">
      <alignment horizontal="center"/>
    </xf>
    <xf numFmtId="167" fontId="11" fillId="0" borderId="103" xfId="0" applyNumberFormat="1" applyFont="1" applyBorder="1" applyAlignment="1" applyProtection="1">
      <alignment horizontal="center" vertical="center"/>
      <protection hidden="1"/>
    </xf>
    <xf numFmtId="3" fontId="11" fillId="0" borderId="35" xfId="0" applyNumberFormat="1" applyFont="1" applyBorder="1" applyAlignment="1" applyProtection="1">
      <alignment horizontal="center" vertical="center"/>
      <protection hidden="1"/>
    </xf>
    <xf numFmtId="164" fontId="11" fillId="0" borderId="18" xfId="2" applyNumberFormat="1" applyFont="1" applyBorder="1" applyAlignment="1" applyProtection="1">
      <alignment horizontal="center"/>
      <protection hidden="1"/>
    </xf>
    <xf numFmtId="0" fontId="66" fillId="0" borderId="18" xfId="0" applyFont="1" applyBorder="1" applyAlignment="1" applyProtection="1">
      <alignment horizontal="center" vertical="center"/>
      <protection hidden="1"/>
    </xf>
    <xf numFmtId="0" fontId="10" fillId="0" borderId="99" xfId="0" applyFont="1" applyBorder="1" applyAlignment="1" applyProtection="1">
      <alignment horizontal="right" vertical="center"/>
      <protection hidden="1"/>
    </xf>
    <xf numFmtId="3" fontId="11" fillId="0" borderId="51" xfId="0" applyNumberFormat="1" applyFont="1" applyBorder="1" applyAlignment="1" applyProtection="1">
      <alignment horizontal="center" vertical="center"/>
      <protection hidden="1"/>
    </xf>
    <xf numFmtId="3" fontId="11" fillId="7" borderId="36" xfId="0" applyNumberFormat="1" applyFont="1" applyFill="1" applyBorder="1" applyAlignment="1" applyProtection="1">
      <alignment horizontal="center" vertical="center"/>
      <protection locked="0"/>
    </xf>
    <xf numFmtId="3" fontId="10" fillId="0" borderId="36" xfId="0" applyNumberFormat="1" applyFont="1" applyBorder="1" applyAlignment="1" applyProtection="1">
      <alignment horizontal="center" vertical="center"/>
      <protection hidden="1"/>
    </xf>
    <xf numFmtId="3" fontId="11" fillId="0" borderId="36" xfId="0" applyNumberFormat="1" applyFont="1" applyBorder="1" applyAlignment="1" applyProtection="1">
      <alignment horizontal="center" vertical="center"/>
      <protection hidden="1"/>
    </xf>
    <xf numFmtId="3" fontId="10" fillId="0" borderId="22" xfId="0" applyNumberFormat="1" applyFont="1" applyBorder="1" applyAlignment="1" applyProtection="1">
      <alignment horizontal="center" vertical="center"/>
      <protection hidden="1"/>
    </xf>
    <xf numFmtId="3" fontId="11" fillId="7" borderId="22" xfId="0" applyNumberFormat="1" applyFont="1" applyFill="1" applyBorder="1" applyAlignment="1" applyProtection="1">
      <alignment horizontal="center" vertical="center"/>
      <protection locked="0" hidden="1"/>
    </xf>
    <xf numFmtId="164" fontId="48" fillId="7" borderId="22" xfId="0" applyNumberFormat="1" applyFont="1" applyFill="1" applyBorder="1" applyAlignment="1" applyProtection="1">
      <alignment horizontal="center" vertical="center"/>
      <protection locked="0"/>
    </xf>
    <xf numFmtId="3" fontId="11" fillId="0" borderId="22" xfId="0" applyNumberFormat="1" applyFont="1" applyBorder="1" applyAlignment="1" applyProtection="1">
      <alignment horizontal="center" vertical="center"/>
      <protection hidden="1"/>
    </xf>
    <xf numFmtId="3" fontId="10" fillId="0" borderId="37" xfId="0" applyNumberFormat="1" applyFont="1" applyBorder="1" applyAlignment="1" applyProtection="1">
      <alignment horizontal="center" vertical="center"/>
      <protection hidden="1"/>
    </xf>
    <xf numFmtId="3" fontId="5" fillId="0" borderId="62" xfId="0" applyNumberFormat="1" applyFont="1" applyBorder="1" applyAlignment="1" applyProtection="1">
      <alignment horizontal="center" vertical="center"/>
      <protection hidden="1"/>
    </xf>
    <xf numFmtId="3" fontId="5" fillId="0" borderId="159" xfId="0" applyNumberFormat="1" applyFont="1" applyBorder="1" applyAlignment="1" applyProtection="1">
      <alignment horizontal="center" vertical="center"/>
      <protection hidden="1"/>
    </xf>
    <xf numFmtId="3" fontId="10" fillId="0" borderId="18" xfId="0" applyNumberFormat="1" applyFont="1" applyBorder="1" applyAlignment="1" applyProtection="1">
      <alignment horizontal="center" vertical="center"/>
      <protection hidden="1"/>
    </xf>
    <xf numFmtId="3" fontId="10" fillId="0" borderId="21" xfId="0" applyNumberFormat="1" applyFont="1" applyBorder="1" applyAlignment="1" applyProtection="1">
      <alignment horizontal="center" vertical="center"/>
      <protection hidden="1"/>
    </xf>
    <xf numFmtId="3" fontId="10" fillId="0" borderId="134" xfId="0" applyNumberFormat="1" applyFont="1" applyBorder="1" applyAlignment="1" applyProtection="1">
      <alignment horizontal="center" vertical="center"/>
      <protection hidden="1"/>
    </xf>
    <xf numFmtId="3" fontId="11" fillId="0" borderId="21" xfId="0" applyNumberFormat="1" applyFont="1" applyBorder="1" applyAlignment="1" applyProtection="1">
      <alignment horizontal="center" vertical="center"/>
      <protection hidden="1"/>
    </xf>
    <xf numFmtId="3" fontId="11" fillId="7" borderId="21" xfId="0" applyNumberFormat="1" applyFont="1" applyFill="1" applyBorder="1" applyAlignment="1" applyProtection="1">
      <alignment horizontal="center" vertical="center"/>
      <protection locked="0"/>
    </xf>
    <xf numFmtId="3" fontId="11" fillId="7" borderId="134" xfId="0" applyNumberFormat="1" applyFont="1" applyFill="1" applyBorder="1" applyAlignment="1" applyProtection="1">
      <alignment horizontal="center" vertical="center"/>
      <protection locked="0"/>
    </xf>
    <xf numFmtId="3" fontId="10" fillId="0" borderId="59" xfId="0" applyNumberFormat="1" applyFont="1" applyBorder="1" applyAlignment="1" applyProtection="1">
      <alignment horizontal="center" vertical="center"/>
      <protection hidden="1"/>
    </xf>
    <xf numFmtId="3" fontId="10" fillId="0" borderId="26" xfId="0" applyNumberFormat="1" applyFont="1" applyBorder="1" applyAlignment="1" applyProtection="1">
      <alignment horizontal="center" vertical="center"/>
      <protection hidden="1"/>
    </xf>
    <xf numFmtId="3" fontId="10" fillId="0" borderId="157" xfId="0" applyNumberFormat="1" applyFont="1" applyBorder="1" applyAlignment="1" applyProtection="1">
      <alignment horizontal="center" vertical="center"/>
      <protection hidden="1"/>
    </xf>
    <xf numFmtId="3" fontId="10" fillId="0" borderId="59" xfId="0" applyNumberFormat="1" applyFont="1" applyBorder="1" applyAlignment="1" applyProtection="1">
      <alignment horizontal="center" vertical="center"/>
      <protection locked="0" hidden="1"/>
    </xf>
    <xf numFmtId="3" fontId="10" fillId="0" borderId="162" xfId="0" applyNumberFormat="1" applyFont="1" applyBorder="1" applyAlignment="1" applyProtection="1">
      <alignment horizontal="center" vertical="center"/>
      <protection locked="0" hidden="1"/>
    </xf>
    <xf numFmtId="3" fontId="11" fillId="0" borderId="135" xfId="0" applyNumberFormat="1" applyFont="1" applyBorder="1" applyAlignment="1" applyProtection="1">
      <alignment horizontal="center" vertical="center"/>
      <protection hidden="1"/>
    </xf>
    <xf numFmtId="3" fontId="10" fillId="0" borderId="0" xfId="0" applyNumberFormat="1" applyFont="1" applyAlignment="1" applyProtection="1">
      <alignment horizontal="center" vertical="center"/>
      <protection hidden="1"/>
    </xf>
    <xf numFmtId="3" fontId="5" fillId="0" borderId="132" xfId="0" applyNumberFormat="1" applyFont="1" applyBorder="1" applyAlignment="1" applyProtection="1">
      <alignment horizontal="center" vertical="center"/>
      <protection hidden="1"/>
    </xf>
    <xf numFmtId="3" fontId="5" fillId="0" borderId="133" xfId="0" applyNumberFormat="1" applyFont="1" applyBorder="1" applyAlignment="1" applyProtection="1">
      <alignment horizontal="center" vertical="center"/>
      <protection hidden="1"/>
    </xf>
    <xf numFmtId="164" fontId="47" fillId="0" borderId="18" xfId="0" applyNumberFormat="1" applyFont="1" applyBorder="1" applyAlignment="1" applyProtection="1">
      <alignment horizontal="center" vertical="center"/>
      <protection hidden="1"/>
    </xf>
    <xf numFmtId="164" fontId="47" fillId="0" borderId="134" xfId="0" applyNumberFormat="1" applyFont="1" applyBorder="1" applyAlignment="1" applyProtection="1">
      <alignment horizontal="center" vertical="center"/>
      <protection hidden="1"/>
    </xf>
    <xf numFmtId="167" fontId="47" fillId="0" borderId="18" xfId="0" applyNumberFormat="1" applyFont="1" applyBorder="1" applyAlignment="1" applyProtection="1">
      <alignment horizontal="center" vertical="center"/>
      <protection hidden="1"/>
    </xf>
    <xf numFmtId="167" fontId="47" fillId="0" borderId="21" xfId="0" applyNumberFormat="1" applyFont="1" applyBorder="1" applyAlignment="1" applyProtection="1">
      <alignment horizontal="center" vertical="center"/>
      <protection hidden="1"/>
    </xf>
    <xf numFmtId="167" fontId="47" fillId="0" borderId="134" xfId="0" applyNumberFormat="1" applyFont="1" applyBorder="1" applyAlignment="1" applyProtection="1">
      <alignment horizontal="center" vertical="center"/>
      <protection hidden="1"/>
    </xf>
    <xf numFmtId="164" fontId="47" fillId="0" borderId="21" xfId="0" applyNumberFormat="1" applyFont="1" applyBorder="1" applyAlignment="1" applyProtection="1">
      <alignment horizontal="center" vertical="center"/>
      <protection hidden="1"/>
    </xf>
    <xf numFmtId="3" fontId="10" fillId="7" borderId="18" xfId="0" applyNumberFormat="1" applyFont="1" applyFill="1" applyBorder="1" applyAlignment="1" applyProtection="1">
      <alignment horizontal="center" vertical="center"/>
      <protection locked="0"/>
    </xf>
    <xf numFmtId="3" fontId="10" fillId="7" borderId="134" xfId="0" applyNumberFormat="1" applyFont="1" applyFill="1" applyBorder="1" applyAlignment="1" applyProtection="1">
      <alignment horizontal="center" vertical="center"/>
      <protection locked="0"/>
    </xf>
    <xf numFmtId="3" fontId="10" fillId="0" borderId="135" xfId="0" applyNumberFormat="1" applyFont="1" applyBorder="1" applyAlignment="1" applyProtection="1">
      <alignment horizontal="center" vertical="center"/>
      <protection hidden="1"/>
    </xf>
    <xf numFmtId="3" fontId="10" fillId="0" borderId="136" xfId="0" applyNumberFormat="1" applyFont="1" applyBorder="1" applyAlignment="1" applyProtection="1">
      <alignment horizontal="center" vertical="center"/>
      <protection hidden="1"/>
    </xf>
    <xf numFmtId="3" fontId="10" fillId="0" borderId="137" xfId="0" applyNumberFormat="1" applyFont="1" applyBorder="1" applyAlignment="1" applyProtection="1">
      <alignment horizontal="center" vertical="center"/>
      <protection hidden="1"/>
    </xf>
    <xf numFmtId="3" fontId="10" fillId="0" borderId="34" xfId="0" applyNumberFormat="1" applyFont="1" applyBorder="1" applyAlignment="1" applyProtection="1">
      <alignment horizontal="center" vertical="center"/>
      <protection hidden="1"/>
    </xf>
    <xf numFmtId="3" fontId="5" fillId="0" borderId="61" xfId="0" applyNumberFormat="1" applyFont="1" applyBorder="1" applyAlignment="1" applyProtection="1">
      <alignment horizontal="center" vertical="center"/>
      <protection hidden="1"/>
    </xf>
    <xf numFmtId="3" fontId="5" fillId="0" borderId="56" xfId="0" applyNumberFormat="1" applyFont="1" applyBorder="1" applyAlignment="1" applyProtection="1">
      <alignment horizontal="center" vertical="center"/>
      <protection hidden="1"/>
    </xf>
    <xf numFmtId="3" fontId="5" fillId="0" borderId="6" xfId="0" applyNumberFormat="1" applyFont="1" applyBorder="1" applyAlignment="1" applyProtection="1">
      <alignment horizontal="center" vertical="center"/>
      <protection hidden="1"/>
    </xf>
    <xf numFmtId="3" fontId="11" fillId="6" borderId="32" xfId="0" applyNumberFormat="1" applyFont="1" applyFill="1" applyBorder="1" applyAlignment="1" applyProtection="1">
      <alignment horizontal="center" vertical="center"/>
      <protection hidden="1"/>
    </xf>
    <xf numFmtId="3" fontId="11" fillId="10" borderId="32" xfId="0" applyNumberFormat="1" applyFont="1" applyFill="1" applyBorder="1" applyAlignment="1" applyProtection="1">
      <alignment horizontal="center" vertical="center"/>
      <protection hidden="1"/>
    </xf>
    <xf numFmtId="3" fontId="11" fillId="10" borderId="138" xfId="0" applyNumberFormat="1" applyFont="1" applyFill="1" applyBorder="1" applyAlignment="1" applyProtection="1">
      <alignment horizontal="center" vertical="center"/>
      <protection hidden="1"/>
    </xf>
    <xf numFmtId="3" fontId="11" fillId="0" borderId="32" xfId="0" applyNumberFormat="1" applyFont="1" applyBorder="1" applyAlignment="1">
      <alignment horizontal="center" vertical="center"/>
    </xf>
    <xf numFmtId="3" fontId="5" fillId="0" borderId="18" xfId="0" applyNumberFormat="1" applyFont="1" applyBorder="1" applyAlignment="1" applyProtection="1">
      <alignment horizontal="center" vertical="center"/>
      <protection hidden="1"/>
    </xf>
    <xf numFmtId="3" fontId="5" fillId="0" borderId="21" xfId="0" applyNumberFormat="1" applyFont="1" applyBorder="1" applyAlignment="1" applyProtection="1">
      <alignment horizontal="center" vertical="center"/>
      <protection hidden="1"/>
    </xf>
    <xf numFmtId="3" fontId="5" fillId="0" borderId="134" xfId="0" applyNumberFormat="1" applyFont="1" applyBorder="1" applyAlignment="1" applyProtection="1">
      <alignment horizontal="center" vertical="center"/>
      <protection hidden="1"/>
    </xf>
    <xf numFmtId="164" fontId="47" fillId="7" borderId="18" xfId="2" applyNumberFormat="1" applyFont="1" applyFill="1" applyBorder="1" applyAlignment="1" applyProtection="1">
      <alignment horizontal="center" vertical="center"/>
      <protection locked="0"/>
    </xf>
    <xf numFmtId="164" fontId="47" fillId="7" borderId="21" xfId="2" applyNumberFormat="1" applyFont="1" applyFill="1" applyBorder="1" applyAlignment="1" applyProtection="1">
      <alignment horizontal="center" vertical="center"/>
      <protection locked="0"/>
    </xf>
    <xf numFmtId="164" fontId="47" fillId="7" borderId="134" xfId="2" applyNumberFormat="1" applyFont="1" applyFill="1" applyBorder="1" applyAlignment="1" applyProtection="1">
      <alignment horizontal="center" vertical="center"/>
      <protection locked="0"/>
    </xf>
    <xf numFmtId="3" fontId="0" fillId="0" borderId="134" xfId="0" applyNumberFormat="1" applyBorder="1" applyAlignment="1">
      <alignment horizontal="center"/>
    </xf>
    <xf numFmtId="3" fontId="11" fillId="0" borderId="18" xfId="0" applyNumberFormat="1" applyFont="1" applyBorder="1" applyAlignment="1" applyProtection="1">
      <alignment horizontal="center"/>
      <protection hidden="1"/>
    </xf>
    <xf numFmtId="3" fontId="11" fillId="0" borderId="134" xfId="0" applyNumberFormat="1" applyFont="1" applyBorder="1" applyAlignment="1" applyProtection="1">
      <alignment horizontal="center"/>
      <protection hidden="1"/>
    </xf>
    <xf numFmtId="164" fontId="47" fillId="7" borderId="18" xfId="0" applyNumberFormat="1" applyFont="1" applyFill="1" applyBorder="1" applyAlignment="1" applyProtection="1">
      <alignment horizontal="center" vertical="center"/>
      <protection locked="0"/>
    </xf>
    <xf numFmtId="164" fontId="47" fillId="7" borderId="134" xfId="0" applyNumberFormat="1" applyFont="1" applyFill="1" applyBorder="1" applyAlignment="1" applyProtection="1">
      <alignment horizontal="center" vertical="center"/>
      <protection locked="0"/>
    </xf>
    <xf numFmtId="3" fontId="11" fillId="8" borderId="32" xfId="0" applyNumberFormat="1" applyFont="1" applyFill="1" applyBorder="1" applyAlignment="1" applyProtection="1">
      <alignment horizontal="center" vertical="center"/>
      <protection hidden="1"/>
    </xf>
    <xf numFmtId="3" fontId="11" fillId="8" borderId="134" xfId="0" applyNumberFormat="1" applyFont="1" applyFill="1" applyBorder="1" applyAlignment="1" applyProtection="1">
      <alignment horizontal="center" vertical="center"/>
      <protection hidden="1"/>
    </xf>
    <xf numFmtId="3" fontId="11" fillId="7" borderId="138" xfId="0" applyNumberFormat="1" applyFont="1" applyFill="1" applyBorder="1" applyAlignment="1" applyProtection="1">
      <alignment horizontal="center" vertical="center"/>
      <protection locked="0"/>
    </xf>
    <xf numFmtId="164" fontId="47" fillId="0" borderId="32" xfId="0" applyNumberFormat="1" applyFont="1" applyBorder="1" applyAlignment="1" applyProtection="1">
      <alignment horizontal="center" vertical="center"/>
      <protection hidden="1"/>
    </xf>
    <xf numFmtId="167" fontId="48" fillId="0" borderId="99" xfId="0" applyNumberFormat="1" applyFont="1" applyBorder="1" applyAlignment="1" applyProtection="1">
      <alignment horizontal="center" vertical="center"/>
      <protection hidden="1"/>
    </xf>
    <xf numFmtId="167" fontId="48" fillId="0" borderId="98" xfId="0" applyNumberFormat="1" applyFont="1" applyBorder="1" applyAlignment="1" applyProtection="1">
      <alignment horizontal="center" vertical="center"/>
      <protection hidden="1"/>
    </xf>
    <xf numFmtId="3" fontId="4" fillId="0" borderId="0" xfId="0" applyNumberFormat="1" applyFont="1" applyAlignment="1" applyProtection="1">
      <alignment horizontal="center" vertical="center"/>
      <protection hidden="1"/>
    </xf>
    <xf numFmtId="3" fontId="5" fillId="0" borderId="182" xfId="0" applyNumberFormat="1" applyFont="1" applyBorder="1" applyAlignment="1" applyProtection="1">
      <alignment horizontal="center" vertical="center"/>
      <protection hidden="1"/>
    </xf>
    <xf numFmtId="3" fontId="5" fillId="0" borderId="114" xfId="0" applyNumberFormat="1" applyFont="1" applyBorder="1" applyAlignment="1" applyProtection="1">
      <alignment horizontal="center" vertical="center"/>
      <protection hidden="1"/>
    </xf>
    <xf numFmtId="10" fontId="47" fillId="7" borderId="18" xfId="0" applyNumberFormat="1" applyFont="1" applyFill="1" applyBorder="1" applyAlignment="1" applyProtection="1">
      <alignment horizontal="center" vertical="center"/>
      <protection locked="0"/>
    </xf>
    <xf numFmtId="10" fontId="47" fillId="7" borderId="134" xfId="0" applyNumberFormat="1" applyFont="1" applyFill="1" applyBorder="1" applyAlignment="1" applyProtection="1">
      <alignment horizontal="center" vertical="center"/>
      <protection locked="0"/>
    </xf>
    <xf numFmtId="3" fontId="43" fillId="7" borderId="59" xfId="0" applyNumberFormat="1" applyFont="1" applyFill="1" applyBorder="1" applyAlignment="1" applyProtection="1">
      <alignment horizontal="center" vertical="center"/>
      <protection locked="0" hidden="1"/>
    </xf>
    <xf numFmtId="3" fontId="40" fillId="6" borderId="32" xfId="0" applyNumberFormat="1" applyFont="1" applyFill="1" applyBorder="1" applyAlignment="1" applyProtection="1">
      <alignment horizontal="center" vertical="center"/>
      <protection hidden="1"/>
    </xf>
    <xf numFmtId="3" fontId="40" fillId="0" borderId="18" xfId="0" applyNumberFormat="1" applyFont="1" applyBorder="1" applyAlignment="1" applyProtection="1">
      <alignment horizontal="center" vertical="center"/>
      <protection hidden="1"/>
    </xf>
    <xf numFmtId="164" fontId="40" fillId="7" borderId="18" xfId="0" applyNumberFormat="1" applyFont="1" applyFill="1" applyBorder="1" applyAlignment="1" applyProtection="1">
      <alignment horizontal="center" vertical="center"/>
      <protection locked="0"/>
    </xf>
    <xf numFmtId="3" fontId="40" fillId="7" borderId="18" xfId="0" applyNumberFormat="1" applyFont="1" applyFill="1" applyBorder="1" applyAlignment="1" applyProtection="1">
      <alignment horizontal="center" vertical="center"/>
      <protection locked="0" hidden="1"/>
    </xf>
    <xf numFmtId="3" fontId="4" fillId="2" borderId="0" xfId="0" applyNumberFormat="1" applyFont="1" applyFill="1" applyAlignment="1">
      <alignment horizontal="center" vertical="center"/>
    </xf>
    <xf numFmtId="3" fontId="40" fillId="7" borderId="59" xfId="0" applyNumberFormat="1" applyFont="1" applyFill="1" applyBorder="1" applyAlignment="1" applyProtection="1">
      <alignment horizontal="center" vertical="center"/>
      <protection locked="0"/>
    </xf>
    <xf numFmtId="3" fontId="40" fillId="7" borderId="18" xfId="0" applyNumberFormat="1" applyFont="1" applyFill="1" applyBorder="1" applyAlignment="1" applyProtection="1">
      <alignment horizontal="center" vertical="center"/>
      <protection locked="0"/>
    </xf>
    <xf numFmtId="3" fontId="40" fillId="7" borderId="32" xfId="0" applyNumberFormat="1" applyFont="1" applyFill="1" applyBorder="1" applyAlignment="1" applyProtection="1">
      <alignment horizontal="center" vertical="center"/>
      <protection locked="0"/>
    </xf>
    <xf numFmtId="3" fontId="2" fillId="2" borderId="0" xfId="0" applyNumberFormat="1" applyFont="1" applyFill="1" applyAlignment="1">
      <alignment horizontal="center" vertical="center"/>
    </xf>
    <xf numFmtId="3" fontId="2" fillId="2" borderId="0" xfId="0" applyNumberFormat="1" applyFont="1" applyFill="1" applyAlignment="1" applyProtection="1">
      <alignment horizontal="center" vertical="center"/>
      <protection hidden="1"/>
    </xf>
    <xf numFmtId="3" fontId="2" fillId="6" borderId="18" xfId="0" applyNumberFormat="1" applyFont="1" applyFill="1" applyBorder="1" applyAlignment="1" applyProtection="1">
      <alignment horizontal="center" vertical="center"/>
      <protection hidden="1"/>
    </xf>
    <xf numFmtId="167" fontId="2" fillId="6" borderId="58" xfId="0" applyNumberFormat="1" applyFont="1" applyFill="1" applyBorder="1" applyAlignment="1" applyProtection="1">
      <alignment horizontal="center" vertical="center"/>
      <protection hidden="1"/>
    </xf>
    <xf numFmtId="0" fontId="0" fillId="0" borderId="107" xfId="0" applyBorder="1" applyAlignment="1" applyProtection="1">
      <alignment horizontal="center" vertical="center"/>
      <protection hidden="1"/>
    </xf>
    <xf numFmtId="0" fontId="0" fillId="0" borderId="106" xfId="0" applyBorder="1" applyAlignment="1" applyProtection="1">
      <alignment horizontal="center" vertical="center"/>
      <protection hidden="1"/>
    </xf>
    <xf numFmtId="0" fontId="0" fillId="0" borderId="176" xfId="0" applyBorder="1" applyAlignment="1" applyProtection="1">
      <alignment horizontal="center" vertical="center"/>
      <protection hidden="1"/>
    </xf>
    <xf numFmtId="3" fontId="11" fillId="0" borderId="54" xfId="0" applyNumberFormat="1" applyFont="1" applyBorder="1" applyAlignment="1" applyProtection="1">
      <alignment horizontal="center" vertical="center"/>
      <protection hidden="1"/>
    </xf>
    <xf numFmtId="3" fontId="5" fillId="0" borderId="107" xfId="0" applyNumberFormat="1" applyFont="1" applyBorder="1" applyAlignment="1" applyProtection="1">
      <alignment horizontal="center" vertical="center"/>
      <protection hidden="1"/>
    </xf>
    <xf numFmtId="3" fontId="5" fillId="0" borderId="176" xfId="0" applyNumberFormat="1" applyFont="1" applyBorder="1" applyAlignment="1" applyProtection="1">
      <alignment horizontal="center" vertical="center"/>
      <protection hidden="1"/>
    </xf>
    <xf numFmtId="3" fontId="11" fillId="6" borderId="18" xfId="0" applyNumberFormat="1" applyFont="1" applyFill="1" applyBorder="1" applyAlignment="1" applyProtection="1">
      <alignment horizontal="center" vertical="center"/>
      <protection hidden="1"/>
    </xf>
    <xf numFmtId="3" fontId="11" fillId="7" borderId="35" xfId="0" applyNumberFormat="1" applyFont="1" applyFill="1" applyBorder="1" applyAlignment="1" applyProtection="1">
      <alignment horizontal="center" vertical="center"/>
      <protection locked="0" hidden="1"/>
    </xf>
    <xf numFmtId="3" fontId="11" fillId="7" borderId="18" xfId="0" applyNumberFormat="1" applyFont="1" applyFill="1" applyBorder="1" applyAlignment="1" applyProtection="1">
      <alignment horizontal="center"/>
      <protection locked="0"/>
    </xf>
    <xf numFmtId="3" fontId="11" fillId="7" borderId="35" xfId="0" applyNumberFormat="1" applyFont="1" applyFill="1" applyBorder="1" applyAlignment="1" applyProtection="1">
      <alignment horizontal="center" vertical="center"/>
      <protection locked="0"/>
    </xf>
    <xf numFmtId="3" fontId="11" fillId="0" borderId="38" xfId="0" applyNumberFormat="1" applyFont="1" applyBorder="1" applyAlignment="1" applyProtection="1">
      <alignment horizontal="center" vertical="center"/>
      <protection hidden="1"/>
    </xf>
    <xf numFmtId="3" fontId="10" fillId="0" borderId="139" xfId="0" applyNumberFormat="1" applyFont="1" applyBorder="1" applyAlignment="1" applyProtection="1">
      <alignment horizontal="center" vertical="center"/>
      <protection hidden="1"/>
    </xf>
    <xf numFmtId="3" fontId="10" fillId="0" borderId="140" xfId="0" applyNumberFormat="1" applyFont="1" applyBorder="1" applyAlignment="1" applyProtection="1">
      <alignment horizontal="center" vertical="center"/>
      <protection hidden="1"/>
    </xf>
    <xf numFmtId="3" fontId="11" fillId="0" borderId="20" xfId="0" applyNumberFormat="1" applyFont="1" applyBorder="1" applyAlignment="1" applyProtection="1">
      <alignment horizontal="center" vertical="center"/>
      <protection hidden="1"/>
    </xf>
    <xf numFmtId="3" fontId="11" fillId="0" borderId="23" xfId="0" applyNumberFormat="1" applyFont="1" applyBorder="1" applyAlignment="1" applyProtection="1">
      <alignment horizontal="center" vertical="center"/>
      <protection hidden="1"/>
    </xf>
    <xf numFmtId="167" fontId="47" fillId="7" borderId="18" xfId="0" applyNumberFormat="1" applyFont="1" applyFill="1" applyBorder="1" applyAlignment="1" applyProtection="1">
      <alignment horizontal="center" vertical="center"/>
      <protection locked="0" hidden="1"/>
    </xf>
    <xf numFmtId="167" fontId="47" fillId="7" borderId="35" xfId="0" applyNumberFormat="1" applyFont="1" applyFill="1" applyBorder="1" applyAlignment="1" applyProtection="1">
      <alignment horizontal="center" vertical="center"/>
      <protection locked="0" hidden="1"/>
    </xf>
    <xf numFmtId="164" fontId="47" fillId="7" borderId="18" xfId="0" applyNumberFormat="1" applyFont="1" applyFill="1" applyBorder="1" applyAlignment="1" applyProtection="1">
      <alignment horizontal="center" vertical="center"/>
      <protection locked="0" hidden="1"/>
    </xf>
    <xf numFmtId="164" fontId="47" fillId="7" borderId="18" xfId="2" applyNumberFormat="1" applyFont="1" applyFill="1" applyBorder="1" applyAlignment="1" applyProtection="1">
      <alignment horizontal="center" vertical="center"/>
      <protection locked="0" hidden="1"/>
    </xf>
    <xf numFmtId="164" fontId="47" fillId="7" borderId="35" xfId="2" applyNumberFormat="1" applyFont="1" applyFill="1" applyBorder="1" applyAlignment="1" applyProtection="1">
      <alignment horizontal="center" vertical="center"/>
      <protection locked="0" hidden="1"/>
    </xf>
    <xf numFmtId="164" fontId="47" fillId="7" borderId="20" xfId="2" applyNumberFormat="1" applyFont="1" applyFill="1" applyBorder="1" applyAlignment="1" applyProtection="1">
      <alignment horizontal="center" vertical="center"/>
      <protection locked="0" hidden="1"/>
    </xf>
    <xf numFmtId="3" fontId="11" fillId="6" borderId="38" xfId="0" applyNumberFormat="1" applyFont="1" applyFill="1" applyBorder="1" applyAlignment="1">
      <alignment horizontal="center" vertical="center"/>
    </xf>
    <xf numFmtId="0" fontId="4" fillId="0" borderId="28" xfId="0" applyFont="1" applyBorder="1" applyAlignment="1" applyProtection="1">
      <alignment horizontal="center" vertical="center"/>
      <protection hidden="1"/>
    </xf>
    <xf numFmtId="164" fontId="11" fillId="0" borderId="18" xfId="2" applyNumberFormat="1" applyFont="1" applyBorder="1" applyAlignment="1" applyProtection="1">
      <alignment horizontal="center" vertical="center"/>
      <protection hidden="1"/>
    </xf>
    <xf numFmtId="164" fontId="11" fillId="0" borderId="35" xfId="2" applyNumberFormat="1" applyFont="1" applyBorder="1" applyAlignment="1" applyProtection="1">
      <alignment horizontal="center" vertical="center"/>
      <protection hidden="1"/>
    </xf>
    <xf numFmtId="4" fontId="11" fillId="0" borderId="18" xfId="0" applyNumberFormat="1" applyFont="1" applyBorder="1" applyAlignment="1" applyProtection="1">
      <alignment horizontal="center"/>
      <protection hidden="1"/>
    </xf>
    <xf numFmtId="4" fontId="11" fillId="0" borderId="18" xfId="0" applyNumberFormat="1" applyFont="1" applyBorder="1" applyAlignment="1" applyProtection="1">
      <alignment horizontal="center" vertical="center"/>
      <protection hidden="1"/>
    </xf>
    <xf numFmtId="0" fontId="0" fillId="0" borderId="28" xfId="0" applyBorder="1" applyAlignment="1" applyProtection="1">
      <alignment horizontal="center"/>
      <protection hidden="1"/>
    </xf>
    <xf numFmtId="3" fontId="11" fillId="0" borderId="35" xfId="0" applyNumberFormat="1" applyFont="1" applyBorder="1" applyAlignment="1" applyProtection="1">
      <alignment horizontal="center"/>
      <protection hidden="1"/>
    </xf>
    <xf numFmtId="166" fontId="11" fillId="0" borderId="18" xfId="0" applyNumberFormat="1" applyFont="1" applyBorder="1" applyAlignment="1">
      <alignment horizontal="center"/>
    </xf>
    <xf numFmtId="3" fontId="3" fillId="0" borderId="32" xfId="0" applyNumberFormat="1" applyFont="1" applyBorder="1" applyAlignment="1" applyProtection="1">
      <alignment horizontal="center" vertical="center"/>
      <protection hidden="1"/>
    </xf>
    <xf numFmtId="3" fontId="3" fillId="0" borderId="33" xfId="0" applyNumberFormat="1" applyFont="1" applyBorder="1" applyAlignment="1" applyProtection="1">
      <alignment horizontal="center" vertical="center"/>
      <protection hidden="1"/>
    </xf>
    <xf numFmtId="3" fontId="6" fillId="7" borderId="18" xfId="0" quotePrefix="1" applyNumberFormat="1" applyFont="1" applyFill="1" applyBorder="1" applyAlignment="1" applyProtection="1">
      <alignment horizontal="center" vertical="center"/>
      <protection locked="0"/>
    </xf>
    <xf numFmtId="3" fontId="6" fillId="7" borderId="18" xfId="0" applyNumberFormat="1" applyFont="1" applyFill="1" applyBorder="1" applyAlignment="1" applyProtection="1">
      <alignment horizontal="center" vertical="center"/>
      <protection locked="0"/>
    </xf>
    <xf numFmtId="3" fontId="6" fillId="7" borderId="35" xfId="0" applyNumberFormat="1" applyFont="1" applyFill="1" applyBorder="1" applyAlignment="1" applyProtection="1">
      <alignment horizontal="center" vertical="center"/>
      <protection locked="0"/>
    </xf>
    <xf numFmtId="4" fontId="6" fillId="7" borderId="18" xfId="0" applyNumberFormat="1" applyFont="1" applyFill="1" applyBorder="1" applyAlignment="1" applyProtection="1">
      <alignment horizontal="center" vertical="center"/>
      <protection locked="0"/>
    </xf>
    <xf numFmtId="4" fontId="6" fillId="7" borderId="35" xfId="0" applyNumberFormat="1" applyFont="1" applyFill="1" applyBorder="1" applyAlignment="1" applyProtection="1">
      <alignment horizontal="center" vertical="center"/>
      <protection locked="0"/>
    </xf>
    <xf numFmtId="164" fontId="6" fillId="7" borderId="18" xfId="0" applyNumberFormat="1" applyFont="1" applyFill="1" applyBorder="1" applyAlignment="1" applyProtection="1">
      <alignment horizontal="center" vertical="center"/>
      <protection locked="0"/>
    </xf>
    <xf numFmtId="164" fontId="6" fillId="7" borderId="35" xfId="0" applyNumberFormat="1" applyFont="1" applyFill="1" applyBorder="1" applyAlignment="1" applyProtection="1">
      <alignment horizontal="center" vertical="center"/>
      <protection locked="0"/>
    </xf>
    <xf numFmtId="3" fontId="6" fillId="0" borderId="38" xfId="0" applyNumberFormat="1" applyFont="1" applyBorder="1" applyAlignment="1" applyProtection="1">
      <alignment horizontal="center" vertical="center"/>
      <protection hidden="1"/>
    </xf>
    <xf numFmtId="3" fontId="6" fillId="0" borderId="54" xfId="0" applyNumberFormat="1" applyFont="1" applyBorder="1" applyAlignment="1" applyProtection="1">
      <alignment horizontal="center" vertical="center"/>
      <protection hidden="1"/>
    </xf>
    <xf numFmtId="3" fontId="10" fillId="0" borderId="62" xfId="0" applyNumberFormat="1" applyFont="1" applyBorder="1" applyAlignment="1" applyProtection="1">
      <alignment horizontal="center"/>
      <protection hidden="1"/>
    </xf>
    <xf numFmtId="3" fontId="10" fillId="0" borderId="49" xfId="0" applyNumberFormat="1" applyFont="1" applyBorder="1" applyAlignment="1" applyProtection="1">
      <alignment horizontal="center"/>
      <protection hidden="1"/>
    </xf>
    <xf numFmtId="3" fontId="10" fillId="0" borderId="18" xfId="0" applyNumberFormat="1" applyFont="1" applyBorder="1" applyAlignment="1" applyProtection="1">
      <alignment horizontal="center"/>
      <protection hidden="1"/>
    </xf>
    <xf numFmtId="3" fontId="10" fillId="0" borderId="35" xfId="0" applyNumberFormat="1" applyFont="1" applyBorder="1" applyAlignment="1" applyProtection="1">
      <alignment horizontal="center"/>
      <protection hidden="1"/>
    </xf>
    <xf numFmtId="164" fontId="10" fillId="0" borderId="18" xfId="2" applyNumberFormat="1" applyFont="1" applyBorder="1" applyAlignment="1" applyProtection="1">
      <alignment horizontal="center"/>
      <protection hidden="1"/>
    </xf>
    <xf numFmtId="164" fontId="10" fillId="0" borderId="35" xfId="2" applyNumberFormat="1" applyFont="1" applyBorder="1" applyAlignment="1" applyProtection="1">
      <alignment horizontal="center"/>
      <protection hidden="1"/>
    </xf>
    <xf numFmtId="3" fontId="10" fillId="0" borderId="61" xfId="0" applyNumberFormat="1" applyFont="1" applyBorder="1" applyAlignment="1" applyProtection="1">
      <alignment horizontal="center"/>
      <protection hidden="1"/>
    </xf>
    <xf numFmtId="3" fontId="10" fillId="0" borderId="64" xfId="0" applyNumberFormat="1" applyFont="1" applyBorder="1" applyAlignment="1" applyProtection="1">
      <alignment horizontal="center"/>
      <protection hidden="1"/>
    </xf>
    <xf numFmtId="3" fontId="5" fillId="0" borderId="51" xfId="0" applyNumberFormat="1" applyFont="1" applyBorder="1" applyAlignment="1" applyProtection="1">
      <alignment horizontal="center" vertical="center"/>
      <protection hidden="1"/>
    </xf>
    <xf numFmtId="167" fontId="5" fillId="0" borderId="33" xfId="0" applyNumberFormat="1" applyFont="1" applyBorder="1" applyAlignment="1" applyProtection="1">
      <alignment horizontal="center" vertical="center"/>
      <protection hidden="1"/>
    </xf>
    <xf numFmtId="3" fontId="11" fillId="2" borderId="36" xfId="0" applyNumberFormat="1" applyFont="1" applyFill="1" applyBorder="1" applyAlignment="1" applyProtection="1">
      <alignment horizontal="center" vertical="center"/>
      <protection hidden="1"/>
    </xf>
    <xf numFmtId="167" fontId="11" fillId="0" borderId="35" xfId="0" applyNumberFormat="1" applyFont="1" applyBorder="1" applyAlignment="1" applyProtection="1">
      <alignment horizontal="center" vertical="center"/>
      <protection hidden="1"/>
    </xf>
    <xf numFmtId="3" fontId="6" fillId="7" borderId="36" xfId="0" applyNumberFormat="1" applyFont="1" applyFill="1" applyBorder="1" applyAlignment="1" applyProtection="1">
      <alignment horizontal="center" vertical="center"/>
      <protection locked="0"/>
    </xf>
    <xf numFmtId="167" fontId="6" fillId="6" borderId="35" xfId="0" applyNumberFormat="1" applyFont="1" applyFill="1" applyBorder="1" applyAlignment="1" applyProtection="1">
      <alignment horizontal="center" vertical="center"/>
      <protection hidden="1"/>
    </xf>
    <xf numFmtId="167" fontId="6" fillId="7" borderId="36" xfId="0" applyNumberFormat="1" applyFont="1" applyFill="1" applyBorder="1" applyAlignment="1" applyProtection="1">
      <alignment horizontal="center" vertical="center"/>
      <protection locked="0"/>
    </xf>
    <xf numFmtId="4" fontId="6" fillId="7" borderId="36" xfId="0" applyNumberFormat="1" applyFont="1" applyFill="1" applyBorder="1" applyAlignment="1" applyProtection="1">
      <alignment horizontal="center" vertical="center"/>
      <protection locked="0"/>
    </xf>
    <xf numFmtId="4" fontId="6" fillId="6" borderId="35" xfId="0" applyNumberFormat="1" applyFont="1" applyFill="1" applyBorder="1" applyAlignment="1" applyProtection="1">
      <alignment horizontal="center" vertical="center"/>
      <protection hidden="1"/>
    </xf>
    <xf numFmtId="167" fontId="6" fillId="6" borderId="35" xfId="0" applyNumberFormat="1" applyFont="1" applyFill="1" applyBorder="1" applyAlignment="1">
      <alignment horizontal="center" vertical="center"/>
    </xf>
    <xf numFmtId="3" fontId="11" fillId="7" borderId="50" xfId="0" applyNumberFormat="1" applyFont="1" applyFill="1" applyBorder="1" applyAlignment="1" applyProtection="1">
      <alignment horizontal="center" vertical="center"/>
      <protection locked="0"/>
    </xf>
    <xf numFmtId="167" fontId="11" fillId="6" borderId="33" xfId="0" applyNumberFormat="1" applyFont="1" applyFill="1" applyBorder="1" applyAlignment="1">
      <alignment horizontal="center" vertical="center"/>
    </xf>
    <xf numFmtId="167" fontId="11" fillId="6" borderId="33" xfId="0" applyNumberFormat="1" applyFont="1" applyFill="1" applyBorder="1" applyAlignment="1" applyProtection="1">
      <alignment horizontal="center" vertical="center"/>
      <protection hidden="1"/>
    </xf>
    <xf numFmtId="167" fontId="6" fillId="6" borderId="33" xfId="0" applyNumberFormat="1" applyFont="1" applyFill="1" applyBorder="1" applyAlignment="1" applyProtection="1">
      <alignment horizontal="center" vertical="center"/>
      <protection hidden="1"/>
    </xf>
    <xf numFmtId="3" fontId="5" fillId="0" borderId="46" xfId="0" applyNumberFormat="1" applyFont="1" applyBorder="1" applyAlignment="1" applyProtection="1">
      <alignment horizontal="center" vertical="center"/>
      <protection hidden="1"/>
    </xf>
    <xf numFmtId="167" fontId="5" fillId="0" borderId="49" xfId="0" applyNumberFormat="1" applyFont="1" applyBorder="1" applyAlignment="1" applyProtection="1">
      <alignment horizontal="center" vertical="center"/>
      <protection hidden="1"/>
    </xf>
    <xf numFmtId="167" fontId="11" fillId="6" borderId="35" xfId="0" applyNumberFormat="1" applyFont="1" applyFill="1" applyBorder="1" applyAlignment="1" applyProtection="1">
      <alignment horizontal="center" vertical="center"/>
      <protection hidden="1"/>
    </xf>
    <xf numFmtId="10" fontId="6" fillId="7" borderId="36" xfId="0" applyNumberFormat="1" applyFont="1" applyFill="1" applyBorder="1" applyAlignment="1" applyProtection="1">
      <alignment horizontal="center" vertical="center"/>
      <protection locked="0" hidden="1"/>
    </xf>
    <xf numFmtId="164" fontId="6" fillId="6" borderId="35" xfId="0" applyNumberFormat="1" applyFont="1" applyFill="1" applyBorder="1" applyAlignment="1" applyProtection="1">
      <alignment horizontal="center" vertical="center"/>
      <protection hidden="1"/>
    </xf>
    <xf numFmtId="10" fontId="6" fillId="7" borderId="36" xfId="0" applyNumberFormat="1" applyFont="1" applyFill="1" applyBorder="1" applyAlignment="1" applyProtection="1">
      <alignment horizontal="center" vertical="center"/>
      <protection locked="0"/>
    </xf>
    <xf numFmtId="164" fontId="6" fillId="6" borderId="18" xfId="0" applyNumberFormat="1" applyFont="1" applyFill="1" applyBorder="1" applyAlignment="1" applyProtection="1">
      <alignment horizontal="center" vertical="center"/>
      <protection hidden="1"/>
    </xf>
    <xf numFmtId="3" fontId="6" fillId="0" borderId="36" xfId="0" applyNumberFormat="1" applyFont="1" applyBorder="1" applyAlignment="1" applyProtection="1">
      <alignment horizontal="center" vertical="center"/>
      <protection hidden="1"/>
    </xf>
    <xf numFmtId="167" fontId="6" fillId="6" borderId="18" xfId="0" applyNumberFormat="1" applyFont="1" applyFill="1" applyBorder="1" applyAlignment="1" applyProtection="1">
      <alignment horizontal="center" vertical="center"/>
      <protection hidden="1"/>
    </xf>
    <xf numFmtId="3" fontId="56" fillId="7" borderId="36" xfId="0" applyNumberFormat="1" applyFont="1" applyFill="1" applyBorder="1" applyAlignment="1" applyProtection="1">
      <alignment horizontal="center" vertical="center"/>
      <protection locked="0"/>
    </xf>
    <xf numFmtId="167" fontId="56" fillId="6" borderId="18" xfId="0" applyNumberFormat="1" applyFont="1" applyFill="1" applyBorder="1" applyAlignment="1" applyProtection="1">
      <alignment horizontal="center" vertical="center"/>
      <protection hidden="1"/>
    </xf>
    <xf numFmtId="167" fontId="56" fillId="6" borderId="35" xfId="0" applyNumberFormat="1" applyFont="1" applyFill="1" applyBorder="1" applyAlignment="1" applyProtection="1">
      <alignment horizontal="center" vertical="center"/>
      <protection hidden="1"/>
    </xf>
    <xf numFmtId="167" fontId="11" fillId="6" borderId="18" xfId="0" applyNumberFormat="1" applyFont="1" applyFill="1" applyBorder="1" applyAlignment="1" applyProtection="1">
      <alignment horizontal="center" vertical="center"/>
      <protection hidden="1"/>
    </xf>
    <xf numFmtId="167" fontId="11" fillId="6" borderId="21" xfId="0" applyNumberFormat="1" applyFont="1" applyFill="1" applyBorder="1" applyAlignment="1" applyProtection="1">
      <alignment horizontal="center" vertical="center"/>
      <protection hidden="1"/>
    </xf>
    <xf numFmtId="3" fontId="52" fillId="7" borderId="36" xfId="0" applyNumberFormat="1" applyFont="1" applyFill="1" applyBorder="1" applyAlignment="1" applyProtection="1">
      <alignment horizontal="center" vertical="center"/>
      <protection locked="0"/>
    </xf>
    <xf numFmtId="3" fontId="6" fillId="0" borderId="37" xfId="0" applyNumberFormat="1" applyFont="1" applyBorder="1" applyAlignment="1" applyProtection="1">
      <alignment horizontal="center" vertical="center"/>
      <protection hidden="1"/>
    </xf>
    <xf numFmtId="167" fontId="6" fillId="0" borderId="54" xfId="0" applyNumberFormat="1" applyFont="1" applyBorder="1" applyAlignment="1" applyProtection="1">
      <alignment horizontal="center" vertical="center"/>
      <protection hidden="1"/>
    </xf>
    <xf numFmtId="3" fontId="5" fillId="0" borderId="4" xfId="0" applyNumberFormat="1" applyFont="1" applyBorder="1" applyAlignment="1" applyProtection="1">
      <alignment horizontal="center" vertical="center"/>
      <protection hidden="1"/>
    </xf>
    <xf numFmtId="167" fontId="5" fillId="0" borderId="30" xfId="0" applyNumberFormat="1" applyFont="1" applyBorder="1" applyAlignment="1" applyProtection="1">
      <alignment horizontal="center" vertical="center"/>
      <protection hidden="1"/>
    </xf>
    <xf numFmtId="3" fontId="11" fillId="0" borderId="48" xfId="0" applyNumberFormat="1" applyFont="1" applyBorder="1" applyAlignment="1" applyProtection="1">
      <alignment horizontal="center" vertical="center"/>
      <protection hidden="1"/>
    </xf>
    <xf numFmtId="167" fontId="11" fillId="0" borderId="49" xfId="0" applyNumberFormat="1" applyFont="1" applyBorder="1" applyAlignment="1" applyProtection="1">
      <alignment horizontal="center" vertical="center"/>
      <protection hidden="1"/>
    </xf>
    <xf numFmtId="167" fontId="6" fillId="6" borderId="23" xfId="0" applyNumberFormat="1" applyFont="1" applyFill="1" applyBorder="1" applyAlignment="1" applyProtection="1">
      <alignment horizontal="center" vertical="center"/>
      <protection hidden="1"/>
    </xf>
    <xf numFmtId="167" fontId="6" fillId="5" borderId="23" xfId="0" applyNumberFormat="1" applyFont="1" applyFill="1" applyBorder="1" applyAlignment="1" applyProtection="1">
      <alignment horizontal="center" vertical="center"/>
      <protection hidden="1"/>
    </xf>
    <xf numFmtId="3" fontId="6" fillId="7" borderId="22" xfId="0" applyNumberFormat="1" applyFont="1" applyFill="1" applyBorder="1" applyAlignment="1" applyProtection="1">
      <alignment horizontal="center" vertical="center"/>
      <protection locked="0"/>
    </xf>
    <xf numFmtId="167" fontId="6" fillId="6" borderId="54" xfId="0" applyNumberFormat="1" applyFont="1" applyFill="1" applyBorder="1" applyAlignment="1" applyProtection="1">
      <alignment horizontal="center" vertical="center"/>
      <protection hidden="1"/>
    </xf>
    <xf numFmtId="1" fontId="6" fillId="7" borderId="36" xfId="0" applyNumberFormat="1" applyFont="1" applyFill="1" applyBorder="1" applyAlignment="1" applyProtection="1">
      <alignment horizontal="center" vertical="center"/>
      <protection locked="0"/>
    </xf>
    <xf numFmtId="1" fontId="6" fillId="6" borderId="35" xfId="0" applyNumberFormat="1" applyFont="1" applyFill="1" applyBorder="1" applyAlignment="1" applyProtection="1">
      <alignment horizontal="center" vertical="center"/>
      <protection hidden="1"/>
    </xf>
    <xf numFmtId="3" fontId="6" fillId="7" borderId="51" xfId="0" applyNumberFormat="1" applyFont="1" applyFill="1" applyBorder="1" applyAlignment="1" applyProtection="1">
      <alignment horizontal="center" vertical="center"/>
      <protection locked="0"/>
    </xf>
    <xf numFmtId="164" fontId="6" fillId="7" borderId="51" xfId="0" applyNumberFormat="1" applyFont="1" applyFill="1" applyBorder="1" applyAlignment="1" applyProtection="1">
      <alignment horizontal="center" vertical="center"/>
      <protection locked="0"/>
    </xf>
    <xf numFmtId="164" fontId="6" fillId="7" borderId="36" xfId="0" applyNumberFormat="1" applyFont="1" applyFill="1" applyBorder="1" applyAlignment="1" applyProtection="1">
      <alignment horizontal="center" vertical="center"/>
      <protection locked="0"/>
    </xf>
    <xf numFmtId="3" fontId="6" fillId="0" borderId="51" xfId="0" applyNumberFormat="1" applyFont="1" applyBorder="1" applyAlignment="1" applyProtection="1">
      <alignment horizontal="center" vertical="center"/>
      <protection hidden="1"/>
    </xf>
    <xf numFmtId="3" fontId="6" fillId="7" borderId="37" xfId="0" applyNumberFormat="1" applyFont="1" applyFill="1" applyBorder="1" applyAlignment="1" applyProtection="1">
      <alignment horizontal="center" vertical="center"/>
      <protection locked="0"/>
    </xf>
    <xf numFmtId="3" fontId="11" fillId="0" borderId="71" xfId="0" applyNumberFormat="1" applyFont="1" applyBorder="1" applyAlignment="1" applyProtection="1">
      <alignment horizontal="center" vertical="center"/>
      <protection hidden="1"/>
    </xf>
    <xf numFmtId="3" fontId="11" fillId="7" borderId="4" xfId="0" applyNumberFormat="1" applyFont="1" applyFill="1" applyBorder="1" applyAlignment="1" applyProtection="1">
      <alignment horizontal="center" vertical="center"/>
      <protection locked="0"/>
    </xf>
    <xf numFmtId="167" fontId="11" fillId="0" borderId="30" xfId="0" applyNumberFormat="1" applyFont="1" applyBorder="1" applyAlignment="1" applyProtection="1">
      <alignment horizontal="center" vertical="center"/>
      <protection hidden="1"/>
    </xf>
    <xf numFmtId="3" fontId="11" fillId="7" borderId="46" xfId="0" applyNumberFormat="1" applyFont="1" applyFill="1" applyBorder="1" applyAlignment="1" applyProtection="1">
      <alignment horizontal="center" vertical="center"/>
      <protection locked="0"/>
    </xf>
    <xf numFmtId="167" fontId="11" fillId="0" borderId="6" xfId="0" applyNumberFormat="1" applyFont="1" applyBorder="1" applyAlignment="1" applyProtection="1">
      <alignment horizontal="center" vertical="center"/>
      <protection hidden="1"/>
    </xf>
    <xf numFmtId="167" fontId="11" fillId="0" borderId="33" xfId="0" applyNumberFormat="1" applyFont="1" applyBorder="1" applyAlignment="1" applyProtection="1">
      <alignment horizontal="center" vertical="center"/>
      <protection hidden="1"/>
    </xf>
    <xf numFmtId="167" fontId="6" fillId="6" borderId="60" xfId="0" applyNumberFormat="1" applyFont="1" applyFill="1" applyBorder="1" applyAlignment="1" applyProtection="1">
      <alignment horizontal="center" vertical="center"/>
      <protection hidden="1"/>
    </xf>
    <xf numFmtId="3" fontId="11" fillId="7" borderId="51" xfId="0" applyNumberFormat="1" applyFont="1" applyFill="1" applyBorder="1" applyAlignment="1" applyProtection="1">
      <alignment horizontal="center" vertical="center"/>
      <protection locked="0"/>
    </xf>
    <xf numFmtId="3" fontId="10" fillId="4" borderId="4" xfId="0" applyNumberFormat="1" applyFont="1" applyFill="1" applyBorder="1" applyAlignment="1" applyProtection="1">
      <alignment horizontal="center" vertical="center"/>
      <protection hidden="1"/>
    </xf>
    <xf numFmtId="3" fontId="10" fillId="4" borderId="6" xfId="0" applyNumberFormat="1" applyFont="1" applyFill="1" applyBorder="1" applyAlignment="1" applyProtection="1">
      <alignment horizontal="center" vertical="center"/>
      <protection hidden="1"/>
    </xf>
    <xf numFmtId="164" fontId="11" fillId="7" borderId="24" xfId="0" applyNumberFormat="1" applyFont="1" applyFill="1" applyBorder="1" applyAlignment="1" applyProtection="1">
      <alignment horizontal="center" vertical="center"/>
      <protection locked="0"/>
    </xf>
    <xf numFmtId="3" fontId="11" fillId="7" borderId="17" xfId="0" applyNumberFormat="1" applyFont="1" applyFill="1" applyBorder="1" applyAlignment="1" applyProtection="1">
      <alignment horizontal="center" vertical="center"/>
      <protection locked="0"/>
    </xf>
    <xf numFmtId="3" fontId="11" fillId="0" borderId="17" xfId="0" applyNumberFormat="1" applyFont="1" applyBorder="1" applyAlignment="1" applyProtection="1">
      <alignment horizontal="center" vertical="center"/>
      <protection hidden="1"/>
    </xf>
    <xf numFmtId="3" fontId="11" fillId="0" borderId="17" xfId="0" applyNumberFormat="1" applyFont="1" applyBorder="1" applyAlignment="1">
      <alignment horizontal="center" vertical="center"/>
    </xf>
    <xf numFmtId="3" fontId="11" fillId="0" borderId="24" xfId="0" applyNumberFormat="1" applyFont="1" applyBorder="1" applyAlignment="1">
      <alignment horizontal="center" vertical="center"/>
    </xf>
    <xf numFmtId="3" fontId="11" fillId="0" borderId="208" xfId="0" applyNumberFormat="1" applyFont="1" applyBorder="1" applyAlignment="1">
      <alignment horizontal="center" vertical="center"/>
    </xf>
    <xf numFmtId="164" fontId="11" fillId="7" borderId="21" xfId="0" applyNumberFormat="1" applyFont="1" applyFill="1" applyBorder="1" applyAlignment="1" applyProtection="1">
      <alignment horizontal="center" vertical="center"/>
      <protection locked="0"/>
    </xf>
    <xf numFmtId="3" fontId="11" fillId="0" borderId="50" xfId="0" applyNumberFormat="1" applyFont="1" applyBorder="1" applyAlignment="1" applyProtection="1">
      <alignment horizontal="center" vertical="center"/>
      <protection hidden="1"/>
    </xf>
    <xf numFmtId="3" fontId="11" fillId="0" borderId="26" xfId="0" applyNumberFormat="1" applyFont="1" applyBorder="1" applyAlignment="1">
      <alignment horizontal="center" vertical="center"/>
    </xf>
    <xf numFmtId="3" fontId="11" fillId="0" borderId="26" xfId="0" applyNumberFormat="1" applyFont="1" applyBorder="1" applyAlignment="1" applyProtection="1">
      <alignment horizontal="center" vertical="center"/>
      <protection hidden="1"/>
    </xf>
    <xf numFmtId="3" fontId="11" fillId="0" borderId="60" xfId="0" applyNumberFormat="1" applyFont="1" applyBorder="1" applyAlignment="1" applyProtection="1">
      <alignment horizontal="center" vertical="center"/>
      <protection hidden="1"/>
    </xf>
    <xf numFmtId="3" fontId="11" fillId="7" borderId="0" xfId="0" applyNumberFormat="1" applyFont="1" applyFill="1" applyAlignment="1" applyProtection="1">
      <alignment horizontal="center" vertical="center"/>
      <protection locked="0"/>
    </xf>
    <xf numFmtId="3" fontId="11" fillId="7" borderId="73" xfId="0" applyNumberFormat="1" applyFont="1" applyFill="1" applyBorder="1" applyAlignment="1" applyProtection="1">
      <alignment horizontal="center" vertical="center"/>
      <protection locked="0"/>
    </xf>
    <xf numFmtId="164" fontId="11" fillId="7" borderId="76" xfId="0" applyNumberFormat="1" applyFont="1" applyFill="1" applyBorder="1" applyAlignment="1" applyProtection="1">
      <alignment horizontal="center" vertical="center"/>
      <protection locked="0"/>
    </xf>
    <xf numFmtId="3" fontId="11" fillId="0" borderId="75" xfId="0" applyNumberFormat="1" applyFont="1" applyBorder="1" applyAlignment="1" applyProtection="1">
      <alignment horizontal="center" vertical="center"/>
      <protection hidden="1"/>
    </xf>
    <xf numFmtId="3" fontId="11" fillId="0" borderId="77" xfId="0" applyNumberFormat="1" applyFont="1" applyBorder="1" applyAlignment="1">
      <alignment horizontal="center" vertical="center"/>
    </xf>
    <xf numFmtId="3" fontId="11" fillId="0" borderId="76" xfId="0" applyNumberFormat="1" applyFont="1" applyBorder="1" applyAlignment="1">
      <alignment horizontal="center" vertical="center"/>
    </xf>
    <xf numFmtId="3" fontId="11" fillId="0" borderId="76" xfId="0" applyNumberFormat="1" applyFont="1" applyBorder="1" applyAlignment="1" applyProtection="1">
      <alignment horizontal="center" vertical="center"/>
      <protection hidden="1"/>
    </xf>
    <xf numFmtId="3" fontId="11" fillId="0" borderId="72" xfId="0" applyNumberFormat="1" applyFont="1" applyBorder="1" applyAlignment="1" applyProtection="1">
      <alignment horizontal="center" vertical="center"/>
      <protection hidden="1"/>
    </xf>
    <xf numFmtId="3" fontId="11" fillId="7" borderId="75" xfId="0" applyNumberFormat="1" applyFont="1" applyFill="1" applyBorder="1" applyAlignment="1" applyProtection="1">
      <alignment horizontal="center" vertical="center"/>
      <protection locked="0"/>
    </xf>
    <xf numFmtId="3" fontId="11" fillId="7" borderId="77" xfId="0" applyNumberFormat="1" applyFont="1" applyFill="1" applyBorder="1" applyAlignment="1" applyProtection="1">
      <alignment horizontal="center" vertical="center"/>
      <protection locked="0"/>
    </xf>
    <xf numFmtId="3" fontId="10" fillId="0" borderId="61" xfId="0" applyNumberFormat="1" applyFont="1" applyBorder="1" applyAlignment="1" applyProtection="1">
      <alignment horizontal="center" vertical="center"/>
      <protection hidden="1"/>
    </xf>
    <xf numFmtId="0" fontId="10" fillId="5" borderId="34" xfId="0" applyFont="1" applyFill="1" applyBorder="1" applyAlignment="1" applyProtection="1">
      <alignment horizontal="center" vertical="center"/>
      <protection hidden="1"/>
    </xf>
    <xf numFmtId="3" fontId="10" fillId="0" borderId="52" xfId="0" applyNumberFormat="1" applyFont="1" applyBorder="1" applyAlignment="1" applyProtection="1">
      <alignment horizontal="center" vertical="center"/>
      <protection hidden="1"/>
    </xf>
    <xf numFmtId="3" fontId="10" fillId="0" borderId="56" xfId="0" applyNumberFormat="1" applyFont="1" applyBorder="1" applyAlignment="1" applyProtection="1">
      <alignment horizontal="center" vertical="center"/>
      <protection hidden="1"/>
    </xf>
    <xf numFmtId="3" fontId="10" fillId="0" borderId="78" xfId="0" applyNumberFormat="1" applyFont="1" applyBorder="1" applyAlignment="1" applyProtection="1">
      <alignment horizontal="center" vertical="center"/>
      <protection hidden="1"/>
    </xf>
    <xf numFmtId="3" fontId="10" fillId="0" borderId="64" xfId="0" applyNumberFormat="1" applyFont="1" applyBorder="1" applyAlignment="1" applyProtection="1">
      <alignment horizontal="center" vertical="center"/>
      <protection hidden="1"/>
    </xf>
    <xf numFmtId="3" fontId="10" fillId="0" borderId="42" xfId="0" applyNumberFormat="1" applyFont="1" applyBorder="1" applyAlignment="1" applyProtection="1">
      <alignment horizontal="center" vertical="center"/>
      <protection hidden="1"/>
    </xf>
    <xf numFmtId="3" fontId="11" fillId="7" borderId="62" xfId="0" applyNumberFormat="1" applyFont="1" applyFill="1" applyBorder="1" applyAlignment="1" applyProtection="1">
      <alignment horizontal="center" vertical="center"/>
      <protection locked="0"/>
    </xf>
    <xf numFmtId="164" fontId="11" fillId="7" borderId="47" xfId="0" applyNumberFormat="1" applyFont="1" applyFill="1" applyBorder="1" applyAlignment="1" applyProtection="1">
      <alignment horizontal="center" vertical="center"/>
      <protection locked="0"/>
    </xf>
    <xf numFmtId="3" fontId="11" fillId="7" borderId="48" xfId="0" applyNumberFormat="1" applyFont="1" applyFill="1" applyBorder="1" applyAlignment="1" applyProtection="1">
      <alignment horizontal="center" vertical="center"/>
      <protection locked="0"/>
    </xf>
    <xf numFmtId="3" fontId="11" fillId="0" borderId="63" xfId="0" applyNumberFormat="1" applyFont="1" applyBorder="1" applyAlignment="1" applyProtection="1">
      <alignment horizontal="center" vertical="center"/>
      <protection hidden="1"/>
    </xf>
    <xf numFmtId="3" fontId="11" fillId="0" borderId="47" xfId="0" applyNumberFormat="1" applyFont="1" applyBorder="1" applyAlignment="1" applyProtection="1">
      <alignment horizontal="center" vertical="center"/>
      <protection hidden="1"/>
    </xf>
    <xf numFmtId="3" fontId="11" fillId="8" borderId="48" xfId="0" applyNumberFormat="1" applyFont="1" applyFill="1" applyBorder="1" applyAlignment="1" applyProtection="1">
      <alignment horizontal="center" vertical="center"/>
      <protection locked="0"/>
    </xf>
    <xf numFmtId="3" fontId="11" fillId="8" borderId="63" xfId="0" applyNumberFormat="1" applyFont="1" applyFill="1" applyBorder="1" applyAlignment="1" applyProtection="1">
      <alignment horizontal="center" vertical="center"/>
      <protection hidden="1"/>
    </xf>
    <xf numFmtId="3" fontId="11" fillId="8" borderId="49" xfId="0" applyNumberFormat="1" applyFont="1" applyFill="1" applyBorder="1" applyAlignment="1" applyProtection="1">
      <alignment horizontal="center" vertical="center"/>
      <protection hidden="1"/>
    </xf>
    <xf numFmtId="3" fontId="11" fillId="8" borderId="79" xfId="0" applyNumberFormat="1" applyFont="1" applyFill="1" applyBorder="1" applyAlignment="1" applyProtection="1">
      <alignment horizontal="center" vertical="center"/>
      <protection hidden="1"/>
    </xf>
    <xf numFmtId="3" fontId="11" fillId="0" borderId="49" xfId="0" applyNumberFormat="1" applyFont="1" applyBorder="1" applyAlignment="1" applyProtection="1">
      <alignment horizontal="center" vertical="center"/>
      <protection hidden="1"/>
    </xf>
    <xf numFmtId="3" fontId="11" fillId="8" borderId="48" xfId="0" applyNumberFormat="1" applyFont="1" applyFill="1" applyBorder="1" applyAlignment="1" applyProtection="1">
      <alignment horizontal="center" vertical="center"/>
      <protection hidden="1"/>
    </xf>
    <xf numFmtId="3" fontId="11" fillId="6" borderId="51" xfId="0" applyNumberFormat="1" applyFont="1" applyFill="1" applyBorder="1" applyAlignment="1" applyProtection="1">
      <alignment horizontal="center" vertical="center"/>
      <protection hidden="1"/>
    </xf>
    <xf numFmtId="3" fontId="11" fillId="6" borderId="17" xfId="0" applyNumberFormat="1" applyFont="1" applyFill="1" applyBorder="1" applyAlignment="1" applyProtection="1">
      <alignment horizontal="center" vertical="center"/>
      <protection hidden="1"/>
    </xf>
    <xf numFmtId="3" fontId="11" fillId="6" borderId="24" xfId="0" applyNumberFormat="1" applyFont="1" applyFill="1" applyBorder="1" applyAlignment="1" applyProtection="1">
      <alignment horizontal="center" vertical="center"/>
      <protection hidden="1"/>
    </xf>
    <xf numFmtId="3" fontId="11" fillId="8" borderId="17" xfId="0" applyNumberFormat="1" applyFont="1" applyFill="1" applyBorder="1" applyAlignment="1" applyProtection="1">
      <alignment horizontal="center" vertical="center"/>
      <protection hidden="1"/>
    </xf>
    <xf numFmtId="3" fontId="11" fillId="8" borderId="58" xfId="0" applyNumberFormat="1" applyFont="1" applyFill="1" applyBorder="1" applyAlignment="1" applyProtection="1">
      <alignment horizontal="center" vertical="center"/>
      <protection hidden="1"/>
    </xf>
    <xf numFmtId="3" fontId="11" fillId="8" borderId="51" xfId="0" applyNumberFormat="1" applyFont="1" applyFill="1" applyBorder="1" applyAlignment="1" applyProtection="1">
      <alignment horizontal="center" vertical="center"/>
      <protection hidden="1"/>
    </xf>
    <xf numFmtId="3" fontId="11" fillId="6" borderId="36" xfId="0" applyNumberFormat="1" applyFont="1" applyFill="1" applyBorder="1" applyAlignment="1">
      <alignment horizontal="center" vertical="center"/>
    </xf>
    <xf numFmtId="3" fontId="11" fillId="6" borderId="11" xfId="0" applyNumberFormat="1" applyFont="1" applyFill="1" applyBorder="1" applyAlignment="1">
      <alignment horizontal="center" vertical="center"/>
    </xf>
    <xf numFmtId="3" fontId="11" fillId="6" borderId="11" xfId="0" applyNumberFormat="1" applyFont="1" applyFill="1" applyBorder="1" applyAlignment="1" applyProtection="1">
      <alignment horizontal="center" vertical="center"/>
      <protection hidden="1"/>
    </xf>
    <xf numFmtId="3" fontId="11" fillId="6" borderId="35" xfId="0" applyNumberFormat="1" applyFont="1" applyFill="1" applyBorder="1" applyAlignment="1" applyProtection="1">
      <alignment horizontal="center" vertical="center"/>
      <protection hidden="1"/>
    </xf>
    <xf numFmtId="3" fontId="11" fillId="7" borderId="43" xfId="0" applyNumberFormat="1" applyFont="1" applyFill="1" applyBorder="1" applyAlignment="1" applyProtection="1">
      <alignment horizontal="center" vertical="center"/>
      <protection locked="0"/>
    </xf>
    <xf numFmtId="3" fontId="11" fillId="8" borderId="11" xfId="0" applyNumberFormat="1" applyFont="1" applyFill="1" applyBorder="1" applyAlignment="1" applyProtection="1">
      <alignment horizontal="center" vertical="center"/>
      <protection hidden="1"/>
    </xf>
    <xf numFmtId="3" fontId="11" fillId="0" borderId="36" xfId="0" applyNumberFormat="1" applyFont="1" applyBorder="1" applyAlignment="1">
      <alignment horizontal="center" vertical="center"/>
    </xf>
    <xf numFmtId="3" fontId="11" fillId="6" borderId="215" xfId="0" applyNumberFormat="1" applyFont="1" applyFill="1" applyBorder="1" applyAlignment="1">
      <alignment horizontal="center" vertical="center"/>
    </xf>
    <xf numFmtId="3" fontId="11" fillId="6" borderId="77" xfId="0" applyNumberFormat="1" applyFont="1" applyFill="1" applyBorder="1" applyAlignment="1">
      <alignment horizontal="center" vertical="center"/>
    </xf>
    <xf numFmtId="3" fontId="11" fillId="6" borderId="76" xfId="0" applyNumberFormat="1" applyFont="1" applyFill="1" applyBorder="1" applyAlignment="1">
      <alignment horizontal="center" vertical="center"/>
    </xf>
    <xf numFmtId="3" fontId="11" fillId="6" borderId="75" xfId="0" applyNumberFormat="1" applyFont="1" applyFill="1" applyBorder="1" applyAlignment="1">
      <alignment horizontal="center" vertical="center"/>
    </xf>
    <xf numFmtId="3" fontId="11" fillId="6" borderId="77" xfId="0" applyNumberFormat="1" applyFont="1" applyFill="1" applyBorder="1" applyAlignment="1" applyProtection="1">
      <alignment horizontal="center" vertical="center"/>
      <protection hidden="1"/>
    </xf>
    <xf numFmtId="3" fontId="11" fillId="6" borderId="72" xfId="0" applyNumberFormat="1" applyFont="1" applyFill="1" applyBorder="1" applyAlignment="1" applyProtection="1">
      <alignment horizontal="center" vertical="center"/>
      <protection hidden="1"/>
    </xf>
    <xf numFmtId="3" fontId="11" fillId="0" borderId="80" xfId="0" applyNumberFormat="1" applyFont="1" applyBorder="1" applyAlignment="1">
      <alignment horizontal="center" vertical="center"/>
    </xf>
    <xf numFmtId="3" fontId="11" fillId="8" borderId="77" xfId="0" applyNumberFormat="1" applyFont="1" applyFill="1" applyBorder="1" applyAlignment="1" applyProtection="1">
      <alignment horizontal="center" vertical="center"/>
      <protection hidden="1"/>
    </xf>
    <xf numFmtId="3" fontId="10" fillId="8" borderId="61" xfId="0" applyNumberFormat="1" applyFont="1" applyFill="1" applyBorder="1" applyAlignment="1" applyProtection="1">
      <alignment horizontal="center" vertical="center"/>
      <protection hidden="1"/>
    </xf>
    <xf numFmtId="164" fontId="10" fillId="8" borderId="56" xfId="0" applyNumberFormat="1" applyFont="1" applyFill="1" applyBorder="1" applyAlignment="1" applyProtection="1">
      <alignment horizontal="center" vertical="center"/>
      <protection hidden="1"/>
    </xf>
    <xf numFmtId="3" fontId="10" fillId="8" borderId="52" xfId="0" applyNumberFormat="1" applyFont="1" applyFill="1" applyBorder="1" applyAlignment="1" applyProtection="1">
      <alignment horizontal="center" vertical="center"/>
      <protection hidden="1"/>
    </xf>
    <xf numFmtId="3" fontId="10" fillId="8" borderId="64" xfId="0" applyNumberFormat="1" applyFont="1" applyFill="1" applyBorder="1" applyAlignment="1" applyProtection="1">
      <alignment horizontal="center" vertical="center"/>
      <protection hidden="1"/>
    </xf>
    <xf numFmtId="3" fontId="10" fillId="8" borderId="42" xfId="0" applyNumberFormat="1" applyFont="1" applyFill="1" applyBorder="1" applyAlignment="1" applyProtection="1">
      <alignment horizontal="center" vertical="center"/>
      <protection hidden="1"/>
    </xf>
    <xf numFmtId="3" fontId="10" fillId="8" borderId="68" xfId="0" applyNumberFormat="1" applyFont="1" applyFill="1" applyBorder="1" applyAlignment="1" applyProtection="1">
      <alignment horizontal="center" vertical="center"/>
      <protection hidden="1"/>
    </xf>
    <xf numFmtId="3" fontId="10" fillId="0" borderId="5" xfId="0" applyNumberFormat="1" applyFont="1" applyBorder="1" applyAlignment="1" applyProtection="1">
      <alignment horizontal="center" vertical="center"/>
      <protection hidden="1"/>
    </xf>
    <xf numFmtId="0" fontId="10" fillId="0" borderId="5" xfId="0" applyFont="1" applyBorder="1" applyAlignment="1" applyProtection="1">
      <alignment horizontal="center" vertical="center"/>
      <protection hidden="1"/>
    </xf>
    <xf numFmtId="3" fontId="10" fillId="7" borderId="45" xfId="0" applyNumberFormat="1" applyFont="1" applyFill="1" applyBorder="1" applyAlignment="1" applyProtection="1">
      <alignment horizontal="center" vertical="center"/>
      <protection locked="0"/>
    </xf>
    <xf numFmtId="0" fontId="10" fillId="6" borderId="5" xfId="0" applyFont="1" applyFill="1" applyBorder="1" applyAlignment="1" applyProtection="1">
      <alignment horizontal="center" vertical="center"/>
      <protection hidden="1"/>
    </xf>
    <xf numFmtId="164" fontId="10" fillId="7" borderId="7" xfId="0" applyNumberFormat="1" applyFont="1" applyFill="1" applyBorder="1" applyAlignment="1" applyProtection="1">
      <alignment horizontal="center" vertical="center"/>
      <protection locked="0"/>
    </xf>
    <xf numFmtId="3" fontId="10" fillId="6" borderId="4" xfId="0" applyNumberFormat="1" applyFont="1" applyFill="1" applyBorder="1" applyAlignment="1">
      <alignment horizontal="center" vertical="center"/>
    </xf>
    <xf numFmtId="3" fontId="10" fillId="6" borderId="45" xfId="0" applyNumberFormat="1" applyFont="1" applyFill="1" applyBorder="1" applyAlignment="1">
      <alignment horizontal="center" vertical="center"/>
    </xf>
    <xf numFmtId="3" fontId="10" fillId="7" borderId="6" xfId="0" applyNumberFormat="1" applyFont="1" applyFill="1" applyBorder="1" applyAlignment="1" applyProtection="1">
      <alignment horizontal="center" vertical="center"/>
      <protection locked="0"/>
    </xf>
    <xf numFmtId="3" fontId="5" fillId="7" borderId="18" xfId="0" applyNumberFormat="1" applyFont="1" applyFill="1" applyBorder="1" applyAlignment="1" applyProtection="1">
      <alignment horizontal="center" vertical="center"/>
      <protection locked="0"/>
    </xf>
    <xf numFmtId="3" fontId="5" fillId="7" borderId="21" xfId="0" applyNumberFormat="1" applyFont="1" applyFill="1" applyBorder="1" applyAlignment="1" applyProtection="1">
      <alignment horizontal="center" vertical="center"/>
      <protection locked="0"/>
    </xf>
    <xf numFmtId="3" fontId="5" fillId="7" borderId="134" xfId="0" applyNumberFormat="1" applyFont="1" applyFill="1" applyBorder="1" applyAlignment="1" applyProtection="1">
      <alignment horizontal="center" vertical="center"/>
      <protection locked="0"/>
    </xf>
    <xf numFmtId="3" fontId="11" fillId="7" borderId="135" xfId="0" applyNumberFormat="1" applyFont="1" applyFill="1" applyBorder="1" applyAlignment="1" applyProtection="1">
      <alignment horizontal="center" vertical="center"/>
      <protection locked="0"/>
    </xf>
    <xf numFmtId="3" fontId="11" fillId="7" borderId="137" xfId="0" applyNumberFormat="1" applyFont="1" applyFill="1" applyBorder="1" applyAlignment="1" applyProtection="1">
      <alignment horizontal="center" vertical="center"/>
      <protection locked="0"/>
    </xf>
    <xf numFmtId="167" fontId="11" fillId="8" borderId="189" xfId="0" applyNumberFormat="1" applyFont="1" applyFill="1" applyBorder="1" applyAlignment="1" applyProtection="1">
      <alignment horizontal="center" vertical="center"/>
      <protection hidden="1"/>
    </xf>
    <xf numFmtId="167" fontId="11" fillId="8" borderId="188" xfId="0" applyNumberFormat="1" applyFont="1" applyFill="1" applyBorder="1" applyAlignment="1" applyProtection="1">
      <alignment horizontal="center" vertical="center"/>
      <protection hidden="1"/>
    </xf>
    <xf numFmtId="167" fontId="11" fillId="8" borderId="117" xfId="0" applyNumberFormat="1" applyFont="1" applyFill="1" applyBorder="1" applyAlignment="1" applyProtection="1">
      <alignment horizontal="center" vertical="center"/>
      <protection hidden="1"/>
    </xf>
    <xf numFmtId="167" fontId="11" fillId="8" borderId="116" xfId="0" applyNumberFormat="1" applyFont="1" applyFill="1" applyBorder="1" applyAlignment="1" applyProtection="1">
      <alignment horizontal="center" vertical="center"/>
      <protection hidden="1"/>
    </xf>
    <xf numFmtId="167" fontId="11" fillId="0" borderId="116" xfId="0" applyNumberFormat="1" applyFont="1" applyBorder="1" applyAlignment="1" applyProtection="1">
      <alignment horizontal="center" vertical="center"/>
      <protection hidden="1"/>
    </xf>
    <xf numFmtId="167" fontId="11" fillId="8" borderId="103" xfId="0" applyNumberFormat="1" applyFont="1" applyFill="1" applyBorder="1" applyAlignment="1" applyProtection="1">
      <alignment horizontal="center" vertical="center"/>
      <protection hidden="1"/>
    </xf>
    <xf numFmtId="167" fontId="11" fillId="8" borderId="207" xfId="0" applyNumberFormat="1" applyFont="1" applyFill="1" applyBorder="1" applyAlignment="1" applyProtection="1">
      <alignment horizontal="center" vertical="center"/>
      <protection hidden="1"/>
    </xf>
    <xf numFmtId="167" fontId="11" fillId="8" borderId="209" xfId="0" applyNumberFormat="1" applyFont="1" applyFill="1" applyBorder="1" applyAlignment="1" applyProtection="1">
      <alignment horizontal="center" vertical="center"/>
      <protection hidden="1"/>
    </xf>
    <xf numFmtId="167" fontId="11" fillId="0" borderId="209" xfId="0" applyNumberFormat="1" applyFont="1" applyBorder="1" applyAlignment="1" applyProtection="1">
      <alignment horizontal="center" vertical="center"/>
      <protection hidden="1"/>
    </xf>
    <xf numFmtId="0" fontId="2" fillId="0" borderId="119" xfId="0" applyFont="1" applyBorder="1" applyAlignment="1">
      <alignment horizontal="center" vertical="center"/>
    </xf>
    <xf numFmtId="166" fontId="2" fillId="0" borderId="119" xfId="0" applyNumberFormat="1" applyFont="1" applyBorder="1" applyAlignment="1">
      <alignment horizontal="center" vertical="center"/>
    </xf>
    <xf numFmtId="0" fontId="2" fillId="0" borderId="103" xfId="0" applyFont="1" applyBorder="1" applyAlignment="1">
      <alignment horizontal="center" vertical="center"/>
    </xf>
    <xf numFmtId="166" fontId="2" fillId="0" borderId="103" xfId="0" applyNumberFormat="1" applyFont="1" applyBorder="1" applyAlignment="1">
      <alignment horizontal="center" vertical="center"/>
    </xf>
    <xf numFmtId="3" fontId="11" fillId="0" borderId="119" xfId="0" applyNumberFormat="1" applyFont="1" applyBorder="1" applyAlignment="1" applyProtection="1">
      <alignment horizontal="center" vertical="center"/>
      <protection hidden="1"/>
    </xf>
    <xf numFmtId="167" fontId="11" fillId="0" borderId="119" xfId="0" applyNumberFormat="1" applyFont="1" applyBorder="1" applyAlignment="1" applyProtection="1">
      <alignment horizontal="center" vertical="center"/>
      <protection hidden="1"/>
    </xf>
    <xf numFmtId="167" fontId="11" fillId="0" borderId="117" xfId="0" applyNumberFormat="1" applyFont="1" applyBorder="1" applyAlignment="1" applyProtection="1">
      <alignment horizontal="center" vertical="center"/>
      <protection hidden="1"/>
    </xf>
    <xf numFmtId="167" fontId="2" fillId="0" borderId="103" xfId="0" applyNumberFormat="1" applyFont="1" applyBorder="1" applyAlignment="1">
      <alignment horizontal="center" vertical="center"/>
    </xf>
    <xf numFmtId="167" fontId="11" fillId="8" borderId="203" xfId="0" applyNumberFormat="1" applyFont="1" applyFill="1" applyBorder="1" applyAlignment="1" applyProtection="1">
      <alignment horizontal="center" vertical="center"/>
      <protection hidden="1"/>
    </xf>
    <xf numFmtId="167" fontId="11" fillId="8" borderId="201" xfId="0" applyNumberFormat="1" applyFont="1" applyFill="1" applyBorder="1" applyAlignment="1" applyProtection="1">
      <alignment horizontal="center" vertical="center"/>
      <protection hidden="1"/>
    </xf>
    <xf numFmtId="3" fontId="11" fillId="0" borderId="202" xfId="0" applyNumberFormat="1" applyFont="1" applyBorder="1" applyAlignment="1" applyProtection="1">
      <alignment horizontal="center" vertical="center"/>
      <protection hidden="1"/>
    </xf>
    <xf numFmtId="167" fontId="11" fillId="0" borderId="203" xfId="0" applyNumberFormat="1" applyFont="1" applyBorder="1" applyAlignment="1" applyProtection="1">
      <alignment horizontal="center" vertical="center"/>
      <protection hidden="1"/>
    </xf>
    <xf numFmtId="167" fontId="11" fillId="0" borderId="201" xfId="0" applyNumberFormat="1" applyFont="1" applyBorder="1" applyAlignment="1" applyProtection="1">
      <alignment horizontal="center" vertical="center"/>
      <protection hidden="1"/>
    </xf>
    <xf numFmtId="167" fontId="11" fillId="0" borderId="202" xfId="0" applyNumberFormat="1" applyFont="1" applyBorder="1" applyAlignment="1" applyProtection="1">
      <alignment horizontal="center" vertical="center"/>
      <protection hidden="1"/>
    </xf>
    <xf numFmtId="167" fontId="2" fillId="0" borderId="202" xfId="0" applyNumberFormat="1" applyFont="1" applyBorder="1" applyAlignment="1">
      <alignment horizontal="center" vertical="center"/>
    </xf>
    <xf numFmtId="167" fontId="11" fillId="8" borderId="0" xfId="0" applyNumberFormat="1" applyFont="1" applyFill="1" applyAlignment="1" applyProtection="1">
      <alignment horizontal="center" vertical="center"/>
      <protection hidden="1"/>
    </xf>
    <xf numFmtId="167" fontId="11" fillId="0" borderId="0" xfId="0" applyNumberFormat="1" applyFont="1" applyAlignment="1" applyProtection="1">
      <alignment horizontal="center" vertical="center"/>
      <protection hidden="1"/>
    </xf>
    <xf numFmtId="167" fontId="2" fillId="0" borderId="0" xfId="0" applyNumberFormat="1" applyFont="1" applyAlignment="1">
      <alignment horizontal="center" vertical="center"/>
    </xf>
    <xf numFmtId="173" fontId="11" fillId="0" borderId="116" xfId="0" applyNumberFormat="1" applyFont="1" applyBorder="1" applyAlignment="1" applyProtection="1">
      <alignment horizontal="center" vertical="center"/>
      <protection hidden="1"/>
    </xf>
    <xf numFmtId="167" fontId="11" fillId="0" borderId="18" xfId="0" applyNumberFormat="1" applyFont="1" applyBorder="1" applyAlignment="1" applyProtection="1">
      <alignment horizontal="center" vertical="center"/>
      <protection hidden="1"/>
    </xf>
    <xf numFmtId="167" fontId="11" fillId="0" borderId="18" xfId="0" applyNumberFormat="1" applyFont="1" applyBorder="1" applyAlignment="1" applyProtection="1">
      <alignment horizontal="center"/>
      <protection hidden="1"/>
    </xf>
    <xf numFmtId="3" fontId="10" fillId="6" borderId="135" xfId="0" applyNumberFormat="1" applyFont="1" applyFill="1" applyBorder="1" applyAlignment="1" applyProtection="1">
      <alignment vertical="center"/>
      <protection hidden="1"/>
    </xf>
    <xf numFmtId="3" fontId="10" fillId="0" borderId="54" xfId="0" applyNumberFormat="1" applyFont="1" applyBorder="1" applyAlignment="1" applyProtection="1">
      <alignment horizontal="center" vertical="center"/>
      <protection hidden="1"/>
    </xf>
    <xf numFmtId="3" fontId="11" fillId="0" borderId="18" xfId="0" applyNumberFormat="1" applyFont="1" applyBorder="1" applyAlignment="1">
      <alignment horizontal="center" vertical="center"/>
    </xf>
    <xf numFmtId="3" fontId="10" fillId="0" borderId="45" xfId="0" applyNumberFormat="1" applyFont="1" applyBorder="1" applyAlignment="1" applyProtection="1">
      <alignment horizontal="center" vertical="center"/>
      <protection hidden="1"/>
    </xf>
    <xf numFmtId="3" fontId="10" fillId="0" borderId="5" xfId="0" applyNumberFormat="1" applyFont="1" applyBorder="1" applyAlignment="1">
      <alignment horizontal="center" vertical="center"/>
    </xf>
    <xf numFmtId="0" fontId="10" fillId="0" borderId="5" xfId="0" applyFont="1" applyBorder="1" applyAlignment="1">
      <alignment horizontal="center" vertical="center"/>
    </xf>
    <xf numFmtId="0" fontId="3" fillId="6" borderId="5" xfId="0" applyFont="1" applyFill="1" applyBorder="1" applyAlignment="1" applyProtection="1">
      <alignment horizontal="center" vertical="center"/>
      <protection hidden="1"/>
    </xf>
    <xf numFmtId="3" fontId="3" fillId="6" borderId="4" xfId="0" applyNumberFormat="1" applyFont="1" applyFill="1" applyBorder="1" applyAlignment="1">
      <alignment horizontal="center" vertical="center"/>
    </xf>
    <xf numFmtId="0" fontId="10" fillId="6" borderId="45" xfId="0" applyFont="1" applyFill="1" applyBorder="1" applyAlignment="1" applyProtection="1">
      <alignment horizontal="center" vertical="center"/>
      <protection hidden="1"/>
    </xf>
    <xf numFmtId="0" fontId="10" fillId="6" borderId="7" xfId="0" applyFont="1" applyFill="1" applyBorder="1" applyAlignment="1" applyProtection="1">
      <alignment horizontal="center" vertical="center"/>
      <protection hidden="1"/>
    </xf>
    <xf numFmtId="4" fontId="11" fillId="0" borderId="134" xfId="0" applyNumberFormat="1" applyFont="1" applyBorder="1" applyAlignment="1" applyProtection="1">
      <alignment horizontal="center" vertical="center"/>
      <protection hidden="1"/>
    </xf>
    <xf numFmtId="0" fontId="4" fillId="0" borderId="105" xfId="0" applyFont="1" applyBorder="1" applyAlignment="1" applyProtection="1">
      <alignment horizontal="center" vertical="center"/>
      <protection hidden="1"/>
    </xf>
    <xf numFmtId="164" fontId="11" fillId="0" borderId="134" xfId="2" applyNumberFormat="1" applyFont="1" applyBorder="1" applyAlignment="1" applyProtection="1">
      <alignment horizontal="center" vertical="center"/>
      <protection hidden="1"/>
    </xf>
    <xf numFmtId="166" fontId="11" fillId="0" borderId="134" xfId="0" applyNumberFormat="1" applyFont="1" applyBorder="1" applyAlignment="1">
      <alignment horizontal="center"/>
    </xf>
    <xf numFmtId="164" fontId="11" fillId="0" borderId="134" xfId="2" applyNumberFormat="1" applyFont="1" applyBorder="1" applyAlignment="1" applyProtection="1">
      <alignment horizontal="center"/>
      <protection hidden="1"/>
    </xf>
    <xf numFmtId="0" fontId="66" fillId="0" borderId="134" xfId="0" applyFont="1" applyBorder="1" applyAlignment="1" applyProtection="1">
      <alignment horizontal="center" vertical="center"/>
      <protection hidden="1"/>
    </xf>
    <xf numFmtId="3" fontId="10" fillId="0" borderId="6" xfId="0" applyNumberFormat="1" applyFont="1" applyBorder="1" applyAlignment="1" applyProtection="1">
      <alignment horizontal="center" vertical="center"/>
      <protection hidden="1"/>
    </xf>
    <xf numFmtId="0" fontId="47" fillId="0" borderId="18" xfId="0" applyFont="1" applyBorder="1" applyAlignment="1" applyProtection="1">
      <alignment horizontal="center" vertical="center"/>
      <protection hidden="1"/>
    </xf>
    <xf numFmtId="0" fontId="47" fillId="0" borderId="35" xfId="0" applyFont="1" applyBorder="1" applyAlignment="1" applyProtection="1">
      <alignment horizontal="center" vertical="center"/>
      <protection hidden="1"/>
    </xf>
    <xf numFmtId="0" fontId="47" fillId="0" borderId="134" xfId="0" applyFont="1" applyBorder="1" applyAlignment="1" applyProtection="1">
      <alignment horizontal="center" vertical="center"/>
      <protection hidden="1"/>
    </xf>
    <xf numFmtId="164" fontId="47" fillId="0" borderId="18" xfId="2" applyNumberFormat="1" applyFont="1" applyBorder="1" applyAlignment="1" applyProtection="1">
      <alignment horizontal="center" vertical="center"/>
      <protection hidden="1"/>
    </xf>
    <xf numFmtId="164" fontId="47" fillId="0" borderId="35" xfId="2" applyNumberFormat="1" applyFont="1" applyBorder="1" applyAlignment="1" applyProtection="1">
      <alignment horizontal="center" vertical="center"/>
      <protection hidden="1"/>
    </xf>
    <xf numFmtId="0" fontId="10" fillId="0" borderId="0" xfId="0" applyFont="1" applyAlignment="1">
      <alignment horizontal="center" vertical="center"/>
    </xf>
    <xf numFmtId="166" fontId="10" fillId="0" borderId="0" xfId="0" applyNumberFormat="1" applyFont="1" applyAlignment="1">
      <alignment horizontal="center" vertical="center"/>
    </xf>
    <xf numFmtId="3" fontId="10" fillId="0" borderId="0" xfId="0" quotePrefix="1" applyNumberFormat="1" applyFont="1" applyAlignment="1">
      <alignment horizontal="center" vertical="center"/>
    </xf>
    <xf numFmtId="167" fontId="10" fillId="8" borderId="0" xfId="0" applyNumberFormat="1" applyFont="1" applyFill="1" applyAlignment="1" applyProtection="1">
      <alignment horizontal="center" vertical="center"/>
      <protection hidden="1"/>
    </xf>
    <xf numFmtId="167" fontId="5" fillId="0" borderId="0" xfId="0" applyNumberFormat="1" applyFont="1" applyAlignment="1">
      <alignment horizontal="center" vertical="center"/>
    </xf>
    <xf numFmtId="0" fontId="10" fillId="6" borderId="97" xfId="0" applyFont="1" applyFill="1" applyBorder="1" applyAlignment="1">
      <alignment horizontal="center" vertical="center"/>
    </xf>
    <xf numFmtId="3" fontId="10" fillId="0" borderId="94" xfId="0" applyNumberFormat="1" applyFont="1" applyBorder="1" applyAlignment="1">
      <alignment horizontal="center" vertical="center"/>
    </xf>
    <xf numFmtId="167" fontId="10" fillId="0" borderId="97" xfId="0" applyNumberFormat="1" applyFont="1" applyBorder="1" applyAlignment="1">
      <alignment horizontal="center" vertical="center"/>
    </xf>
    <xf numFmtId="167" fontId="10" fillId="0" borderId="95" xfId="0" applyNumberFormat="1" applyFont="1" applyBorder="1" applyAlignment="1">
      <alignment horizontal="center" vertical="center"/>
    </xf>
    <xf numFmtId="0" fontId="10" fillId="0" borderId="221" xfId="0" quotePrefix="1" applyFont="1" applyBorder="1" applyAlignment="1">
      <alignment horizontal="right" vertical="center"/>
    </xf>
    <xf numFmtId="3" fontId="11" fillId="0" borderId="22" xfId="0" applyNumberFormat="1" applyFont="1" applyBorder="1" applyAlignment="1">
      <alignment horizontal="center" vertical="center"/>
    </xf>
    <xf numFmtId="3" fontId="11" fillId="0" borderId="134" xfId="0" applyNumberFormat="1" applyFont="1" applyBorder="1" applyAlignment="1">
      <alignment horizontal="center" vertical="center"/>
    </xf>
    <xf numFmtId="3" fontId="11" fillId="0" borderId="21" xfId="0" applyNumberFormat="1" applyFont="1" applyBorder="1" applyAlignment="1">
      <alignment horizontal="center" vertical="center"/>
    </xf>
    <xf numFmtId="0" fontId="5" fillId="0" borderId="121" xfId="0" applyFont="1" applyBorder="1"/>
    <xf numFmtId="0" fontId="5" fillId="0" borderId="121" xfId="0" applyFont="1" applyBorder="1" applyAlignment="1" applyProtection="1">
      <alignment vertical="center"/>
      <protection hidden="1"/>
    </xf>
    <xf numFmtId="167" fontId="5" fillId="0" borderId="121" xfId="0" applyNumberFormat="1" applyFont="1" applyBorder="1" applyProtection="1">
      <protection hidden="1"/>
    </xf>
    <xf numFmtId="0" fontId="1" fillId="0" borderId="0" xfId="0" applyFont="1" applyAlignment="1">
      <alignment horizontal="left" vertical="center" wrapText="1" indent="1"/>
    </xf>
    <xf numFmtId="0" fontId="2" fillId="0" borderId="0" xfId="0" applyFont="1" applyAlignment="1">
      <alignment horizontal="left" vertical="center" wrapText="1" indent="1"/>
    </xf>
    <xf numFmtId="0" fontId="3" fillId="0" borderId="0" xfId="0" applyFont="1" applyAlignment="1">
      <alignment horizontal="left" vertical="top"/>
    </xf>
    <xf numFmtId="0" fontId="5" fillId="0" borderId="158" xfId="0" applyFont="1" applyBorder="1" applyAlignment="1">
      <alignment horizontal="center" vertical="center"/>
    </xf>
    <xf numFmtId="0" fontId="5" fillId="0" borderId="91" xfId="0" applyFont="1" applyBorder="1" applyAlignment="1">
      <alignment horizontal="center" vertical="center"/>
    </xf>
    <xf numFmtId="3" fontId="11" fillId="6" borderId="71" xfId="0" applyNumberFormat="1" applyFont="1" applyFill="1" applyBorder="1" applyAlignment="1">
      <alignment vertical="center"/>
    </xf>
    <xf numFmtId="3" fontId="11" fillId="6" borderId="65" xfId="0" applyNumberFormat="1" applyFont="1" applyFill="1" applyBorder="1" applyAlignment="1">
      <alignment vertical="center"/>
    </xf>
    <xf numFmtId="166" fontId="11" fillId="6" borderId="66" xfId="0" applyNumberFormat="1" applyFont="1" applyFill="1" applyBorder="1" applyAlignment="1">
      <alignment horizontal="center" vertical="center"/>
    </xf>
    <xf numFmtId="3" fontId="11" fillId="6" borderId="12" xfId="0" applyNumberFormat="1" applyFont="1" applyFill="1" applyBorder="1" applyAlignment="1">
      <alignment vertical="center"/>
    </xf>
    <xf numFmtId="0" fontId="10" fillId="6" borderId="19" xfId="0" applyFont="1" applyFill="1" applyBorder="1" applyAlignment="1" applyProtection="1">
      <alignment horizontal="left" vertical="center"/>
      <protection hidden="1"/>
    </xf>
    <xf numFmtId="0" fontId="10" fillId="6" borderId="8" xfId="0" applyFont="1" applyFill="1" applyBorder="1" applyAlignment="1" applyProtection="1">
      <alignment horizontal="left" vertical="center"/>
      <protection hidden="1"/>
    </xf>
    <xf numFmtId="0" fontId="10" fillId="6" borderId="24" xfId="0" applyFont="1" applyFill="1" applyBorder="1" applyAlignment="1" applyProtection="1">
      <alignment horizontal="left" vertical="center"/>
      <protection hidden="1"/>
    </xf>
    <xf numFmtId="0" fontId="10" fillId="6" borderId="17" xfId="0" applyFont="1" applyFill="1" applyBorder="1" applyAlignment="1" applyProtection="1">
      <alignment horizontal="left" vertical="center"/>
      <protection hidden="1"/>
    </xf>
    <xf numFmtId="0" fontId="6" fillId="0" borderId="21" xfId="0" applyFont="1" applyBorder="1" applyAlignment="1">
      <alignment vertical="center" wrapText="1"/>
    </xf>
    <xf numFmtId="1" fontId="10" fillId="0" borderId="26" xfId="0" applyNumberFormat="1" applyFont="1" applyBorder="1" applyAlignment="1">
      <alignment horizontal="center"/>
    </xf>
    <xf numFmtId="164" fontId="11" fillId="0" borderId="21" xfId="0" applyNumberFormat="1" applyFont="1" applyBorder="1" applyAlignment="1" applyProtection="1">
      <alignment horizontal="center" vertical="center"/>
      <protection hidden="1"/>
    </xf>
    <xf numFmtId="9" fontId="11" fillId="0" borderId="0" xfId="0" applyNumberFormat="1" applyFont="1" applyAlignment="1" applyProtection="1">
      <alignment horizontal="left" vertical="center"/>
      <protection locked="0"/>
    </xf>
    <xf numFmtId="165" fontId="0" fillId="0" borderId="43" xfId="0" applyNumberFormat="1" applyBorder="1" applyAlignment="1">
      <alignment horizontal="center" vertical="center"/>
    </xf>
    <xf numFmtId="3" fontId="40" fillId="6" borderId="31" xfId="0" applyNumberFormat="1" applyFont="1" applyFill="1" applyBorder="1" applyAlignment="1" applyProtection="1">
      <alignment horizontal="center" vertical="center"/>
      <protection hidden="1"/>
    </xf>
    <xf numFmtId="3" fontId="40" fillId="6" borderId="18" xfId="0" applyNumberFormat="1" applyFont="1" applyFill="1" applyBorder="1" applyAlignment="1" applyProtection="1">
      <alignment horizontal="center" vertical="center"/>
      <protection hidden="1"/>
    </xf>
    <xf numFmtId="164" fontId="40" fillId="6" borderId="18" xfId="2" applyNumberFormat="1" applyFont="1" applyFill="1" applyBorder="1" applyAlignment="1" applyProtection="1">
      <alignment horizontal="center" vertical="center"/>
      <protection hidden="1"/>
    </xf>
    <xf numFmtId="0" fontId="11" fillId="0" borderId="222" xfId="0" applyFont="1" applyBorder="1" applyProtection="1">
      <protection hidden="1"/>
    </xf>
    <xf numFmtId="0" fontId="11" fillId="0" borderId="223" xfId="0" applyFont="1" applyBorder="1" applyProtection="1">
      <protection hidden="1"/>
    </xf>
    <xf numFmtId="3" fontId="11" fillId="0" borderId="223" xfId="0" applyNumberFormat="1" applyFont="1" applyBorder="1" applyProtection="1">
      <protection hidden="1"/>
    </xf>
    <xf numFmtId="0" fontId="11" fillId="0" borderId="223" xfId="0" applyFont="1" applyBorder="1"/>
    <xf numFmtId="3" fontId="11" fillId="0" borderId="223" xfId="0" applyNumberFormat="1" applyFont="1" applyBorder="1"/>
    <xf numFmtId="0" fontId="10" fillId="0" borderId="222" xfId="0" applyFont="1" applyBorder="1" applyProtection="1">
      <protection hidden="1"/>
    </xf>
    <xf numFmtId="0" fontId="10" fillId="0" borderId="223" xfId="0" applyFont="1" applyBorder="1" applyProtection="1">
      <protection hidden="1"/>
    </xf>
    <xf numFmtId="3" fontId="10" fillId="0" borderId="223" xfId="0" applyNumberFormat="1" applyFont="1" applyBorder="1" applyProtection="1">
      <protection hidden="1"/>
    </xf>
    <xf numFmtId="0" fontId="5" fillId="0" borderId="13" xfId="0" applyFont="1" applyBorder="1"/>
    <xf numFmtId="0" fontId="4" fillId="0" borderId="3" xfId="0" applyFont="1" applyBorder="1"/>
    <xf numFmtId="0" fontId="4" fillId="0" borderId="2" xfId="0" applyFont="1" applyBorder="1"/>
    <xf numFmtId="17" fontId="11" fillId="0" borderId="0" xfId="0" applyNumberFormat="1" applyFont="1" applyAlignment="1">
      <alignment horizontal="center" vertical="center"/>
    </xf>
    <xf numFmtId="3" fontId="11" fillId="0" borderId="0" xfId="0" applyNumberFormat="1" applyFont="1" applyAlignment="1" applyProtection="1">
      <alignment horizontal="right" vertical="center"/>
      <protection locked="0" hidden="1"/>
    </xf>
    <xf numFmtId="3" fontId="11" fillId="0" borderId="0" xfId="0" applyNumberFormat="1" applyFont="1" applyAlignment="1" applyProtection="1">
      <alignment horizontal="center" vertical="center"/>
      <protection locked="0" hidden="1"/>
    </xf>
    <xf numFmtId="3" fontId="11" fillId="0" borderId="0" xfId="0" applyNumberFormat="1" applyFont="1" applyAlignment="1" applyProtection="1">
      <alignment vertical="center"/>
      <protection locked="0" hidden="1"/>
    </xf>
    <xf numFmtId="0" fontId="11" fillId="8" borderId="0" xfId="0" applyFont="1" applyFill="1" applyAlignment="1">
      <alignment horizontal="center" vertical="center"/>
    </xf>
    <xf numFmtId="3" fontId="11" fillId="0" borderId="0" xfId="0" applyNumberFormat="1" applyFont="1" applyAlignment="1" applyProtection="1">
      <alignment vertical="center"/>
      <protection hidden="1"/>
    </xf>
    <xf numFmtId="0" fontId="11" fillId="0" borderId="11" xfId="0" applyFont="1" applyBorder="1" applyAlignment="1" applyProtection="1">
      <alignment vertical="center"/>
      <protection hidden="1"/>
    </xf>
    <xf numFmtId="0" fontId="0" fillId="0" borderId="11" xfId="0" applyBorder="1"/>
    <xf numFmtId="0" fontId="6" fillId="0" borderId="20" xfId="0" applyFont="1" applyBorder="1" applyAlignment="1" applyProtection="1">
      <alignment vertical="center"/>
      <protection hidden="1"/>
    </xf>
    <xf numFmtId="0" fontId="6" fillId="0" borderId="19" xfId="0" applyFont="1" applyBorder="1" applyAlignment="1" applyProtection="1">
      <alignment vertical="center"/>
      <protection hidden="1"/>
    </xf>
    <xf numFmtId="0" fontId="6" fillId="0" borderId="22" xfId="0" applyFont="1" applyBorder="1" applyAlignment="1" applyProtection="1">
      <alignment horizontal="center" vertical="center"/>
      <protection hidden="1"/>
    </xf>
    <xf numFmtId="0" fontId="6" fillId="0" borderId="20" xfId="0" applyFont="1" applyBorder="1" applyAlignment="1" applyProtection="1">
      <alignment horizontal="center" vertical="center"/>
      <protection hidden="1"/>
    </xf>
    <xf numFmtId="0" fontId="6" fillId="0" borderId="20" xfId="0" applyFont="1" applyBorder="1" applyAlignment="1">
      <alignment horizontal="center" vertical="center"/>
    </xf>
    <xf numFmtId="0" fontId="6" fillId="0" borderId="23" xfId="0" applyFont="1" applyBorder="1" applyAlignment="1">
      <alignment horizontal="center" vertical="center"/>
    </xf>
    <xf numFmtId="0" fontId="6" fillId="0" borderId="9" xfId="0" applyFont="1" applyBorder="1" applyAlignment="1" applyProtection="1">
      <alignment horizontal="center" vertical="center"/>
      <protection hidden="1"/>
    </xf>
    <xf numFmtId="0" fontId="6" fillId="0" borderId="19" xfId="0" applyFont="1" applyBorder="1" applyAlignment="1">
      <alignment horizontal="center" vertical="center"/>
    </xf>
    <xf numFmtId="0" fontId="6" fillId="0" borderId="22" xfId="0" applyFont="1" applyBorder="1" applyAlignment="1">
      <alignment horizontal="center" vertical="center"/>
    </xf>
    <xf numFmtId="0" fontId="6" fillId="0" borderId="32" xfId="0" applyFont="1" applyBorder="1" applyAlignment="1" applyProtection="1">
      <alignment vertical="center"/>
      <protection hidden="1"/>
    </xf>
    <xf numFmtId="0" fontId="6" fillId="0" borderId="24" xfId="0" applyFont="1" applyBorder="1" applyAlignment="1" applyProtection="1">
      <alignment vertical="center"/>
      <protection hidden="1"/>
    </xf>
    <xf numFmtId="0" fontId="6" fillId="0" borderId="51" xfId="0" applyFont="1" applyBorder="1" applyAlignment="1" applyProtection="1">
      <alignment horizontal="center" vertical="center"/>
      <protection hidden="1"/>
    </xf>
    <xf numFmtId="0" fontId="6" fillId="0" borderId="32" xfId="0" applyFont="1" applyBorder="1" applyAlignment="1" applyProtection="1">
      <alignment horizontal="center" vertical="center"/>
      <protection hidden="1"/>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6" fillId="0" borderId="58" xfId="0" applyFont="1" applyBorder="1" applyAlignment="1" applyProtection="1">
      <alignment horizontal="center" vertical="center"/>
      <protection hidden="1"/>
    </xf>
    <xf numFmtId="0" fontId="6" fillId="0" borderId="24" xfId="0" applyFont="1" applyBorder="1" applyAlignment="1">
      <alignment horizontal="center" vertical="center"/>
    </xf>
    <xf numFmtId="0" fontId="6" fillId="0" borderId="51" xfId="0" applyFont="1" applyBorder="1" applyAlignment="1">
      <alignment horizontal="center" vertical="center"/>
    </xf>
    <xf numFmtId="3" fontId="6" fillId="0" borderId="18" xfId="0" applyNumberFormat="1" applyFont="1" applyBorder="1" applyAlignment="1" applyProtection="1">
      <alignment horizontal="center" vertical="center"/>
      <protection hidden="1"/>
    </xf>
    <xf numFmtId="164" fontId="6" fillId="0" borderId="18" xfId="2" applyNumberFormat="1" applyFont="1" applyFill="1" applyBorder="1" applyAlignment="1" applyProtection="1">
      <alignment horizontal="center" vertical="center"/>
      <protection hidden="1"/>
    </xf>
    <xf numFmtId="3" fontId="6" fillId="5" borderId="20" xfId="2" applyNumberFormat="1" applyFont="1" applyFill="1" applyBorder="1" applyAlignment="1">
      <alignment horizontal="center" vertical="center"/>
    </xf>
    <xf numFmtId="3" fontId="47" fillId="0" borderId="35" xfId="2" applyNumberFormat="1" applyFont="1" applyBorder="1" applyAlignment="1" applyProtection="1">
      <alignment horizontal="center" vertical="center"/>
      <protection locked="0"/>
    </xf>
    <xf numFmtId="3" fontId="6" fillId="5" borderId="18" xfId="0" applyNumberFormat="1" applyFont="1" applyFill="1" applyBorder="1" applyAlignment="1">
      <alignment horizontal="center" vertical="center"/>
    </xf>
    <xf numFmtId="3" fontId="6" fillId="0" borderId="43" xfId="0" applyNumberFormat="1" applyFont="1" applyBorder="1" applyAlignment="1" applyProtection="1">
      <alignment horizontal="center" vertical="center"/>
      <protection hidden="1"/>
    </xf>
    <xf numFmtId="3" fontId="47" fillId="0" borderId="21" xfId="2" applyNumberFormat="1" applyFont="1" applyBorder="1" applyAlignment="1" applyProtection="1">
      <alignment horizontal="center" vertical="center"/>
      <protection locked="0"/>
    </xf>
    <xf numFmtId="3" fontId="6" fillId="0" borderId="36" xfId="0" applyNumberFormat="1" applyFont="1" applyBorder="1" applyAlignment="1">
      <alignment horizontal="center" vertical="center"/>
    </xf>
    <xf numFmtId="3" fontId="6" fillId="0" borderId="18" xfId="0" applyNumberFormat="1" applyFont="1" applyBorder="1" applyAlignment="1">
      <alignment horizontal="center" vertical="center"/>
    </xf>
    <xf numFmtId="3" fontId="6" fillId="0" borderId="35" xfId="0" applyNumberFormat="1" applyFont="1" applyBorder="1" applyAlignment="1">
      <alignment horizontal="center" vertical="center"/>
    </xf>
    <xf numFmtId="3" fontId="40" fillId="0" borderId="18" xfId="0" applyNumberFormat="1" applyFont="1" applyBorder="1" applyAlignment="1">
      <alignment horizontal="center" vertical="center"/>
    </xf>
    <xf numFmtId="167" fontId="11" fillId="0" borderId="35" xfId="0" applyNumberFormat="1" applyFont="1" applyBorder="1" applyAlignment="1" applyProtection="1">
      <alignment horizontal="center"/>
      <protection hidden="1"/>
    </xf>
    <xf numFmtId="1" fontId="4" fillId="0" borderId="24" xfId="0" applyNumberFormat="1" applyFont="1" applyBorder="1" applyAlignment="1">
      <alignment horizontal="left" vertical="center"/>
    </xf>
    <xf numFmtId="14" fontId="10" fillId="0" borderId="17" xfId="0" applyNumberFormat="1" applyFont="1" applyBorder="1" applyAlignment="1">
      <alignment vertical="center"/>
    </xf>
    <xf numFmtId="0" fontId="11" fillId="0" borderId="100" xfId="0" applyFont="1" applyBorder="1"/>
    <xf numFmtId="0" fontId="11" fillId="0" borderId="31" xfId="0" applyFont="1" applyBorder="1" applyAlignment="1">
      <alignment horizontal="left" vertical="center"/>
    </xf>
    <xf numFmtId="0" fontId="5" fillId="0" borderId="19" xfId="0" applyFont="1" applyBorder="1" applyProtection="1">
      <protection locked="0"/>
    </xf>
    <xf numFmtId="0" fontId="0" fillId="0" borderId="8" xfId="0" applyBorder="1"/>
    <xf numFmtId="0" fontId="0" fillId="0" borderId="9" xfId="0" applyBorder="1"/>
    <xf numFmtId="0" fontId="49" fillId="0" borderId="26" xfId="0" applyFont="1" applyBorder="1" applyAlignment="1" applyProtection="1">
      <alignment vertical="center"/>
      <protection locked="0"/>
    </xf>
    <xf numFmtId="0" fontId="50" fillId="0" borderId="26" xfId="0" applyFont="1" applyBorder="1" applyAlignment="1" applyProtection="1">
      <alignment vertical="center"/>
      <protection locked="0"/>
    </xf>
    <xf numFmtId="0" fontId="10" fillId="0" borderId="0" xfId="0" applyFont="1" applyAlignment="1" applyProtection="1">
      <alignment vertical="center"/>
      <protection locked="0"/>
    </xf>
    <xf numFmtId="0" fontId="10" fillId="0" borderId="31" xfId="0" applyFont="1" applyBorder="1" applyAlignment="1" applyProtection="1">
      <alignment vertical="center"/>
      <protection locked="0"/>
    </xf>
    <xf numFmtId="0" fontId="10" fillId="0" borderId="26" xfId="0" applyFont="1" applyBorder="1" applyAlignment="1" applyProtection="1">
      <alignment vertical="center"/>
      <protection locked="0"/>
    </xf>
    <xf numFmtId="0" fontId="11" fillId="0" borderId="0" xfId="2" applyNumberFormat="1" applyFont="1" applyBorder="1" applyAlignment="1" applyProtection="1">
      <alignment vertical="center"/>
      <protection locked="0"/>
    </xf>
    <xf numFmtId="0" fontId="44" fillId="0" borderId="0" xfId="0" applyFont="1" applyAlignment="1" applyProtection="1">
      <alignment vertical="center"/>
      <protection locked="0"/>
    </xf>
    <xf numFmtId="0" fontId="11" fillId="0" borderId="26" xfId="0" applyFont="1" applyBorder="1" applyAlignment="1">
      <alignment horizontal="left" vertical="center"/>
    </xf>
    <xf numFmtId="0" fontId="54" fillId="0" borderId="26" xfId="0" applyFont="1" applyBorder="1" applyProtection="1">
      <protection hidden="1"/>
    </xf>
    <xf numFmtId="0" fontId="37" fillId="0" borderId="26" xfId="0" applyFont="1" applyBorder="1" applyAlignment="1" applyProtection="1">
      <alignment vertical="center"/>
      <protection locked="0"/>
    </xf>
    <xf numFmtId="0" fontId="10" fillId="0" borderId="0" xfId="0" applyFont="1" applyAlignment="1" applyProtection="1">
      <alignment horizontal="center"/>
      <protection locked="0"/>
    </xf>
    <xf numFmtId="0" fontId="36" fillId="7" borderId="43" xfId="0" applyFont="1" applyFill="1" applyBorder="1" applyAlignment="1" applyProtection="1">
      <alignment vertical="center"/>
      <protection locked="0"/>
    </xf>
    <xf numFmtId="0" fontId="11" fillId="2" borderId="17" xfId="0" applyFont="1" applyFill="1" applyBorder="1" applyAlignment="1" applyProtection="1">
      <alignment vertical="center"/>
      <protection locked="0"/>
    </xf>
    <xf numFmtId="0" fontId="11" fillId="0" borderId="24" xfId="0" applyFont="1" applyBorder="1"/>
    <xf numFmtId="0" fontId="11" fillId="0" borderId="17" xfId="0" applyFont="1" applyBorder="1"/>
    <xf numFmtId="0" fontId="4" fillId="0" borderId="24" xfId="0" applyFont="1" applyBorder="1" applyAlignment="1" applyProtection="1">
      <alignment horizontal="left" vertical="center"/>
      <protection locked="0"/>
    </xf>
    <xf numFmtId="0" fontId="4" fillId="0" borderId="17" xfId="0" applyFont="1" applyBorder="1" applyAlignment="1" applyProtection="1">
      <alignment horizontal="left" vertical="center"/>
      <protection locked="0"/>
    </xf>
    <xf numFmtId="0" fontId="15" fillId="2" borderId="17" xfId="0" applyFont="1" applyFill="1" applyBorder="1"/>
    <xf numFmtId="0" fontId="4" fillId="0" borderId="8" xfId="0" applyFont="1" applyBorder="1"/>
    <xf numFmtId="0" fontId="15" fillId="2" borderId="8" xfId="0" applyFont="1" applyFill="1" applyBorder="1"/>
    <xf numFmtId="164" fontId="4" fillId="0" borderId="8" xfId="0" applyNumberFormat="1" applyFont="1" applyBorder="1"/>
    <xf numFmtId="0" fontId="36" fillId="0" borderId="0" xfId="0" applyFont="1" applyAlignment="1">
      <alignment vertical="center"/>
    </xf>
    <xf numFmtId="0" fontId="11" fillId="2" borderId="0" xfId="0" applyFont="1" applyFill="1" applyAlignment="1">
      <alignment vertical="center"/>
    </xf>
    <xf numFmtId="0" fontId="11" fillId="0" borderId="0" xfId="0" applyFont="1" applyAlignment="1">
      <alignment horizontal="left"/>
    </xf>
    <xf numFmtId="0" fontId="11" fillId="2" borderId="17" xfId="0" applyFont="1" applyFill="1" applyBorder="1" applyAlignment="1">
      <alignment vertical="center"/>
    </xf>
    <xf numFmtId="0" fontId="74" fillId="13" borderId="107" xfId="0" applyFont="1" applyFill="1" applyBorder="1" applyAlignment="1">
      <alignment horizontal="center" vertical="center"/>
    </xf>
    <xf numFmtId="0" fontId="74" fillId="13" borderId="163" xfId="0" applyFont="1" applyFill="1" applyBorder="1" applyAlignment="1">
      <alignment horizontal="center" vertical="center"/>
    </xf>
    <xf numFmtId="0" fontId="74" fillId="13" borderId="132" xfId="0" applyFont="1" applyFill="1" applyBorder="1" applyAlignment="1">
      <alignment horizontal="center" vertical="center"/>
    </xf>
    <xf numFmtId="0" fontId="74" fillId="13" borderId="46" xfId="0" applyFont="1" applyFill="1" applyBorder="1" applyAlignment="1">
      <alignment horizontal="center" vertical="center" wrapText="1"/>
    </xf>
    <xf numFmtId="0" fontId="75" fillId="13" borderId="50" xfId="0" applyFont="1" applyFill="1" applyBorder="1" applyAlignment="1">
      <alignment horizontal="center" vertical="center" wrapText="1"/>
    </xf>
    <xf numFmtId="0" fontId="10" fillId="3" borderId="14" xfId="0" applyFont="1" applyFill="1" applyBorder="1" applyAlignment="1">
      <alignment vertical="center"/>
    </xf>
    <xf numFmtId="0" fontId="10" fillId="3" borderId="4" xfId="0" applyFont="1" applyFill="1" applyBorder="1" applyAlignment="1">
      <alignment vertical="center"/>
    </xf>
    <xf numFmtId="49" fontId="76" fillId="13" borderId="40" xfId="0" applyNumberFormat="1" applyFont="1" applyFill="1" applyBorder="1" applyAlignment="1">
      <alignment horizontal="center" vertical="center"/>
    </xf>
    <xf numFmtId="0" fontId="76" fillId="13" borderId="33" xfId="0" applyFont="1" applyFill="1" applyBorder="1" applyAlignment="1">
      <alignment horizontal="center" vertical="center"/>
    </xf>
    <xf numFmtId="0" fontId="10" fillId="3" borderId="184" xfId="0" applyFont="1" applyFill="1" applyBorder="1" applyAlignment="1">
      <alignment horizontal="right" vertical="center" wrapText="1" indent="1"/>
    </xf>
    <xf numFmtId="0" fontId="67" fillId="13" borderId="29" xfId="0" applyFont="1" applyFill="1" applyBorder="1" applyAlignment="1">
      <alignment horizontal="center" vertical="center"/>
    </xf>
    <xf numFmtId="0" fontId="67" fillId="13" borderId="30" xfId="0" applyFont="1" applyFill="1" applyBorder="1" applyAlignment="1">
      <alignment horizontal="center" vertical="center"/>
    </xf>
    <xf numFmtId="1" fontId="71" fillId="13" borderId="32" xfId="0" applyNumberFormat="1" applyFont="1" applyFill="1" applyBorder="1" applyAlignment="1" applyProtection="1">
      <alignment horizontal="center" vertical="center"/>
      <protection hidden="1"/>
    </xf>
    <xf numFmtId="1" fontId="71" fillId="13" borderId="33" xfId="0" applyNumberFormat="1" applyFont="1" applyFill="1" applyBorder="1" applyAlignment="1" applyProtection="1">
      <alignment horizontal="center" vertical="center"/>
      <protection hidden="1"/>
    </xf>
    <xf numFmtId="1" fontId="71" fillId="13" borderId="26" xfId="0" applyNumberFormat="1" applyFont="1" applyFill="1" applyBorder="1" applyAlignment="1" applyProtection="1">
      <alignment horizontal="center" vertical="center"/>
      <protection hidden="1"/>
    </xf>
    <xf numFmtId="1" fontId="71" fillId="13" borderId="60" xfId="0" applyNumberFormat="1" applyFont="1" applyFill="1" applyBorder="1" applyAlignment="1" applyProtection="1">
      <alignment horizontal="center" vertical="center"/>
      <protection hidden="1"/>
    </xf>
    <xf numFmtId="0" fontId="72" fillId="13" borderId="13" xfId="0" applyFont="1" applyFill="1" applyBorder="1" applyAlignment="1">
      <alignment horizontal="center" vertical="center"/>
    </xf>
    <xf numFmtId="0" fontId="72" fillId="13" borderId="3" xfId="0" applyFont="1" applyFill="1" applyBorder="1" applyAlignment="1">
      <alignment vertical="center"/>
    </xf>
    <xf numFmtId="0" fontId="72" fillId="13" borderId="10" xfId="0" applyFont="1" applyFill="1" applyBorder="1" applyAlignment="1">
      <alignment vertical="center"/>
    </xf>
    <xf numFmtId="0" fontId="73" fillId="13" borderId="27" xfId="0" applyFont="1" applyFill="1" applyBorder="1" applyAlignment="1">
      <alignment horizontal="left" vertical="center"/>
    </xf>
    <xf numFmtId="0" fontId="77" fillId="13" borderId="0" xfId="0" applyFont="1" applyFill="1" applyAlignment="1">
      <alignment vertical="center"/>
    </xf>
    <xf numFmtId="0" fontId="72" fillId="13" borderId="31" xfId="0" applyFont="1" applyFill="1" applyBorder="1" applyAlignment="1">
      <alignment vertical="center"/>
    </xf>
    <xf numFmtId="1" fontId="71" fillId="13" borderId="59" xfId="0" applyNumberFormat="1" applyFont="1" applyFill="1" applyBorder="1" applyAlignment="1">
      <alignment horizontal="center" vertical="center"/>
    </xf>
    <xf numFmtId="1" fontId="71" fillId="13" borderId="32" xfId="0" applyNumberFormat="1" applyFont="1" applyFill="1" applyBorder="1" applyAlignment="1">
      <alignment horizontal="center" vertical="center"/>
    </xf>
    <xf numFmtId="1" fontId="71" fillId="13" borderId="33" xfId="0" applyNumberFormat="1" applyFont="1" applyFill="1" applyBorder="1" applyAlignment="1">
      <alignment horizontal="center" vertical="center"/>
    </xf>
    <xf numFmtId="0" fontId="77" fillId="13" borderId="14" xfId="0" applyFont="1" applyFill="1" applyBorder="1" applyAlignment="1">
      <alignment horizontal="center" vertical="center"/>
    </xf>
    <xf numFmtId="168" fontId="72" fillId="13" borderId="59" xfId="0" applyNumberFormat="1" applyFont="1" applyFill="1" applyBorder="1" applyAlignment="1">
      <alignment horizontal="center" vertical="center"/>
    </xf>
    <xf numFmtId="168" fontId="72" fillId="13" borderId="38" xfId="0" applyNumberFormat="1" applyFont="1" applyFill="1" applyBorder="1" applyAlignment="1">
      <alignment horizontal="center" vertical="center"/>
    </xf>
    <xf numFmtId="168" fontId="72" fillId="13" borderId="23" xfId="0" applyNumberFormat="1" applyFont="1" applyFill="1" applyBorder="1" applyAlignment="1">
      <alignment horizontal="center" vertical="center"/>
    </xf>
    <xf numFmtId="0" fontId="67" fillId="13" borderId="10" xfId="0" applyFont="1" applyFill="1" applyBorder="1" applyAlignment="1" applyProtection="1">
      <alignment horizontal="center" vertical="center"/>
      <protection hidden="1"/>
    </xf>
    <xf numFmtId="0" fontId="67" fillId="13" borderId="29" xfId="0" applyFont="1" applyFill="1" applyBorder="1" applyAlignment="1" applyProtection="1">
      <alignment horizontal="center" vertical="center"/>
      <protection hidden="1"/>
    </xf>
    <xf numFmtId="3" fontId="67" fillId="13" borderId="30" xfId="0" applyNumberFormat="1" applyFont="1" applyFill="1" applyBorder="1" applyAlignment="1">
      <alignment horizontal="center" vertical="center"/>
    </xf>
    <xf numFmtId="1" fontId="71" fillId="13" borderId="108" xfId="0" applyNumberFormat="1" applyFont="1" applyFill="1" applyBorder="1" applyAlignment="1" applyProtection="1">
      <alignment horizontal="center" vertical="center"/>
      <protection hidden="1"/>
    </xf>
    <xf numFmtId="1" fontId="71" fillId="13" borderId="59" xfId="0" applyNumberFormat="1" applyFont="1" applyFill="1" applyBorder="1" applyAlignment="1" applyProtection="1">
      <alignment horizontal="center" vertical="center"/>
      <protection hidden="1"/>
    </xf>
    <xf numFmtId="3" fontId="67" fillId="13" borderId="29" xfId="0" applyNumberFormat="1" applyFont="1" applyFill="1" applyBorder="1" applyAlignment="1">
      <alignment horizontal="center" vertical="center"/>
    </xf>
    <xf numFmtId="3" fontId="67" fillId="13" borderId="29" xfId="0" applyNumberFormat="1" applyFont="1" applyFill="1" applyBorder="1" applyAlignment="1" applyProtection="1">
      <alignment horizontal="center" vertical="center"/>
      <protection hidden="1"/>
    </xf>
    <xf numFmtId="3" fontId="67" fillId="13" borderId="30" xfId="0" applyNumberFormat="1" applyFont="1" applyFill="1" applyBorder="1" applyAlignment="1" applyProtection="1">
      <alignment horizontal="center" vertical="center"/>
      <protection hidden="1"/>
    </xf>
    <xf numFmtId="0" fontId="75" fillId="13" borderId="18" xfId="0" applyFont="1" applyFill="1" applyBorder="1" applyAlignment="1" applyProtection="1">
      <alignment horizontal="center" vertical="center"/>
      <protection hidden="1"/>
    </xf>
    <xf numFmtId="1" fontId="75" fillId="13" borderId="35" xfId="0" applyNumberFormat="1" applyFont="1" applyFill="1" applyBorder="1" applyAlignment="1" applyProtection="1">
      <alignment horizontal="center"/>
      <protection hidden="1"/>
    </xf>
    <xf numFmtId="0" fontId="75" fillId="13" borderId="27" xfId="0" applyFont="1" applyFill="1" applyBorder="1" applyAlignment="1">
      <alignment horizontal="center" vertical="center"/>
    </xf>
    <xf numFmtId="0" fontId="75" fillId="13" borderId="0" xfId="0" applyFont="1" applyFill="1" applyAlignment="1">
      <alignment horizontal="center" vertical="center"/>
    </xf>
    <xf numFmtId="0" fontId="75" fillId="13" borderId="28" xfId="0" applyFont="1" applyFill="1" applyBorder="1" applyAlignment="1">
      <alignment horizontal="center" vertical="center"/>
    </xf>
    <xf numFmtId="49" fontId="75" fillId="13" borderId="27" xfId="0" applyNumberFormat="1" applyFont="1" applyFill="1" applyBorder="1" applyAlignment="1">
      <alignment horizontal="center"/>
    </xf>
    <xf numFmtId="0" fontId="75" fillId="13" borderId="28" xfId="0" applyFont="1" applyFill="1" applyBorder="1" applyAlignment="1">
      <alignment horizontal="center"/>
    </xf>
    <xf numFmtId="49" fontId="75" fillId="13" borderId="12" xfId="0" applyNumberFormat="1" applyFont="1" applyFill="1" applyBorder="1" applyAlignment="1">
      <alignment horizontal="center"/>
    </xf>
    <xf numFmtId="0" fontId="75" fillId="13" borderId="23" xfId="0" applyFont="1" applyFill="1" applyBorder="1" applyAlignment="1">
      <alignment horizontal="center"/>
    </xf>
    <xf numFmtId="0" fontId="75" fillId="13" borderId="14" xfId="0" applyFont="1" applyFill="1" applyBorder="1" applyAlignment="1">
      <alignment horizontal="center" vertical="center"/>
    </xf>
    <xf numFmtId="0" fontId="75" fillId="13" borderId="34" xfId="0" applyFont="1" applyFill="1" applyBorder="1" applyAlignment="1">
      <alignment horizontal="center" vertical="center"/>
    </xf>
    <xf numFmtId="0" fontId="74" fillId="13" borderId="68" xfId="0" applyFont="1" applyFill="1" applyBorder="1" applyAlignment="1">
      <alignment horizontal="right" vertical="center" indent="1"/>
    </xf>
    <xf numFmtId="49" fontId="75" fillId="13" borderId="14" xfId="0" applyNumberFormat="1" applyFont="1" applyFill="1" applyBorder="1" applyAlignment="1">
      <alignment horizontal="center"/>
    </xf>
    <xf numFmtId="0" fontId="75" fillId="13" borderId="68" xfId="0" applyFont="1" applyFill="1" applyBorder="1" applyAlignment="1">
      <alignment horizontal="center"/>
    </xf>
    <xf numFmtId="0" fontId="74" fillId="13" borderId="41" xfId="0" applyFont="1" applyFill="1" applyBorder="1" applyAlignment="1">
      <alignment horizontal="center"/>
    </xf>
    <xf numFmtId="0" fontId="74" fillId="13" borderId="54" xfId="0" applyFont="1" applyFill="1" applyBorder="1" applyAlignment="1">
      <alignment horizontal="center"/>
    </xf>
    <xf numFmtId="0" fontId="75" fillId="13" borderId="54" xfId="0" applyFont="1" applyFill="1" applyBorder="1" applyAlignment="1">
      <alignment horizontal="center"/>
    </xf>
    <xf numFmtId="0" fontId="75" fillId="13" borderId="6" xfId="0" applyFont="1" applyFill="1" applyBorder="1" applyAlignment="1" applyProtection="1">
      <alignment horizontal="center" vertical="center"/>
      <protection hidden="1"/>
    </xf>
    <xf numFmtId="0" fontId="67" fillId="13" borderId="32" xfId="0" applyFont="1" applyFill="1" applyBorder="1" applyAlignment="1">
      <alignment horizontal="center" vertical="center"/>
    </xf>
    <xf numFmtId="17" fontId="75" fillId="13" borderId="32" xfId="0" applyNumberFormat="1" applyFont="1" applyFill="1" applyBorder="1" applyAlignment="1" applyProtection="1">
      <alignment horizontal="center" vertical="center"/>
      <protection hidden="1"/>
    </xf>
    <xf numFmtId="0" fontId="74" fillId="13" borderId="90" xfId="0" applyFont="1" applyFill="1" applyBorder="1" applyAlignment="1" applyProtection="1">
      <alignment vertical="center"/>
      <protection hidden="1"/>
    </xf>
    <xf numFmtId="0" fontId="76" fillId="13" borderId="0" xfId="0" applyFont="1" applyFill="1" applyAlignment="1">
      <alignment vertical="center"/>
    </xf>
    <xf numFmtId="0" fontId="72" fillId="13" borderId="0" xfId="0" applyFont="1" applyFill="1"/>
    <xf numFmtId="0" fontId="67" fillId="13" borderId="0" xfId="0" applyFont="1" applyFill="1" applyAlignment="1">
      <alignment horizontal="center"/>
    </xf>
    <xf numFmtId="0" fontId="67" fillId="13" borderId="88" xfId="0" applyFont="1" applyFill="1" applyBorder="1" applyAlignment="1">
      <alignment horizontal="left" vertical="center"/>
    </xf>
    <xf numFmtId="0" fontId="67" fillId="13" borderId="88" xfId="0" applyFont="1" applyFill="1" applyBorder="1" applyAlignment="1">
      <alignment horizontal="center" vertical="center"/>
    </xf>
    <xf numFmtId="0" fontId="72" fillId="13" borderId="0" xfId="0" applyFont="1" applyFill="1" applyAlignment="1" applyProtection="1">
      <alignment horizontal="left" vertical="center"/>
      <protection hidden="1"/>
    </xf>
    <xf numFmtId="0" fontId="67" fillId="13" borderId="105" xfId="0" applyFont="1" applyFill="1" applyBorder="1" applyAlignment="1" applyProtection="1">
      <alignment horizontal="center"/>
      <protection hidden="1"/>
    </xf>
    <xf numFmtId="0" fontId="11" fillId="0" borderId="21" xfId="0" applyFont="1" applyBorder="1" applyAlignment="1">
      <alignment horizontal="left" vertical="center" indent="1"/>
    </xf>
    <xf numFmtId="0" fontId="6" fillId="7" borderId="104" xfId="0" applyFont="1" applyFill="1" applyBorder="1" applyAlignment="1" applyProtection="1">
      <alignment horizontal="left" vertical="center" indent="1"/>
      <protection locked="0"/>
    </xf>
    <xf numFmtId="0" fontId="72" fillId="13" borderId="91" xfId="0" applyFont="1" applyFill="1" applyBorder="1" applyAlignment="1">
      <alignment horizontal="center" vertical="center"/>
    </xf>
    <xf numFmtId="0" fontId="72" fillId="13" borderId="93" xfId="0" applyFont="1" applyFill="1" applyBorder="1" applyAlignment="1">
      <alignment vertical="center"/>
    </xf>
    <xf numFmtId="0" fontId="72" fillId="13" borderId="106" xfId="0" applyFont="1" applyFill="1" applyBorder="1" applyAlignment="1">
      <alignment vertical="center"/>
    </xf>
    <xf numFmtId="0" fontId="67" fillId="13" borderId="107" xfId="0" applyFont="1" applyFill="1" applyBorder="1" applyAlignment="1" applyProtection="1">
      <alignment horizontal="center" vertical="center"/>
      <protection hidden="1"/>
    </xf>
    <xf numFmtId="0" fontId="67" fillId="13" borderId="107" xfId="0" applyFont="1" applyFill="1" applyBorder="1" applyAlignment="1">
      <alignment horizontal="center" vertical="center"/>
    </xf>
    <xf numFmtId="0" fontId="67" fillId="13" borderId="156" xfId="0" applyFont="1" applyFill="1" applyBorder="1" applyAlignment="1">
      <alignment horizontal="center" vertical="center"/>
    </xf>
    <xf numFmtId="1" fontId="71" fillId="13" borderId="24" xfId="0" applyNumberFormat="1" applyFont="1" applyFill="1" applyBorder="1" applyAlignment="1" applyProtection="1">
      <alignment horizontal="center" vertical="center"/>
      <protection hidden="1"/>
    </xf>
    <xf numFmtId="1" fontId="71" fillId="13" borderId="157" xfId="0" applyNumberFormat="1" applyFont="1" applyFill="1" applyBorder="1" applyAlignment="1" applyProtection="1">
      <alignment horizontal="center" vertical="center"/>
      <protection hidden="1"/>
    </xf>
    <xf numFmtId="0" fontId="77" fillId="13" borderId="101" xfId="0" applyFont="1" applyFill="1" applyBorder="1" applyAlignment="1">
      <alignment horizontal="center" vertical="center"/>
    </xf>
    <xf numFmtId="168" fontId="72" fillId="13" borderId="61" xfId="0" applyNumberFormat="1" applyFont="1" applyFill="1" applyBorder="1" applyAlignment="1" applyProtection="1">
      <alignment horizontal="center" vertical="center"/>
      <protection hidden="1"/>
    </xf>
    <xf numFmtId="168" fontId="72" fillId="13" borderId="141" xfId="0" applyNumberFormat="1" applyFont="1" applyFill="1" applyBorder="1" applyAlignment="1">
      <alignment horizontal="center" vertical="center"/>
    </xf>
    <xf numFmtId="0" fontId="67" fillId="13" borderId="53" xfId="0" applyFont="1" applyFill="1" applyBorder="1" applyAlignment="1" applyProtection="1">
      <alignment horizontal="center" vertical="center"/>
      <protection hidden="1"/>
    </xf>
    <xf numFmtId="0" fontId="67" fillId="13" borderId="30" xfId="0" applyFont="1" applyFill="1" applyBorder="1" applyAlignment="1" applyProtection="1">
      <alignment horizontal="center" vertical="center"/>
      <protection hidden="1"/>
    </xf>
    <xf numFmtId="0" fontId="77" fillId="13" borderId="27" xfId="0" applyFont="1" applyFill="1" applyBorder="1" applyAlignment="1">
      <alignment horizontal="center" vertical="center"/>
    </xf>
    <xf numFmtId="168" fontId="71" fillId="13" borderId="20" xfId="0" applyNumberFormat="1" applyFont="1" applyFill="1" applyBorder="1" applyAlignment="1">
      <alignment horizontal="center" vertical="center"/>
    </xf>
    <xf numFmtId="168" fontId="72" fillId="13" borderId="54" xfId="0" applyNumberFormat="1" applyFont="1" applyFill="1" applyBorder="1" applyAlignment="1">
      <alignment horizontal="center" vertical="center"/>
    </xf>
    <xf numFmtId="0" fontId="10" fillId="0" borderId="100" xfId="0" applyFont="1" applyBorder="1" applyAlignment="1" applyProtection="1">
      <alignment horizontal="center"/>
      <protection hidden="1"/>
    </xf>
    <xf numFmtId="0" fontId="11" fillId="0" borderId="100" xfId="0" applyFont="1" applyBorder="1" applyAlignment="1" applyProtection="1">
      <alignment horizontal="center"/>
      <protection hidden="1"/>
    </xf>
    <xf numFmtId="0" fontId="6" fillId="0" borderId="100" xfId="0" applyFont="1" applyBorder="1" applyAlignment="1" applyProtection="1">
      <alignment horizontal="center"/>
      <protection hidden="1"/>
    </xf>
    <xf numFmtId="0" fontId="2" fillId="0" borderId="100" xfId="0" applyFont="1" applyBorder="1" applyAlignment="1" applyProtection="1">
      <alignment horizontal="center"/>
      <protection hidden="1"/>
    </xf>
    <xf numFmtId="0" fontId="11" fillId="8" borderId="125" xfId="0" applyFont="1" applyFill="1" applyBorder="1" applyAlignment="1" applyProtection="1">
      <alignment horizontal="left" vertical="center"/>
      <protection locked="0"/>
    </xf>
    <xf numFmtId="0" fontId="67" fillId="13" borderId="0" xfId="0" applyFont="1" applyFill="1" applyAlignment="1" applyProtection="1">
      <alignment horizontal="center"/>
      <protection hidden="1"/>
    </xf>
    <xf numFmtId="0" fontId="11" fillId="7" borderId="88" xfId="0" applyFont="1" applyFill="1" applyBorder="1" applyAlignment="1" applyProtection="1">
      <alignment horizontal="left" vertical="center"/>
      <protection locked="0"/>
    </xf>
    <xf numFmtId="0" fontId="11" fillId="7" borderId="88" xfId="0" applyFont="1" applyFill="1" applyBorder="1"/>
    <xf numFmtId="0" fontId="71" fillId="13" borderId="87" xfId="0" applyFont="1" applyFill="1" applyBorder="1" applyAlignment="1" applyProtection="1">
      <alignment horizontal="left" vertical="center"/>
      <protection hidden="1"/>
    </xf>
    <xf numFmtId="0" fontId="67" fillId="13" borderId="120" xfId="0" applyFont="1" applyFill="1" applyBorder="1" applyAlignment="1" applyProtection="1">
      <alignment horizontal="center" vertical="center"/>
      <protection hidden="1"/>
    </xf>
    <xf numFmtId="0" fontId="67" fillId="13" borderId="86" xfId="0" applyFont="1" applyFill="1" applyBorder="1" applyAlignment="1" applyProtection="1">
      <alignment horizontal="left" vertical="center"/>
      <protection hidden="1"/>
    </xf>
    <xf numFmtId="0" fontId="67" fillId="13" borderId="87" xfId="0" applyFont="1" applyFill="1" applyBorder="1" applyAlignment="1" applyProtection="1">
      <alignment horizontal="left" vertical="center"/>
      <protection hidden="1"/>
    </xf>
    <xf numFmtId="0" fontId="71" fillId="13" borderId="89" xfId="0" applyFont="1" applyFill="1" applyBorder="1" applyAlignment="1" applyProtection="1">
      <alignment horizontal="left" vertical="center"/>
      <protection hidden="1"/>
    </xf>
    <xf numFmtId="1" fontId="67" fillId="13" borderId="119" xfId="0" applyNumberFormat="1" applyFont="1" applyFill="1" applyBorder="1" applyAlignment="1" applyProtection="1">
      <alignment horizontal="center" vertical="center"/>
      <protection hidden="1"/>
    </xf>
    <xf numFmtId="0" fontId="67" fillId="13" borderId="88" xfId="0" applyFont="1" applyFill="1" applyBorder="1" applyAlignment="1" applyProtection="1">
      <alignment horizontal="left" vertical="center"/>
      <protection hidden="1"/>
    </xf>
    <xf numFmtId="0" fontId="67" fillId="13" borderId="89" xfId="0" applyFont="1" applyFill="1" applyBorder="1" applyAlignment="1" applyProtection="1">
      <alignment horizontal="left" vertical="center"/>
      <protection hidden="1"/>
    </xf>
    <xf numFmtId="0" fontId="0" fillId="0" borderId="191" xfId="0" applyBorder="1"/>
    <xf numFmtId="0" fontId="10" fillId="0" borderId="225" xfId="0" applyFont="1" applyBorder="1" applyAlignment="1" applyProtection="1">
      <alignment vertical="center"/>
      <protection hidden="1"/>
    </xf>
    <xf numFmtId="0" fontId="10" fillId="0" borderId="85" xfId="0" applyFont="1" applyBorder="1" applyAlignment="1" applyProtection="1">
      <alignment horizontal="left" vertical="center"/>
      <protection hidden="1"/>
    </xf>
    <xf numFmtId="0" fontId="11" fillId="0" borderId="110" xfId="0" applyFont="1" applyBorder="1" applyAlignment="1" applyProtection="1">
      <alignment horizontal="center" vertical="center"/>
      <protection hidden="1"/>
    </xf>
    <xf numFmtId="167" fontId="11" fillId="0" borderId="100" xfId="0" applyNumberFormat="1" applyFont="1" applyBorder="1" applyAlignment="1" applyProtection="1">
      <alignment horizontal="center" vertical="center"/>
      <protection hidden="1"/>
    </xf>
    <xf numFmtId="0" fontId="67" fillId="13" borderId="151" xfId="0" applyFont="1" applyFill="1" applyBorder="1" applyAlignment="1" applyProtection="1">
      <alignment horizontal="center" vertical="center"/>
      <protection hidden="1"/>
    </xf>
    <xf numFmtId="0" fontId="67" fillId="13" borderId="119" xfId="0" applyFont="1" applyFill="1" applyBorder="1" applyAlignment="1" applyProtection="1">
      <alignment horizontal="center" vertical="center"/>
      <protection hidden="1"/>
    </xf>
    <xf numFmtId="49" fontId="67" fillId="13" borderId="119" xfId="0" applyNumberFormat="1" applyFont="1" applyFill="1" applyBorder="1" applyAlignment="1" applyProtection="1">
      <alignment horizontal="center" vertical="center"/>
      <protection hidden="1"/>
    </xf>
    <xf numFmtId="0" fontId="72" fillId="13" borderId="86" xfId="0" applyFont="1" applyFill="1" applyBorder="1" applyAlignment="1" applyProtection="1">
      <alignment horizontal="left" vertical="center"/>
      <protection hidden="1"/>
    </xf>
    <xf numFmtId="0" fontId="72" fillId="13" borderId="86" xfId="0" applyFont="1" applyFill="1" applyBorder="1"/>
    <xf numFmtId="0" fontId="67" fillId="13" borderId="86" xfId="0" applyFont="1" applyFill="1" applyBorder="1" applyAlignment="1" applyProtection="1">
      <alignment horizontal="center"/>
      <protection hidden="1"/>
    </xf>
    <xf numFmtId="0" fontId="67" fillId="13" borderId="226" xfId="0" applyFont="1" applyFill="1" applyBorder="1" applyAlignment="1" applyProtection="1">
      <alignment horizontal="center"/>
      <protection hidden="1"/>
    </xf>
    <xf numFmtId="0" fontId="72" fillId="13" borderId="88" xfId="0" applyFont="1" applyFill="1" applyBorder="1" applyAlignment="1">
      <alignment horizontal="left" vertical="center"/>
    </xf>
    <xf numFmtId="49" fontId="76" fillId="13" borderId="88" xfId="0" applyNumberFormat="1" applyFont="1" applyFill="1" applyBorder="1" applyAlignment="1" applyProtection="1">
      <alignment horizontal="center"/>
      <protection hidden="1"/>
    </xf>
    <xf numFmtId="0" fontId="76" fillId="13" borderId="88" xfId="0" applyFont="1" applyFill="1" applyBorder="1" applyAlignment="1" applyProtection="1">
      <alignment horizontal="center"/>
      <protection hidden="1"/>
    </xf>
    <xf numFmtId="0" fontId="72" fillId="13" borderId="88" xfId="0" applyFont="1" applyFill="1" applyBorder="1"/>
    <xf numFmtId="0" fontId="76" fillId="13" borderId="200" xfId="0" applyFont="1" applyFill="1" applyBorder="1" applyAlignment="1" applyProtection="1">
      <alignment horizontal="center"/>
      <protection hidden="1"/>
    </xf>
    <xf numFmtId="49" fontId="76" fillId="13" borderId="116" xfId="0" applyNumberFormat="1" applyFont="1" applyFill="1" applyBorder="1" applyAlignment="1" applyProtection="1">
      <alignment horizontal="center"/>
      <protection hidden="1"/>
    </xf>
    <xf numFmtId="0" fontId="76" fillId="13" borderId="104" xfId="0" applyFont="1" applyFill="1" applyBorder="1" applyAlignment="1" applyProtection="1">
      <alignment horizontal="center"/>
      <protection hidden="1"/>
    </xf>
    <xf numFmtId="0" fontId="76" fillId="13" borderId="117" xfId="0" applyFont="1" applyFill="1" applyBorder="1" applyAlignment="1" applyProtection="1">
      <alignment horizontal="center"/>
      <protection hidden="1"/>
    </xf>
    <xf numFmtId="49" fontId="76" fillId="13" borderId="125" xfId="0" applyNumberFormat="1" applyFont="1" applyFill="1" applyBorder="1" applyAlignment="1" applyProtection="1">
      <alignment horizontal="center"/>
      <protection hidden="1"/>
    </xf>
    <xf numFmtId="0" fontId="76" fillId="13" borderId="103" xfId="0" applyFont="1" applyFill="1" applyBorder="1" applyAlignment="1" applyProtection="1">
      <alignment horizontal="center"/>
      <protection hidden="1"/>
    </xf>
    <xf numFmtId="0" fontId="11" fillId="0" borderId="90" xfId="0" applyFont="1" applyBorder="1" applyAlignment="1" applyProtection="1">
      <alignment horizontal="center" vertical="center"/>
      <protection hidden="1"/>
    </xf>
    <xf numFmtId="0" fontId="10" fillId="0" borderId="88" xfId="0" applyFont="1" applyBorder="1" applyAlignment="1" applyProtection="1">
      <alignment vertical="center"/>
      <protection hidden="1"/>
    </xf>
    <xf numFmtId="0" fontId="0" fillId="0" borderId="88" xfId="0" applyBorder="1" applyAlignment="1">
      <alignment vertical="center"/>
    </xf>
    <xf numFmtId="0" fontId="10" fillId="0" borderId="89" xfId="0" applyFont="1" applyBorder="1" applyAlignment="1" applyProtection="1">
      <alignment vertical="center"/>
      <protection hidden="1"/>
    </xf>
    <xf numFmtId="0" fontId="6" fillId="7" borderId="228" xfId="0" applyFont="1" applyFill="1" applyBorder="1" applyAlignment="1" applyProtection="1">
      <alignment vertical="center"/>
      <protection locked="0"/>
    </xf>
    <xf numFmtId="0" fontId="6" fillId="7" borderId="88" xfId="0" applyFont="1" applyFill="1" applyBorder="1" applyAlignment="1" applyProtection="1">
      <alignment vertical="center"/>
      <protection locked="0"/>
    </xf>
    <xf numFmtId="0" fontId="6" fillId="7" borderId="89" xfId="0" applyFont="1" applyFill="1" applyBorder="1" applyAlignment="1" applyProtection="1">
      <alignment vertical="center"/>
      <protection locked="0"/>
    </xf>
    <xf numFmtId="167" fontId="10" fillId="0" borderId="191" xfId="0" applyNumberFormat="1" applyFont="1" applyBorder="1" applyAlignment="1" applyProtection="1">
      <alignment vertical="center"/>
      <protection hidden="1"/>
    </xf>
    <xf numFmtId="166" fontId="10" fillId="0" borderId="229" xfId="0" applyNumberFormat="1" applyFont="1" applyBorder="1" applyAlignment="1" applyProtection="1">
      <alignment horizontal="center" vertical="center"/>
      <protection hidden="1"/>
    </xf>
    <xf numFmtId="3" fontId="10" fillId="0" borderId="230" xfId="0" applyNumberFormat="1" applyFont="1" applyBorder="1" applyAlignment="1" applyProtection="1">
      <alignment horizontal="center" vertical="center"/>
      <protection hidden="1"/>
    </xf>
    <xf numFmtId="167" fontId="3" fillId="0" borderId="231" xfId="0" applyNumberFormat="1" applyFont="1" applyBorder="1" applyAlignment="1" applyProtection="1">
      <alignment horizontal="center" vertical="center"/>
      <protection hidden="1"/>
    </xf>
    <xf numFmtId="3" fontId="10" fillId="0" borderId="232" xfId="0" applyNumberFormat="1" applyFont="1" applyBorder="1" applyAlignment="1" applyProtection="1">
      <alignment horizontal="center" vertical="center"/>
      <protection hidden="1"/>
    </xf>
    <xf numFmtId="3" fontId="10" fillId="0" borderId="227" xfId="0" applyNumberFormat="1" applyFont="1" applyBorder="1" applyAlignment="1" applyProtection="1">
      <alignment horizontal="center" vertical="center"/>
      <protection hidden="1"/>
    </xf>
    <xf numFmtId="166" fontId="3" fillId="0" borderId="120" xfId="0" applyNumberFormat="1" applyFont="1" applyBorder="1" applyAlignment="1" applyProtection="1">
      <alignment horizontal="center" vertical="center"/>
      <protection hidden="1"/>
    </xf>
    <xf numFmtId="0" fontId="11" fillId="0" borderId="224" xfId="0" applyFont="1" applyBorder="1" applyAlignment="1" applyProtection="1">
      <alignment horizontal="center" vertical="center"/>
      <protection hidden="1"/>
    </xf>
    <xf numFmtId="0" fontId="11" fillId="0" borderId="155" xfId="0" applyFont="1" applyBorder="1" applyAlignment="1" applyProtection="1">
      <alignment vertical="center"/>
      <protection hidden="1"/>
    </xf>
    <xf numFmtId="0" fontId="11" fillId="0" borderId="233" xfId="0" applyFont="1" applyBorder="1" applyAlignment="1" applyProtection="1">
      <alignment horizontal="center" vertical="center"/>
      <protection hidden="1"/>
    </xf>
    <xf numFmtId="0" fontId="11" fillId="0" borderId="193" xfId="0" applyFont="1" applyBorder="1" applyAlignment="1" applyProtection="1">
      <alignment vertical="center"/>
      <protection hidden="1"/>
    </xf>
    <xf numFmtId="0" fontId="10" fillId="0" borderId="88" xfId="0" applyFont="1" applyBorder="1" applyAlignment="1" applyProtection="1">
      <alignment horizontal="right" vertical="center"/>
      <protection hidden="1"/>
    </xf>
    <xf numFmtId="0" fontId="0" fillId="0" borderId="193" xfId="0" applyBorder="1" applyAlignment="1">
      <alignment vertical="center"/>
    </xf>
    <xf numFmtId="0" fontId="72" fillId="13" borderId="87" xfId="0" applyFont="1" applyFill="1" applyBorder="1"/>
    <xf numFmtId="0" fontId="72" fillId="13" borderId="89" xfId="0" applyFont="1" applyFill="1" applyBorder="1"/>
    <xf numFmtId="0" fontId="10" fillId="0" borderId="90" xfId="0" applyFont="1" applyBorder="1" applyAlignment="1" applyProtection="1">
      <alignment horizontal="center" vertical="center"/>
      <protection hidden="1"/>
    </xf>
    <xf numFmtId="0" fontId="10" fillId="0" borderId="88" xfId="0" applyFont="1" applyBorder="1" applyAlignment="1" applyProtection="1">
      <alignment horizontal="left" vertical="center"/>
      <protection hidden="1"/>
    </xf>
    <xf numFmtId="3" fontId="10" fillId="0" borderId="88" xfId="0" applyNumberFormat="1" applyFont="1" applyBorder="1" applyAlignment="1" applyProtection="1">
      <alignment vertical="center"/>
      <protection hidden="1"/>
    </xf>
    <xf numFmtId="0" fontId="0" fillId="0" borderId="240" xfId="0" applyBorder="1" applyAlignment="1">
      <alignment vertical="center"/>
    </xf>
    <xf numFmtId="3" fontId="43" fillId="7" borderId="32" xfId="0" applyNumberFormat="1" applyFont="1" applyFill="1" applyBorder="1" applyAlignment="1" applyProtection="1">
      <alignment horizontal="center" vertical="center"/>
      <protection locked="0"/>
    </xf>
    <xf numFmtId="0" fontId="26" fillId="0" borderId="0" xfId="0" applyFont="1" applyAlignment="1">
      <alignment horizontal="left"/>
    </xf>
    <xf numFmtId="0" fontId="67" fillId="13" borderId="21" xfId="0" applyFont="1" applyFill="1" applyBorder="1" applyAlignment="1">
      <alignment horizontal="center" vertical="center"/>
    </xf>
    <xf numFmtId="171" fontId="39" fillId="7" borderId="18" xfId="0" applyNumberFormat="1" applyFont="1" applyFill="1" applyBorder="1" applyAlignment="1" applyProtection="1">
      <alignment horizontal="center" vertical="center"/>
      <protection locked="0"/>
    </xf>
    <xf numFmtId="0" fontId="72" fillId="13" borderId="43" xfId="0" applyFont="1" applyFill="1" applyBorder="1" applyAlignment="1">
      <alignment horizontal="center" vertical="center"/>
    </xf>
    <xf numFmtId="166" fontId="40" fillId="7" borderId="241" xfId="0" applyNumberFormat="1" applyFont="1" applyFill="1" applyBorder="1" applyAlignment="1" applyProtection="1">
      <alignment horizontal="center" vertical="center"/>
      <protection locked="0"/>
    </xf>
    <xf numFmtId="17" fontId="75" fillId="13" borderId="18" xfId="0" applyNumberFormat="1" applyFont="1" applyFill="1" applyBorder="1" applyAlignment="1">
      <alignment horizontal="center" vertical="center"/>
    </xf>
    <xf numFmtId="0" fontId="59" fillId="0" borderId="19" xfId="0" applyFont="1" applyBorder="1" applyAlignment="1">
      <alignment horizontal="left" vertical="center"/>
    </xf>
    <xf numFmtId="0" fontId="59" fillId="0" borderId="8" xfId="0" applyFont="1" applyBorder="1" applyAlignment="1">
      <alignment horizontal="left" vertical="center"/>
    </xf>
    <xf numFmtId="0" fontId="59" fillId="0" borderId="9" xfId="0" applyFont="1" applyBorder="1" applyAlignment="1">
      <alignment horizontal="left" vertical="center"/>
    </xf>
    <xf numFmtId="0" fontId="40" fillId="0" borderId="31" xfId="0" applyFont="1" applyBorder="1" applyAlignment="1">
      <alignment horizontal="left" vertical="center"/>
    </xf>
    <xf numFmtId="3" fontId="40" fillId="7" borderId="59" xfId="0" applyNumberFormat="1" applyFont="1" applyFill="1" applyBorder="1" applyAlignment="1" applyProtection="1">
      <alignment horizontal="center" vertical="center"/>
      <protection locked="0" hidden="1"/>
    </xf>
    <xf numFmtId="3" fontId="40" fillId="6" borderId="20" xfId="0" applyNumberFormat="1" applyFont="1" applyFill="1" applyBorder="1" applyAlignment="1" applyProtection="1">
      <alignment horizontal="center" vertical="center"/>
      <protection hidden="1"/>
    </xf>
    <xf numFmtId="0" fontId="40" fillId="0" borderId="19" xfId="0" applyFont="1" applyBorder="1" applyAlignment="1">
      <alignment horizontal="center" vertical="center"/>
    </xf>
    <xf numFmtId="3" fontId="40" fillId="7" borderId="20" xfId="0" applyNumberFormat="1" applyFont="1" applyFill="1" applyBorder="1" applyAlignment="1" applyProtection="1">
      <alignment horizontal="center" vertical="center"/>
      <protection locked="0"/>
    </xf>
    <xf numFmtId="0" fontId="27" fillId="0" borderId="17" xfId="0" applyFont="1" applyBorder="1" applyAlignment="1">
      <alignment horizontal="center" vertical="center"/>
    </xf>
    <xf numFmtId="0" fontId="31" fillId="0" borderId="17" xfId="0" applyFont="1" applyBorder="1" applyAlignment="1">
      <alignment horizontal="left" vertical="center"/>
    </xf>
    <xf numFmtId="0" fontId="31" fillId="0" borderId="17" xfId="0" applyFont="1" applyBorder="1" applyAlignment="1">
      <alignment horizontal="center" vertical="center"/>
    </xf>
    <xf numFmtId="167" fontId="42" fillId="0" borderId="17" xfId="0" applyNumberFormat="1" applyFont="1" applyBorder="1" applyAlignment="1" applyProtection="1">
      <alignment horizontal="center" vertical="center"/>
      <protection hidden="1"/>
    </xf>
    <xf numFmtId="3" fontId="10" fillId="0" borderId="17" xfId="0" applyNumberFormat="1" applyFont="1" applyBorder="1" applyAlignment="1" applyProtection="1">
      <alignment horizontal="center" vertical="center"/>
      <protection hidden="1"/>
    </xf>
    <xf numFmtId="3" fontId="4" fillId="6" borderId="32" xfId="0" applyNumberFormat="1" applyFont="1" applyFill="1" applyBorder="1" applyAlignment="1" applyProtection="1">
      <alignment vertical="center"/>
      <protection hidden="1"/>
    </xf>
    <xf numFmtId="3" fontId="4" fillId="6" borderId="31" xfId="0" applyNumberFormat="1" applyFont="1" applyFill="1" applyBorder="1" applyAlignment="1" applyProtection="1">
      <alignment vertical="center"/>
      <protection hidden="1"/>
    </xf>
    <xf numFmtId="17" fontId="68" fillId="0" borderId="18" xfId="0" applyNumberFormat="1" applyFont="1" applyBorder="1" applyAlignment="1">
      <alignment horizontal="center" vertical="center"/>
    </xf>
    <xf numFmtId="0" fontId="45" fillId="8" borderId="43" xfId="0" applyFont="1" applyFill="1" applyBorder="1" applyAlignment="1">
      <alignment horizontal="center" vertical="center"/>
    </xf>
    <xf numFmtId="0" fontId="10" fillId="6" borderId="9" xfId="0" applyFont="1" applyFill="1" applyBorder="1" applyAlignment="1" applyProtection="1">
      <alignment horizontal="left" vertical="center"/>
      <protection hidden="1"/>
    </xf>
    <xf numFmtId="0" fontId="10" fillId="6" borderId="58" xfId="0" applyFont="1" applyFill="1" applyBorder="1" applyAlignment="1" applyProtection="1">
      <alignment horizontal="left" vertical="center"/>
      <protection hidden="1"/>
    </xf>
    <xf numFmtId="0" fontId="72" fillId="13" borderId="24" xfId="0" applyFont="1" applyFill="1" applyBorder="1" applyAlignment="1" applyProtection="1">
      <alignment horizontal="center" vertical="center"/>
      <protection hidden="1"/>
    </xf>
    <xf numFmtId="0" fontId="72" fillId="13" borderId="21" xfId="0" applyFont="1" applyFill="1" applyBorder="1" applyAlignment="1" applyProtection="1">
      <alignment horizontal="center" vertical="center"/>
      <protection hidden="1"/>
    </xf>
    <xf numFmtId="167" fontId="10" fillId="0" borderId="130" xfId="0" applyNumberFormat="1" applyFont="1" applyBorder="1" applyAlignment="1" applyProtection="1">
      <alignment vertical="center"/>
      <protection hidden="1"/>
    </xf>
    <xf numFmtId="1" fontId="10" fillId="0" borderId="242" xfId="0" applyNumberFormat="1" applyFont="1" applyBorder="1" applyAlignment="1" applyProtection="1">
      <alignment horizontal="center" vertical="center"/>
      <protection hidden="1"/>
    </xf>
    <xf numFmtId="3" fontId="3" fillId="0" borderId="243" xfId="0" applyNumberFormat="1" applyFont="1" applyBorder="1" applyAlignment="1" applyProtection="1">
      <alignment horizontal="center" vertical="center"/>
      <protection hidden="1"/>
    </xf>
    <xf numFmtId="3" fontId="10" fillId="0" borderId="101" xfId="0" applyNumberFormat="1" applyFont="1" applyBorder="1" applyAlignment="1" applyProtection="1">
      <alignment horizontal="center" vertical="center"/>
      <protection hidden="1"/>
    </xf>
    <xf numFmtId="3" fontId="3" fillId="0" borderId="110" xfId="0" applyNumberFormat="1" applyFont="1" applyBorder="1" applyAlignment="1" applyProtection="1">
      <alignment horizontal="center" vertical="center"/>
      <protection hidden="1"/>
    </xf>
    <xf numFmtId="0" fontId="6" fillId="9" borderId="104" xfId="0" applyFont="1" applyFill="1" applyBorder="1" applyAlignment="1" applyProtection="1">
      <alignment vertical="center"/>
      <protection hidden="1"/>
    </xf>
    <xf numFmtId="0" fontId="3" fillId="9" borderId="179" xfId="0" applyFont="1" applyFill="1" applyBorder="1" applyAlignment="1" applyProtection="1">
      <alignment horizontal="left" vertical="center"/>
      <protection hidden="1"/>
    </xf>
    <xf numFmtId="0" fontId="3" fillId="9" borderId="179" xfId="0" applyFont="1" applyFill="1" applyBorder="1" applyAlignment="1" applyProtection="1">
      <alignment horizontal="center" vertical="center"/>
      <protection hidden="1"/>
    </xf>
    <xf numFmtId="0" fontId="3" fillId="9" borderId="214" xfId="0" applyFont="1" applyFill="1" applyBorder="1" applyAlignment="1" applyProtection="1">
      <alignment horizontal="center" vertical="center"/>
      <protection hidden="1"/>
    </xf>
    <xf numFmtId="0" fontId="11" fillId="0" borderId="90" xfId="0" applyFont="1" applyBorder="1" applyAlignment="1">
      <alignment horizontal="center"/>
    </xf>
    <xf numFmtId="0" fontId="0" fillId="0" borderId="193" xfId="0" applyBorder="1"/>
    <xf numFmtId="3" fontId="11" fillId="0" borderId="193" xfId="0" quotePrefix="1" applyNumberFormat="1" applyFont="1" applyBorder="1" applyAlignment="1">
      <alignment horizontal="center" vertical="center"/>
    </xf>
    <xf numFmtId="167" fontId="11" fillId="6" borderId="104" xfId="0" applyNumberFormat="1" applyFont="1" applyFill="1" applyBorder="1" applyAlignment="1" applyProtection="1">
      <alignment horizontal="center" vertical="center"/>
      <protection hidden="1"/>
    </xf>
    <xf numFmtId="167" fontId="11" fillId="6" borderId="125" xfId="0" applyNumberFormat="1" applyFont="1" applyFill="1" applyBorder="1" applyAlignment="1" applyProtection="1">
      <alignment horizontal="center" vertical="center"/>
      <protection hidden="1"/>
    </xf>
    <xf numFmtId="0" fontId="11" fillId="0" borderId="90" xfId="0" applyFont="1" applyBorder="1"/>
    <xf numFmtId="0" fontId="39" fillId="0" borderId="88" xfId="0" applyFont="1" applyBorder="1"/>
    <xf numFmtId="3" fontId="11" fillId="0" borderId="120" xfId="0" applyNumberFormat="1" applyFont="1" applyBorder="1" applyAlignment="1">
      <alignment horizontal="center" vertical="center"/>
    </xf>
    <xf numFmtId="0" fontId="11" fillId="0" borderId="120" xfId="0" applyFont="1" applyBorder="1" applyAlignment="1">
      <alignment horizontal="center" vertical="center"/>
    </xf>
    <xf numFmtId="167" fontId="11" fillId="0" borderId="231" xfId="0" applyNumberFormat="1" applyFont="1" applyBorder="1" applyAlignment="1">
      <alignment horizontal="center" vertical="center"/>
    </xf>
    <xf numFmtId="3" fontId="11" fillId="0" borderId="232" xfId="0" applyNumberFormat="1" applyFont="1" applyBorder="1" applyAlignment="1">
      <alignment horizontal="center" vertical="center"/>
    </xf>
    <xf numFmtId="167" fontId="11" fillId="0" borderId="120" xfId="0" quotePrefix="1" applyNumberFormat="1" applyFont="1" applyBorder="1" applyAlignment="1">
      <alignment horizontal="center" vertical="center"/>
    </xf>
    <xf numFmtId="167" fontId="11" fillId="8" borderId="231" xfId="0" applyNumberFormat="1" applyFont="1" applyFill="1" applyBorder="1" applyAlignment="1" applyProtection="1">
      <alignment horizontal="center" vertical="center"/>
      <protection hidden="1"/>
    </xf>
    <xf numFmtId="167" fontId="11" fillId="8" borderId="232" xfId="0" applyNumberFormat="1" applyFont="1" applyFill="1" applyBorder="1" applyAlignment="1" applyProtection="1">
      <alignment horizontal="center" vertical="center"/>
      <protection hidden="1"/>
    </xf>
    <xf numFmtId="167" fontId="11" fillId="0" borderId="232" xfId="0" applyNumberFormat="1" applyFont="1" applyBorder="1" applyAlignment="1" applyProtection="1">
      <alignment horizontal="center" vertical="center"/>
      <protection hidden="1"/>
    </xf>
    <xf numFmtId="0" fontId="2" fillId="0" borderId="120" xfId="0" applyFont="1" applyBorder="1" applyAlignment="1">
      <alignment horizontal="center" vertical="center"/>
    </xf>
    <xf numFmtId="166" fontId="2" fillId="0" borderId="120" xfId="0" applyNumberFormat="1" applyFont="1" applyBorder="1" applyAlignment="1">
      <alignment horizontal="center" vertical="center"/>
    </xf>
    <xf numFmtId="166" fontId="11" fillId="0" borderId="231" xfId="0" applyNumberFormat="1" applyFont="1" applyBorder="1" applyAlignment="1">
      <alignment horizontal="center" vertical="center"/>
    </xf>
    <xf numFmtId="3" fontId="11" fillId="0" borderId="120" xfId="0" quotePrefix="1" applyNumberFormat="1" applyFont="1" applyBorder="1" applyAlignment="1">
      <alignment horizontal="center" vertical="center"/>
    </xf>
    <xf numFmtId="3" fontId="11" fillId="8" borderId="120" xfId="0" applyNumberFormat="1" applyFont="1" applyFill="1" applyBorder="1" applyAlignment="1">
      <alignment horizontal="center" vertical="center"/>
    </xf>
    <xf numFmtId="0" fontId="11" fillId="8" borderId="120" xfId="0" applyFont="1" applyFill="1" applyBorder="1" applyAlignment="1">
      <alignment horizontal="center" vertical="center"/>
    </xf>
    <xf numFmtId="166" fontId="11" fillId="8" borderId="231" xfId="0" applyNumberFormat="1" applyFont="1" applyFill="1" applyBorder="1" applyAlignment="1">
      <alignment horizontal="center" vertical="center"/>
    </xf>
    <xf numFmtId="0" fontId="11" fillId="8" borderId="232" xfId="0" applyFont="1" applyFill="1" applyBorder="1" applyAlignment="1">
      <alignment horizontal="center" vertical="center"/>
    </xf>
    <xf numFmtId="0" fontId="11" fillId="8" borderId="231" xfId="0" applyFont="1" applyFill="1" applyBorder="1" applyAlignment="1">
      <alignment horizontal="center" vertical="center"/>
    </xf>
    <xf numFmtId="3" fontId="11" fillId="0" borderId="120" xfId="0" applyNumberFormat="1" applyFont="1" applyBorder="1" applyAlignment="1" applyProtection="1">
      <alignment horizontal="center" vertical="center"/>
      <protection hidden="1"/>
    </xf>
    <xf numFmtId="167" fontId="11" fillId="0" borderId="120" xfId="0" applyNumberFormat="1" applyFont="1" applyBorder="1" applyAlignment="1" applyProtection="1">
      <alignment horizontal="center" vertical="center"/>
      <protection hidden="1"/>
    </xf>
    <xf numFmtId="167" fontId="11" fillId="8" borderId="231" xfId="0" applyNumberFormat="1" applyFont="1" applyFill="1" applyBorder="1" applyAlignment="1">
      <alignment horizontal="center" vertical="center"/>
    </xf>
    <xf numFmtId="167" fontId="11" fillId="8" borderId="120" xfId="0" applyNumberFormat="1" applyFont="1" applyFill="1" applyBorder="1" applyAlignment="1">
      <alignment horizontal="center" vertical="center"/>
    </xf>
    <xf numFmtId="3" fontId="11" fillId="0" borderId="93" xfId="0" applyNumberFormat="1" applyFont="1" applyBorder="1" applyAlignment="1">
      <alignment horizontal="center" vertical="center"/>
    </xf>
    <xf numFmtId="167" fontId="11" fillId="0" borderId="93" xfId="0" applyNumberFormat="1" applyFont="1" applyBorder="1" applyAlignment="1">
      <alignment horizontal="center" vertical="center"/>
    </xf>
    <xf numFmtId="0" fontId="10" fillId="8" borderId="0" xfId="0" applyFont="1" applyFill="1" applyAlignment="1" applyProtection="1">
      <alignment horizontal="left" vertical="center"/>
      <protection locked="0"/>
    </xf>
    <xf numFmtId="166" fontId="11" fillId="8" borderId="0" xfId="0" applyNumberFormat="1" applyFont="1" applyFill="1" applyAlignment="1">
      <alignment horizontal="center" vertical="center"/>
    </xf>
    <xf numFmtId="167" fontId="11" fillId="0" borderId="0" xfId="0" applyNumberFormat="1" applyFont="1" applyAlignment="1">
      <alignment horizontal="center" vertical="center"/>
    </xf>
    <xf numFmtId="3" fontId="10" fillId="0" borderId="252" xfId="0" applyNumberFormat="1" applyFont="1" applyBorder="1" applyAlignment="1">
      <alignment horizontal="center" vertical="center"/>
    </xf>
    <xf numFmtId="0" fontId="10" fillId="6" borderId="249" xfId="0" applyFont="1" applyFill="1" applyBorder="1" applyAlignment="1">
      <alignment horizontal="center" vertical="center"/>
    </xf>
    <xf numFmtId="166" fontId="10" fillId="6" borderId="253" xfId="0" applyNumberFormat="1" applyFont="1" applyFill="1" applyBorder="1" applyAlignment="1">
      <alignment horizontal="center" vertical="center"/>
    </xf>
    <xf numFmtId="3" fontId="10" fillId="0" borderId="254" xfId="0" applyNumberFormat="1" applyFont="1" applyBorder="1" applyAlignment="1">
      <alignment horizontal="center" vertical="center"/>
    </xf>
    <xf numFmtId="167" fontId="10" fillId="0" borderId="249" xfId="0" applyNumberFormat="1" applyFont="1" applyBorder="1" applyAlignment="1">
      <alignment horizontal="center" vertical="center"/>
    </xf>
    <xf numFmtId="167" fontId="10" fillId="0" borderId="251" xfId="0" applyNumberFormat="1" applyFont="1" applyBorder="1" applyAlignment="1">
      <alignment horizontal="center" vertical="center"/>
    </xf>
    <xf numFmtId="0" fontId="11" fillId="8" borderId="93" xfId="0" applyFont="1" applyFill="1" applyBorder="1" applyAlignment="1" applyProtection="1">
      <alignment horizontal="left" vertical="center"/>
      <protection locked="0"/>
    </xf>
    <xf numFmtId="0" fontId="10" fillId="8" borderId="104" xfId="0" applyFont="1" applyFill="1" applyBorder="1" applyAlignment="1" applyProtection="1">
      <alignment horizontal="left" vertical="center"/>
      <protection locked="0"/>
    </xf>
    <xf numFmtId="3" fontId="10" fillId="0" borderId="103" xfId="0" applyNumberFormat="1" applyFont="1" applyBorder="1" applyAlignment="1">
      <alignment horizontal="center" vertical="center"/>
    </xf>
    <xf numFmtId="0" fontId="10" fillId="6" borderId="103" xfId="0" applyFont="1" applyFill="1" applyBorder="1" applyAlignment="1">
      <alignment horizontal="center" vertical="center"/>
    </xf>
    <xf numFmtId="167" fontId="10" fillId="0" borderId="103" xfId="0" applyNumberFormat="1" applyFont="1" applyBorder="1" applyAlignment="1">
      <alignment horizontal="center" vertical="center"/>
    </xf>
    <xf numFmtId="3" fontId="10" fillId="6" borderId="116" xfId="0" applyNumberFormat="1" applyFont="1" applyFill="1" applyBorder="1" applyAlignment="1">
      <alignment horizontal="center" vertical="center"/>
    </xf>
    <xf numFmtId="3" fontId="10" fillId="6" borderId="104" xfId="0" applyNumberFormat="1" applyFont="1" applyFill="1" applyBorder="1" applyAlignment="1">
      <alignment horizontal="center" vertical="center"/>
    </xf>
    <xf numFmtId="167" fontId="10" fillId="0" borderId="117" xfId="0" applyNumberFormat="1" applyFont="1" applyBorder="1" applyAlignment="1">
      <alignment horizontal="center" vertical="center"/>
    </xf>
    <xf numFmtId="167" fontId="10" fillId="6" borderId="116" xfId="0" applyNumberFormat="1" applyFont="1" applyFill="1" applyBorder="1" applyAlignment="1">
      <alignment horizontal="center" vertical="center"/>
    </xf>
    <xf numFmtId="167" fontId="10" fillId="6" borderId="104" xfId="0" applyNumberFormat="1" applyFont="1" applyFill="1" applyBorder="1" applyAlignment="1">
      <alignment horizontal="center" vertical="center"/>
    </xf>
    <xf numFmtId="167" fontId="10" fillId="6" borderId="125" xfId="0" applyNumberFormat="1" applyFont="1" applyFill="1" applyBorder="1" applyAlignment="1">
      <alignment horizontal="center" vertical="center"/>
    </xf>
    <xf numFmtId="3" fontId="10" fillId="6" borderId="103" xfId="0" applyNumberFormat="1" applyFont="1" applyFill="1" applyBorder="1" applyAlignment="1">
      <alignment horizontal="center" vertical="center"/>
    </xf>
    <xf numFmtId="167" fontId="10" fillId="6" borderId="117" xfId="0" applyNumberFormat="1" applyFont="1" applyFill="1" applyBorder="1" applyAlignment="1">
      <alignment horizontal="center" vertical="center"/>
    </xf>
    <xf numFmtId="167" fontId="10" fillId="6" borderId="103" xfId="0" applyNumberFormat="1" applyFont="1" applyFill="1" applyBorder="1" applyAlignment="1">
      <alignment horizontal="center" vertical="center"/>
    </xf>
    <xf numFmtId="0" fontId="5" fillId="8" borderId="104" xfId="0" applyFont="1" applyFill="1" applyBorder="1" applyAlignment="1" applyProtection="1">
      <alignment horizontal="left" vertical="center"/>
      <protection locked="0"/>
    </xf>
    <xf numFmtId="0" fontId="10" fillId="8" borderId="179" xfId="0" applyFont="1" applyFill="1" applyBorder="1" applyAlignment="1" applyProtection="1">
      <alignment horizontal="left" vertical="center"/>
      <protection locked="0"/>
    </xf>
    <xf numFmtId="3" fontId="10" fillId="0" borderId="116" xfId="0" applyNumberFormat="1" applyFont="1" applyBorder="1" applyAlignment="1">
      <alignment horizontal="center" vertical="center"/>
    </xf>
    <xf numFmtId="0" fontId="10" fillId="3" borderId="96" xfId="0" applyFont="1" applyFill="1" applyBorder="1" applyAlignment="1">
      <alignment horizontal="left" vertical="center"/>
    </xf>
    <xf numFmtId="0" fontId="6" fillId="3" borderId="99" xfId="0" applyFont="1" applyFill="1" applyBorder="1" applyAlignment="1">
      <alignment horizontal="center" vertical="center"/>
    </xf>
    <xf numFmtId="0" fontId="6" fillId="3" borderId="99" xfId="0" applyFont="1" applyFill="1" applyBorder="1" applyAlignment="1">
      <alignment vertical="center" wrapText="1"/>
    </xf>
    <xf numFmtId="0" fontId="75" fillId="13" borderId="103" xfId="0" applyFont="1" applyFill="1" applyBorder="1" applyAlignment="1">
      <alignment horizontal="center" vertical="center"/>
    </xf>
    <xf numFmtId="0" fontId="75" fillId="13" borderId="117" xfId="0" applyFont="1" applyFill="1" applyBorder="1" applyAlignment="1">
      <alignment horizontal="center" vertical="center"/>
    </xf>
    <xf numFmtId="0" fontId="10" fillId="6" borderId="104" xfId="0" applyFont="1" applyFill="1" applyBorder="1" applyAlignment="1">
      <alignment horizontal="center" vertical="center"/>
    </xf>
    <xf numFmtId="167" fontId="10" fillId="0" borderId="125" xfId="0" applyNumberFormat="1" applyFont="1" applyBorder="1" applyAlignment="1">
      <alignment horizontal="center" vertical="center"/>
    </xf>
    <xf numFmtId="0" fontId="38" fillId="0" borderId="193" xfId="0" applyFont="1" applyBorder="1" applyAlignment="1" applyProtection="1">
      <alignment vertical="center"/>
      <protection hidden="1"/>
    </xf>
    <xf numFmtId="0" fontId="38" fillId="0" borderId="121" xfId="0" applyFont="1" applyBorder="1" applyAlignment="1" applyProtection="1">
      <alignment vertical="center"/>
      <protection hidden="1"/>
    </xf>
    <xf numFmtId="164" fontId="6" fillId="0" borderId="103" xfId="0" applyNumberFormat="1" applyFont="1" applyBorder="1" applyAlignment="1" applyProtection="1">
      <alignment horizontal="center" vertical="center"/>
      <protection hidden="1"/>
    </xf>
    <xf numFmtId="16" fontId="11" fillId="7" borderId="51" xfId="0" applyNumberFormat="1" applyFont="1" applyFill="1" applyBorder="1" applyAlignment="1" applyProtection="1">
      <alignment horizontal="left" vertical="center"/>
      <protection locked="0"/>
    </xf>
    <xf numFmtId="164" fontId="11" fillId="0" borderId="103" xfId="0" applyNumberFormat="1" applyFont="1" applyBorder="1" applyAlignment="1" applyProtection="1">
      <alignment horizontal="center" vertical="center"/>
      <protection hidden="1"/>
    </xf>
    <xf numFmtId="0" fontId="78" fillId="0" borderId="86" xfId="0" applyFont="1" applyBorder="1" applyProtection="1">
      <protection hidden="1"/>
    </xf>
    <xf numFmtId="0" fontId="78" fillId="0" borderId="86" xfId="0" applyFont="1" applyBorder="1" applyAlignment="1" applyProtection="1">
      <alignment horizontal="left"/>
      <protection hidden="1"/>
    </xf>
    <xf numFmtId="0" fontId="78" fillId="0" borderId="0" xfId="0" applyFont="1" applyAlignment="1" applyProtection="1">
      <alignment vertical="center"/>
      <protection hidden="1"/>
    </xf>
    <xf numFmtId="0" fontId="78" fillId="0" borderId="0" xfId="0" applyFont="1" applyProtection="1">
      <protection hidden="1"/>
    </xf>
    <xf numFmtId="0" fontId="78" fillId="0" borderId="0" xfId="0" applyFont="1" applyAlignment="1" applyProtection="1">
      <alignment horizontal="left"/>
      <protection hidden="1"/>
    </xf>
    <xf numFmtId="0" fontId="80" fillId="0" borderId="86" xfId="0" applyFont="1" applyBorder="1" applyAlignment="1" applyProtection="1">
      <alignment horizontal="left" vertical="center"/>
      <protection hidden="1"/>
    </xf>
    <xf numFmtId="0" fontId="78" fillId="0" borderId="86" xfId="0" applyFont="1" applyBorder="1" applyAlignment="1" applyProtection="1">
      <alignment horizontal="left" vertical="center"/>
      <protection hidden="1"/>
    </xf>
    <xf numFmtId="0" fontId="72" fillId="0" borderId="0" xfId="0" applyFont="1"/>
    <xf numFmtId="0" fontId="80" fillId="0" borderId="0" xfId="0" applyFont="1" applyAlignment="1" applyProtection="1">
      <alignment horizontal="left" vertical="center"/>
      <protection hidden="1"/>
    </xf>
    <xf numFmtId="0" fontId="78" fillId="0" borderId="0" xfId="0" applyFont="1" applyAlignment="1" applyProtection="1">
      <alignment horizontal="left" vertical="center"/>
      <protection hidden="1"/>
    </xf>
    <xf numFmtId="14" fontId="3" fillId="0" borderId="0" xfId="0" applyNumberFormat="1" applyFont="1" applyAlignment="1" applyProtection="1">
      <alignment horizontal="center"/>
      <protection hidden="1"/>
    </xf>
    <xf numFmtId="0" fontId="80" fillId="0" borderId="86" xfId="0" applyFont="1" applyBorder="1" applyProtection="1">
      <protection hidden="1"/>
    </xf>
    <xf numFmtId="0" fontId="80" fillId="0" borderId="86" xfId="0" applyFont="1" applyBorder="1" applyAlignment="1" applyProtection="1">
      <alignment horizontal="left"/>
      <protection hidden="1"/>
    </xf>
    <xf numFmtId="3" fontId="11" fillId="0" borderId="179" xfId="0" applyNumberFormat="1" applyFont="1" applyBorder="1" applyAlignment="1">
      <alignment horizontal="center" vertical="center"/>
    </xf>
    <xf numFmtId="3" fontId="11" fillId="0" borderId="257" xfId="0" applyNumberFormat="1" applyFont="1" applyBorder="1" applyAlignment="1">
      <alignment horizontal="center" vertical="center"/>
    </xf>
    <xf numFmtId="3" fontId="10" fillId="0" borderId="95" xfId="0" applyNumberFormat="1" applyFont="1" applyBorder="1" applyAlignment="1">
      <alignment horizontal="center" vertical="center"/>
    </xf>
    <xf numFmtId="3" fontId="6" fillId="5" borderId="18" xfId="2" applyNumberFormat="1" applyFont="1" applyFill="1" applyBorder="1" applyAlignment="1">
      <alignment horizontal="center" vertical="center"/>
    </xf>
    <xf numFmtId="0" fontId="5" fillId="0" borderId="0" xfId="0" applyFont="1" applyAlignment="1">
      <alignment horizontal="left" vertical="center"/>
    </xf>
    <xf numFmtId="3" fontId="5" fillId="0" borderId="0" xfId="0" applyNumberFormat="1" applyFont="1" applyAlignment="1">
      <alignment horizontal="left" vertical="center"/>
    </xf>
    <xf numFmtId="14" fontId="10" fillId="0" borderId="0" xfId="0" applyNumberFormat="1" applyFont="1" applyAlignment="1">
      <alignment horizontal="center"/>
    </xf>
    <xf numFmtId="167" fontId="5" fillId="0" borderId="0" xfId="0" applyNumberFormat="1" applyFont="1" applyAlignment="1">
      <alignment vertical="center"/>
    </xf>
    <xf numFmtId="4" fontId="5" fillId="0" borderId="0" xfId="0" applyNumberFormat="1" applyFont="1" applyAlignment="1">
      <alignment vertical="center"/>
    </xf>
    <xf numFmtId="2" fontId="16" fillId="0" borderId="0" xfId="0" applyNumberFormat="1" applyFont="1" applyAlignment="1">
      <alignment vertical="center"/>
    </xf>
    <xf numFmtId="14" fontId="16" fillId="0" borderId="0" xfId="0" applyNumberFormat="1" applyFont="1" applyAlignment="1">
      <alignment horizontal="left" vertical="center"/>
    </xf>
    <xf numFmtId="14" fontId="5" fillId="0" borderId="0" xfId="0" applyNumberFormat="1" applyFont="1" applyAlignment="1">
      <alignment horizontal="center" vertical="center"/>
    </xf>
    <xf numFmtId="14" fontId="0" fillId="0" borderId="0" xfId="0" applyNumberFormat="1" applyAlignment="1">
      <alignment horizontal="center" vertical="center"/>
    </xf>
    <xf numFmtId="14" fontId="16" fillId="0" borderId="0" xfId="0" applyNumberFormat="1" applyFont="1" applyAlignment="1" applyProtection="1">
      <alignment horizontal="left" vertical="center"/>
      <protection hidden="1"/>
    </xf>
    <xf numFmtId="3" fontId="43" fillId="7" borderId="31" xfId="0" applyNumberFormat="1" applyFont="1" applyFill="1" applyBorder="1" applyAlignment="1" applyProtection="1">
      <alignment horizontal="center" vertical="center"/>
      <protection locked="0" hidden="1"/>
    </xf>
    <xf numFmtId="9" fontId="40" fillId="7" borderId="32" xfId="0" applyNumberFormat="1" applyFont="1" applyFill="1" applyBorder="1" applyAlignment="1" applyProtection="1">
      <alignment horizontal="center" vertical="center"/>
      <protection locked="0"/>
    </xf>
    <xf numFmtId="166" fontId="40" fillId="7" borderId="32" xfId="0" applyNumberFormat="1" applyFont="1" applyFill="1" applyBorder="1" applyAlignment="1" applyProtection="1">
      <alignment horizontal="center" vertical="center"/>
      <protection locked="0"/>
    </xf>
    <xf numFmtId="0" fontId="43" fillId="8" borderId="122" xfId="0" applyFont="1" applyFill="1" applyBorder="1" applyAlignment="1" applyProtection="1">
      <alignment horizontal="left" vertical="center"/>
      <protection hidden="1"/>
    </xf>
    <xf numFmtId="2" fontId="5" fillId="0" borderId="88" xfId="0" applyNumberFormat="1" applyFont="1" applyBorder="1" applyAlignment="1" applyProtection="1">
      <alignment horizontal="left" vertical="center"/>
      <protection hidden="1"/>
    </xf>
    <xf numFmtId="0" fontId="0" fillId="0" borderId="0" xfId="0" applyAlignment="1" applyProtection="1">
      <alignment horizontal="left" vertical="center"/>
      <protection hidden="1"/>
    </xf>
    <xf numFmtId="0" fontId="11" fillId="0" borderId="263" xfId="0" applyFont="1" applyBorder="1" applyAlignment="1" applyProtection="1">
      <alignment horizontal="center" vertical="center"/>
      <protection hidden="1"/>
    </xf>
    <xf numFmtId="0" fontId="10" fillId="0" borderId="265" xfId="0" applyFont="1" applyBorder="1" applyAlignment="1" applyProtection="1">
      <alignment horizontal="center" vertical="center"/>
      <protection hidden="1"/>
    </xf>
    <xf numFmtId="3" fontId="10" fillId="0" borderId="262" xfId="0" applyNumberFormat="1" applyFont="1" applyBorder="1" applyAlignment="1" applyProtection="1">
      <alignment horizontal="center" vertical="center"/>
      <protection hidden="1"/>
    </xf>
    <xf numFmtId="3" fontId="10" fillId="8" borderId="262" xfId="0" applyNumberFormat="1" applyFont="1" applyFill="1" applyBorder="1" applyAlignment="1" applyProtection="1">
      <alignment horizontal="center" vertical="center"/>
      <protection hidden="1"/>
    </xf>
    <xf numFmtId="0" fontId="10" fillId="0" borderId="262" xfId="0" applyFont="1" applyBorder="1" applyAlignment="1" applyProtection="1">
      <alignment horizontal="center" vertical="center"/>
      <protection hidden="1"/>
    </xf>
    <xf numFmtId="3" fontId="11" fillId="0" borderId="262" xfId="0" applyNumberFormat="1" applyFont="1" applyBorder="1" applyAlignment="1" applyProtection="1">
      <alignment horizontal="center" vertical="center"/>
      <protection hidden="1"/>
    </xf>
    <xf numFmtId="3" fontId="11" fillId="8" borderId="262" xfId="0" applyNumberFormat="1" applyFont="1" applyFill="1" applyBorder="1" applyAlignment="1" applyProtection="1">
      <alignment horizontal="center" vertical="center"/>
      <protection hidden="1"/>
    </xf>
    <xf numFmtId="0" fontId="40" fillId="8" borderId="26" xfId="0" applyFont="1" applyFill="1" applyBorder="1" applyAlignment="1">
      <alignment horizontal="center" vertical="center"/>
    </xf>
    <xf numFmtId="0" fontId="71" fillId="8" borderId="263" xfId="0" applyFont="1" applyFill="1" applyBorder="1" applyAlignment="1">
      <alignment horizontal="center" vertical="center"/>
    </xf>
    <xf numFmtId="3" fontId="46" fillId="8" borderId="262" xfId="0" applyNumberFormat="1" applyFont="1" applyFill="1" applyBorder="1" applyAlignment="1" applyProtection="1">
      <alignment horizontal="center" vertical="center"/>
      <protection hidden="1"/>
    </xf>
    <xf numFmtId="3" fontId="46" fillId="8" borderId="265" xfId="0" applyNumberFormat="1" applyFont="1" applyFill="1" applyBorder="1" applyAlignment="1" applyProtection="1">
      <alignment horizontal="center" vertical="center"/>
      <protection hidden="1"/>
    </xf>
    <xf numFmtId="3" fontId="2" fillId="6" borderId="21" xfId="0" applyNumberFormat="1" applyFont="1" applyFill="1" applyBorder="1" applyAlignment="1" applyProtection="1">
      <alignment horizontal="center" vertical="center"/>
      <protection hidden="1"/>
    </xf>
    <xf numFmtId="3" fontId="2" fillId="6" borderId="20" xfId="0" applyNumberFormat="1" applyFont="1" applyFill="1" applyBorder="1" applyAlignment="1" applyProtection="1">
      <alignment horizontal="center" vertical="center"/>
      <protection hidden="1"/>
    </xf>
    <xf numFmtId="3" fontId="5" fillId="6" borderId="81" xfId="0" applyNumberFormat="1" applyFont="1" applyFill="1" applyBorder="1" applyAlignment="1" applyProtection="1">
      <alignment horizontal="center" vertical="center"/>
      <protection hidden="1"/>
    </xf>
    <xf numFmtId="0" fontId="10" fillId="3" borderId="82" xfId="0" applyFont="1" applyFill="1" applyBorder="1" applyAlignment="1">
      <alignment horizontal="left" vertical="center"/>
    </xf>
    <xf numFmtId="0" fontId="5" fillId="0" borderId="0" xfId="0" applyFont="1" applyAlignment="1">
      <alignment horizontal="left"/>
    </xf>
    <xf numFmtId="3" fontId="5" fillId="0" borderId="27" xfId="0" applyNumberFormat="1" applyFont="1" applyBorder="1"/>
    <xf numFmtId="3" fontId="5" fillId="0" borderId="0" xfId="0" applyNumberFormat="1" applyFont="1" applyAlignment="1" applyProtection="1">
      <alignment horizontal="center" vertical="center"/>
      <protection hidden="1"/>
    </xf>
    <xf numFmtId="3" fontId="5" fillId="0" borderId="28" xfId="0" applyNumberFormat="1" applyFont="1" applyBorder="1"/>
    <xf numFmtId="3" fontId="10" fillId="6" borderId="18" xfId="0" applyNumberFormat="1" applyFont="1" applyFill="1" applyBorder="1" applyAlignment="1" applyProtection="1">
      <alignment horizontal="center" vertical="center"/>
      <protection hidden="1"/>
    </xf>
    <xf numFmtId="3" fontId="10" fillId="0" borderId="11" xfId="0" applyNumberFormat="1" applyFont="1" applyBorder="1" applyAlignment="1" applyProtection="1">
      <alignment horizontal="center" vertical="center"/>
      <protection hidden="1"/>
    </xf>
    <xf numFmtId="3" fontId="42" fillId="6" borderId="18" xfId="0" applyNumberFormat="1" applyFont="1" applyFill="1" applyBorder="1" applyAlignment="1" applyProtection="1">
      <alignment horizontal="center" vertical="center"/>
      <protection hidden="1"/>
    </xf>
    <xf numFmtId="3" fontId="10" fillId="0" borderId="8" xfId="0" applyNumberFormat="1" applyFont="1" applyBorder="1" applyAlignment="1" applyProtection="1">
      <alignment horizontal="center" vertical="center"/>
      <protection hidden="1"/>
    </xf>
    <xf numFmtId="3" fontId="5" fillId="0" borderId="17" xfId="0" applyNumberFormat="1" applyFont="1" applyBorder="1" applyAlignment="1" applyProtection="1">
      <alignment horizontal="center" vertical="center"/>
      <protection hidden="1"/>
    </xf>
    <xf numFmtId="3" fontId="5" fillId="0" borderId="8" xfId="0" applyNumberFormat="1" applyFont="1" applyBorder="1" applyAlignment="1" applyProtection="1">
      <alignment horizontal="center" vertical="center"/>
      <protection hidden="1"/>
    </xf>
    <xf numFmtId="3" fontId="10" fillId="0" borderId="8" xfId="0" applyNumberFormat="1" applyFont="1" applyBorder="1" applyAlignment="1" applyProtection="1">
      <alignment vertical="center"/>
      <protection hidden="1"/>
    </xf>
    <xf numFmtId="3" fontId="10" fillId="0" borderId="6" xfId="0" applyNumberFormat="1" applyFont="1" applyBorder="1" applyAlignment="1">
      <alignment horizontal="center" vertical="center"/>
    </xf>
    <xf numFmtId="0" fontId="37" fillId="0" borderId="0" xfId="0" applyFont="1" applyAlignment="1">
      <alignment vertical="center"/>
    </xf>
    <xf numFmtId="0" fontId="10" fillId="3" borderId="59" xfId="0" applyFont="1" applyFill="1" applyBorder="1" applyAlignment="1" applyProtection="1">
      <alignment horizontal="left" vertical="center"/>
      <protection hidden="1"/>
    </xf>
    <xf numFmtId="0" fontId="10" fillId="3" borderId="26" xfId="0" applyFont="1" applyFill="1" applyBorder="1" applyAlignment="1" applyProtection="1">
      <alignment horizontal="left" vertical="center"/>
      <protection hidden="1"/>
    </xf>
    <xf numFmtId="3" fontId="10" fillId="3" borderId="4" xfId="0" applyNumberFormat="1" applyFont="1" applyFill="1" applyBorder="1" applyAlignment="1">
      <alignment horizontal="center" vertical="center"/>
    </xf>
    <xf numFmtId="0" fontId="69" fillId="8" borderId="258" xfId="0" applyFont="1" applyFill="1" applyBorder="1" applyAlignment="1" applyProtection="1">
      <alignment horizontal="left" vertical="center"/>
      <protection hidden="1"/>
    </xf>
    <xf numFmtId="0" fontId="2" fillId="0" borderId="0" xfId="0" applyFont="1" applyAlignment="1">
      <alignment horizontal="center"/>
    </xf>
    <xf numFmtId="167" fontId="11" fillId="0" borderId="18" xfId="0" applyNumberFormat="1" applyFont="1" applyBorder="1" applyAlignment="1" applyProtection="1">
      <alignment horizontal="right" vertical="center"/>
      <protection hidden="1"/>
    </xf>
    <xf numFmtId="164" fontId="11" fillId="0" borderId="18" xfId="2" applyNumberFormat="1" applyFont="1" applyBorder="1" applyProtection="1">
      <protection hidden="1"/>
    </xf>
    <xf numFmtId="164" fontId="11" fillId="0" borderId="18" xfId="2" applyNumberFormat="1" applyFont="1" applyBorder="1" applyAlignment="1" applyProtection="1">
      <alignment horizontal="right" vertical="center"/>
      <protection hidden="1"/>
    </xf>
    <xf numFmtId="164" fontId="0" fillId="0" borderId="0" xfId="0" applyNumberFormat="1"/>
    <xf numFmtId="167" fontId="11" fillId="0" borderId="20" xfId="0" applyNumberFormat="1" applyFont="1" applyBorder="1" applyAlignment="1" applyProtection="1">
      <alignment horizontal="right" vertical="center"/>
      <protection hidden="1"/>
    </xf>
    <xf numFmtId="0" fontId="3" fillId="0" borderId="0" xfId="0" applyFont="1" applyAlignment="1">
      <alignment horizontal="left"/>
    </xf>
    <xf numFmtId="0" fontId="44" fillId="0" borderId="26" xfId="0" applyFont="1" applyBorder="1" applyAlignment="1" applyProtection="1">
      <alignment vertical="center"/>
      <protection locked="0"/>
    </xf>
    <xf numFmtId="0" fontId="44" fillId="0" borderId="0" xfId="2" applyNumberFormat="1" applyFont="1" applyBorder="1" applyAlignment="1" applyProtection="1">
      <alignment vertical="center"/>
      <protection locked="0"/>
    </xf>
    <xf numFmtId="0" fontId="44" fillId="0" borderId="31" xfId="0" applyFont="1" applyBorder="1" applyAlignment="1" applyProtection="1">
      <alignment vertical="center"/>
      <protection locked="0"/>
    </xf>
    <xf numFmtId="0" fontId="2" fillId="0" borderId="94" xfId="0" applyFont="1" applyBorder="1" applyAlignment="1">
      <alignment horizontal="center" vertical="center"/>
    </xf>
    <xf numFmtId="0" fontId="2" fillId="0" borderId="160" xfId="0" applyFont="1" applyBorder="1" applyAlignment="1">
      <alignment horizontal="center"/>
    </xf>
    <xf numFmtId="0" fontId="2" fillId="0" borderId="41" xfId="0" applyFont="1" applyBorder="1" applyAlignment="1">
      <alignment horizontal="center" vertical="center"/>
    </xf>
    <xf numFmtId="3" fontId="3" fillId="0" borderId="6" xfId="0" applyNumberFormat="1" applyFont="1" applyBorder="1" applyAlignment="1">
      <alignment horizontal="center" vertical="center"/>
    </xf>
    <xf numFmtId="0" fontId="11" fillId="0" borderId="34" xfId="0" applyFont="1" applyBorder="1" applyAlignment="1">
      <alignment vertical="center"/>
    </xf>
    <xf numFmtId="0" fontId="11" fillId="0" borderId="225" xfId="0" applyFont="1" applyBorder="1" applyAlignment="1" applyProtection="1">
      <alignment vertical="center"/>
      <protection hidden="1"/>
    </xf>
    <xf numFmtId="3" fontId="11" fillId="15" borderId="18" xfId="0" applyNumberFormat="1" applyFont="1" applyFill="1" applyBorder="1" applyAlignment="1">
      <alignment horizontal="center" vertical="center"/>
    </xf>
    <xf numFmtId="164" fontId="11" fillId="15" borderId="18" xfId="0" applyNumberFormat="1" applyFont="1" applyFill="1" applyBorder="1" applyAlignment="1">
      <alignment horizontal="center" vertical="center"/>
    </xf>
    <xf numFmtId="1" fontId="44" fillId="7" borderId="18" xfId="0" applyNumberFormat="1" applyFont="1" applyFill="1" applyBorder="1" applyAlignment="1" applyProtection="1">
      <alignment horizontal="center" vertical="center"/>
      <protection locked="0"/>
    </xf>
    <xf numFmtId="3" fontId="39" fillId="7" borderId="18" xfId="0" applyNumberFormat="1" applyFont="1" applyFill="1" applyBorder="1" applyAlignment="1" applyProtection="1">
      <alignment horizontal="center" vertical="center"/>
      <protection locked="0" hidden="1"/>
    </xf>
    <xf numFmtId="3" fontId="39" fillId="6" borderId="18" xfId="0" applyNumberFormat="1" applyFont="1" applyFill="1" applyBorder="1" applyAlignment="1" applyProtection="1">
      <alignment horizontal="center" vertical="center"/>
      <protection hidden="1"/>
    </xf>
    <xf numFmtId="3" fontId="39" fillId="3" borderId="32" xfId="0" applyNumberFormat="1" applyFont="1" applyFill="1" applyBorder="1" applyAlignment="1" applyProtection="1">
      <alignment horizontal="center" vertical="center"/>
      <protection hidden="1"/>
    </xf>
    <xf numFmtId="3" fontId="11" fillId="0" borderId="8" xfId="0" applyNumberFormat="1" applyFont="1" applyBorder="1" applyAlignment="1" applyProtection="1">
      <alignment horizontal="center" vertical="center"/>
      <protection hidden="1"/>
    </xf>
    <xf numFmtId="0" fontId="10" fillId="0" borderId="13" xfId="0" applyFont="1" applyBorder="1"/>
    <xf numFmtId="17" fontId="10" fillId="0" borderId="3" xfId="0" applyNumberFormat="1" applyFont="1" applyBorder="1" applyAlignment="1">
      <alignment horizontal="center" vertical="center"/>
    </xf>
    <xf numFmtId="0" fontId="10" fillId="0" borderId="27" xfId="0" applyFont="1" applyBorder="1"/>
    <xf numFmtId="1" fontId="10" fillId="0" borderId="28" xfId="0" applyNumberFormat="1" applyFont="1" applyBorder="1"/>
    <xf numFmtId="3" fontId="10" fillId="0" borderId="28" xfId="0" applyNumberFormat="1" applyFont="1" applyBorder="1"/>
    <xf numFmtId="0" fontId="11" fillId="0" borderId="27" xfId="0" applyFont="1" applyBorder="1"/>
    <xf numFmtId="3" fontId="11" fillId="0" borderId="28" xfId="0" applyNumberFormat="1" applyFont="1" applyBorder="1"/>
    <xf numFmtId="0" fontId="0" fillId="0" borderId="14" xfId="0" applyBorder="1"/>
    <xf numFmtId="3" fontId="0" fillId="0" borderId="68" xfId="0" applyNumberFormat="1" applyBorder="1"/>
    <xf numFmtId="0" fontId="6" fillId="0" borderId="24" xfId="0" applyFont="1" applyBorder="1" applyAlignment="1" applyProtection="1">
      <alignment horizontal="center" vertical="center"/>
      <protection hidden="1"/>
    </xf>
    <xf numFmtId="10" fontId="3" fillId="5" borderId="32" xfId="2" applyNumberFormat="1" applyFont="1" applyFill="1" applyBorder="1" applyAlignment="1" applyProtection="1">
      <alignment horizontal="center" vertical="center"/>
      <protection hidden="1"/>
    </xf>
    <xf numFmtId="10" fontId="3" fillId="5" borderId="59" xfId="2" applyNumberFormat="1" applyFont="1" applyFill="1" applyBorder="1" applyAlignment="1" applyProtection="1">
      <alignment horizontal="center" vertical="center"/>
      <protection hidden="1"/>
    </xf>
    <xf numFmtId="10" fontId="3" fillId="7" borderId="59" xfId="0" applyNumberFormat="1" applyFont="1" applyFill="1" applyBorder="1" applyAlignment="1">
      <alignment horizontal="center" vertical="center"/>
    </xf>
    <xf numFmtId="10" fontId="3" fillId="5" borderId="59" xfId="0" applyNumberFormat="1" applyFont="1" applyFill="1" applyBorder="1" applyAlignment="1">
      <alignment horizontal="center" vertical="center"/>
    </xf>
    <xf numFmtId="10" fontId="6" fillId="5" borderId="33" xfId="0" applyNumberFormat="1" applyFont="1" applyFill="1" applyBorder="1" applyAlignment="1">
      <alignment horizontal="center" vertical="center"/>
    </xf>
    <xf numFmtId="10" fontId="3" fillId="5" borderId="32" xfId="0" applyNumberFormat="1" applyFont="1" applyFill="1" applyBorder="1" applyAlignment="1">
      <alignment horizontal="center" vertical="center"/>
    </xf>
    <xf numFmtId="10" fontId="3" fillId="7" borderId="32" xfId="0" applyNumberFormat="1" applyFont="1" applyFill="1" applyBorder="1" applyAlignment="1">
      <alignment horizontal="center" vertical="center"/>
    </xf>
    <xf numFmtId="10" fontId="6" fillId="5" borderId="24" xfId="0" applyNumberFormat="1" applyFont="1" applyFill="1" applyBorder="1" applyAlignment="1">
      <alignment horizontal="center" vertical="center"/>
    </xf>
    <xf numFmtId="10" fontId="0" fillId="5" borderId="51" xfId="0" applyNumberFormat="1" applyFill="1" applyBorder="1"/>
    <xf numFmtId="10" fontId="6" fillId="5" borderId="32" xfId="0" applyNumberFormat="1" applyFont="1" applyFill="1" applyBorder="1" applyAlignment="1">
      <alignment horizontal="center" vertical="center"/>
    </xf>
    <xf numFmtId="10" fontId="0" fillId="5" borderId="33" xfId="0" applyNumberFormat="1" applyFill="1" applyBorder="1"/>
    <xf numFmtId="165" fontId="0" fillId="0" borderId="26" xfId="0" applyNumberFormat="1" applyBorder="1" applyAlignment="1">
      <alignment horizontal="center" vertical="center"/>
    </xf>
    <xf numFmtId="0" fontId="6" fillId="0" borderId="0" xfId="0" applyFont="1" applyAlignment="1" applyProtection="1">
      <alignment horizontal="center" vertical="center" wrapText="1"/>
      <protection hidden="1"/>
    </xf>
    <xf numFmtId="166" fontId="39" fillId="0" borderId="241" xfId="0" applyNumberFormat="1" applyFont="1" applyBorder="1" applyAlignment="1">
      <alignment horizontal="center" vertical="center"/>
    </xf>
    <xf numFmtId="0" fontId="4" fillId="0" borderId="57" xfId="0" applyFont="1" applyBorder="1" applyAlignment="1" applyProtection="1">
      <alignment horizontal="center" vertical="center"/>
      <protection hidden="1"/>
    </xf>
    <xf numFmtId="0" fontId="40" fillId="0" borderId="24" xfId="0" applyFont="1" applyBorder="1" applyAlignment="1">
      <alignment horizontal="left" vertical="center"/>
    </xf>
    <xf numFmtId="0" fontId="41" fillId="0" borderId="17" xfId="0" applyFont="1" applyBorder="1" applyAlignment="1">
      <alignment horizontal="left" vertical="center"/>
    </xf>
    <xf numFmtId="4" fontId="11" fillId="0" borderId="35" xfId="0" applyNumberFormat="1" applyFont="1" applyBorder="1" applyAlignment="1" applyProtection="1">
      <alignment horizontal="center"/>
      <protection hidden="1"/>
    </xf>
    <xf numFmtId="2" fontId="4" fillId="0" borderId="17" xfId="0" applyNumberFormat="1" applyFont="1" applyBorder="1" applyAlignment="1">
      <alignment horizontal="left" vertical="center"/>
    </xf>
    <xf numFmtId="167" fontId="11" fillId="5" borderId="35" xfId="0" applyNumberFormat="1" applyFont="1" applyFill="1" applyBorder="1" applyAlignment="1">
      <alignment horizontal="center" vertical="center"/>
    </xf>
    <xf numFmtId="3" fontId="5" fillId="0" borderId="208" xfId="0" applyNumberFormat="1" applyFont="1" applyBorder="1" applyAlignment="1" applyProtection="1">
      <alignment horizontal="center" vertical="center"/>
      <protection hidden="1"/>
    </xf>
    <xf numFmtId="0" fontId="58" fillId="0" borderId="0" xfId="0" applyFont="1" applyAlignment="1">
      <alignment horizontal="center" vertical="center" wrapText="1"/>
    </xf>
    <xf numFmtId="0" fontId="23" fillId="0" borderId="0" xfId="0" applyFont="1" applyAlignment="1">
      <alignment horizontal="center" vertical="center"/>
    </xf>
    <xf numFmtId="0" fontId="67" fillId="0" borderId="0" xfId="0" applyFont="1" applyAlignment="1">
      <alignment horizontal="right" vertical="top" wrapText="1"/>
    </xf>
    <xf numFmtId="0" fontId="11" fillId="7" borderId="21" xfId="0" applyFont="1" applyFill="1" applyBorder="1" applyAlignment="1" applyProtection="1">
      <alignment horizontal="left" vertical="center" indent="1"/>
      <protection locked="0"/>
    </xf>
    <xf numFmtId="0" fontId="11" fillId="7" borderId="43" xfId="0" applyFont="1" applyFill="1" applyBorder="1" applyAlignment="1" applyProtection="1">
      <alignment horizontal="left" vertical="center" indent="1"/>
      <protection locked="0"/>
    </xf>
    <xf numFmtId="0" fontId="55" fillId="0" borderId="0" xfId="0" applyFont="1" applyAlignment="1">
      <alignment horizontal="center" vertical="center"/>
    </xf>
    <xf numFmtId="14" fontId="10" fillId="7" borderId="0" xfId="0" applyNumberFormat="1" applyFont="1" applyFill="1" applyAlignment="1" applyProtection="1">
      <alignment horizontal="left" vertical="center"/>
      <protection locked="0"/>
    </xf>
    <xf numFmtId="6" fontId="74" fillId="13" borderId="156" xfId="0" applyNumberFormat="1" applyFont="1" applyFill="1" applyBorder="1" applyAlignment="1">
      <alignment horizontal="center" vertical="center"/>
    </xf>
    <xf numFmtId="6" fontId="74" fillId="13" borderId="167" xfId="0" applyNumberFormat="1" applyFont="1" applyFill="1" applyBorder="1" applyAlignment="1">
      <alignment horizontal="center" vertical="center"/>
    </xf>
    <xf numFmtId="0" fontId="11" fillId="7" borderId="21" xfId="0" applyFont="1" applyFill="1" applyBorder="1" applyAlignment="1" applyProtection="1">
      <alignment vertical="center"/>
      <protection locked="0"/>
    </xf>
    <xf numFmtId="0" fontId="11" fillId="7" borderId="11" xfId="0" applyFont="1" applyFill="1" applyBorder="1" applyAlignment="1" applyProtection="1">
      <alignment vertical="center"/>
      <protection locked="0"/>
    </xf>
    <xf numFmtId="0" fontId="11" fillId="7" borderId="43" xfId="0" applyFont="1" applyFill="1" applyBorder="1" applyAlignment="1" applyProtection="1">
      <alignment vertical="center"/>
      <protection locked="0"/>
    </xf>
    <xf numFmtId="0" fontId="10" fillId="0" borderId="24" xfId="0" applyFont="1" applyBorder="1" applyAlignment="1" applyProtection="1">
      <alignment horizontal="left" vertical="center"/>
      <protection hidden="1"/>
    </xf>
    <xf numFmtId="0" fontId="10" fillId="0" borderId="17" xfId="0" applyFont="1" applyBorder="1" applyAlignment="1" applyProtection="1">
      <alignment horizontal="left" vertical="center"/>
      <protection hidden="1"/>
    </xf>
    <xf numFmtId="14" fontId="5" fillId="0" borderId="0" xfId="0" applyNumberFormat="1" applyFont="1" applyAlignment="1">
      <alignment horizontal="center"/>
    </xf>
    <xf numFmtId="0" fontId="0" fillId="0" borderId="0" xfId="0" applyAlignment="1">
      <alignment horizontal="center"/>
    </xf>
    <xf numFmtId="0" fontId="5" fillId="7" borderId="161" xfId="0" applyFont="1" applyFill="1" applyBorder="1" applyAlignment="1" applyProtection="1">
      <alignment horizontal="left" vertical="center"/>
      <protection locked="0"/>
    </xf>
    <xf numFmtId="0" fontId="5" fillId="7" borderId="17" xfId="0" applyFont="1" applyFill="1" applyBorder="1" applyAlignment="1" applyProtection="1">
      <alignment horizontal="left" vertical="center"/>
      <protection locked="0"/>
    </xf>
    <xf numFmtId="0" fontId="5" fillId="7" borderId="58" xfId="0" applyFont="1" applyFill="1" applyBorder="1" applyAlignment="1" applyProtection="1">
      <alignment horizontal="left" vertical="center"/>
      <protection locked="0"/>
    </xf>
    <xf numFmtId="0" fontId="2" fillId="7" borderId="17" xfId="3" applyFont="1" applyFill="1" applyBorder="1" applyAlignment="1" applyProtection="1">
      <alignment horizontal="left" vertical="center"/>
      <protection locked="0"/>
    </xf>
    <xf numFmtId="0" fontId="2" fillId="7" borderId="17" xfId="0" applyFont="1" applyFill="1" applyBorder="1" applyAlignment="1" applyProtection="1">
      <alignment horizontal="left" vertical="center"/>
      <protection locked="0"/>
    </xf>
    <xf numFmtId="0" fontId="2" fillId="7" borderId="164" xfId="0" applyFont="1" applyFill="1" applyBorder="1" applyAlignment="1" applyProtection="1">
      <alignment horizontal="left" vertical="center"/>
      <protection locked="0"/>
    </xf>
    <xf numFmtId="49" fontId="2" fillId="7" borderId="17" xfId="0" applyNumberFormat="1" applyFont="1" applyFill="1" applyBorder="1" applyAlignment="1" applyProtection="1">
      <alignment horizontal="left" vertical="center"/>
      <protection locked="0"/>
    </xf>
    <xf numFmtId="49" fontId="4" fillId="7" borderId="17" xfId="0" applyNumberFormat="1" applyFont="1" applyFill="1" applyBorder="1" applyAlignment="1" applyProtection="1">
      <alignment horizontal="left" vertical="center"/>
      <protection locked="0"/>
    </xf>
    <xf numFmtId="49" fontId="4" fillId="7" borderId="164" xfId="0" applyNumberFormat="1" applyFont="1" applyFill="1" applyBorder="1" applyAlignment="1" applyProtection="1">
      <alignment horizontal="left" vertical="center"/>
      <protection locked="0"/>
    </xf>
    <xf numFmtId="0" fontId="8" fillId="0" borderId="8" xfId="0" applyFont="1" applyBorder="1" applyAlignment="1">
      <alignment horizontal="left" vertical="center"/>
    </xf>
    <xf numFmtId="0" fontId="8" fillId="0" borderId="165" xfId="0" applyFont="1" applyBorder="1" applyAlignment="1">
      <alignment horizontal="left" vertical="center"/>
    </xf>
    <xf numFmtId="0" fontId="6" fillId="0" borderId="0" xfId="0" applyFont="1" applyAlignment="1">
      <alignment horizontal="left" vertical="center"/>
    </xf>
    <xf numFmtId="0" fontId="6" fillId="0" borderId="0" xfId="0" applyFont="1" applyAlignment="1">
      <alignment horizontal="right" vertical="center"/>
    </xf>
    <xf numFmtId="0" fontId="5" fillId="0" borderId="160" xfId="0" applyFont="1" applyBorder="1" applyAlignment="1">
      <alignment horizontal="left"/>
    </xf>
    <xf numFmtId="0" fontId="5" fillId="0" borderId="8" xfId="0" applyFont="1" applyBorder="1" applyAlignment="1">
      <alignment horizontal="left"/>
    </xf>
    <xf numFmtId="0" fontId="5" fillId="0" borderId="158" xfId="0" applyFont="1" applyBorder="1" applyAlignment="1">
      <alignment horizontal="left" vertical="center"/>
    </xf>
    <xf numFmtId="0" fontId="5" fillId="0" borderId="3" xfId="0" applyFont="1" applyBorder="1" applyAlignment="1">
      <alignment horizontal="left" vertical="center"/>
    </xf>
    <xf numFmtId="0" fontId="2" fillId="7" borderId="161" xfId="0" applyFont="1" applyFill="1" applyBorder="1" applyAlignment="1" applyProtection="1">
      <alignment horizontal="left" vertical="center"/>
      <protection locked="0"/>
    </xf>
    <xf numFmtId="0" fontId="4" fillId="7" borderId="17" xfId="0" applyFont="1" applyFill="1" applyBorder="1" applyAlignment="1" applyProtection="1">
      <alignment horizontal="left" vertical="center"/>
      <protection locked="0"/>
    </xf>
    <xf numFmtId="0" fontId="4" fillId="7" borderId="58" xfId="0" applyFont="1" applyFill="1" applyBorder="1" applyAlignment="1" applyProtection="1">
      <alignment horizontal="left" vertical="center"/>
      <protection locked="0"/>
    </xf>
    <xf numFmtId="0" fontId="73" fillId="13" borderId="91" xfId="0" applyFont="1" applyFill="1" applyBorder="1" applyAlignment="1">
      <alignment horizontal="center" vertical="center"/>
    </xf>
    <xf numFmtId="0" fontId="73" fillId="13" borderId="106" xfId="0" applyFont="1" applyFill="1" applyBorder="1" applyAlignment="1">
      <alignment horizontal="center" vertical="center"/>
    </xf>
    <xf numFmtId="0" fontId="73" fillId="13" borderId="166" xfId="0" applyFont="1" applyFill="1" applyBorder="1" applyAlignment="1">
      <alignment horizontal="center" vertical="center"/>
    </xf>
    <xf numFmtId="0" fontId="73" fillId="13" borderId="42" xfId="0" applyFont="1" applyFill="1" applyBorder="1" applyAlignment="1">
      <alignment horizontal="center" vertical="center"/>
    </xf>
    <xf numFmtId="49" fontId="2" fillId="7" borderId="99" xfId="0" applyNumberFormat="1" applyFont="1" applyFill="1" applyBorder="1" applyAlignment="1" applyProtection="1">
      <alignment horizontal="left" vertical="center"/>
      <protection locked="0"/>
    </xf>
    <xf numFmtId="49" fontId="4" fillId="7" borderId="99" xfId="0" applyNumberFormat="1" applyFont="1" applyFill="1" applyBorder="1" applyAlignment="1" applyProtection="1">
      <alignment horizontal="left" vertical="center"/>
      <protection locked="0"/>
    </xf>
    <xf numFmtId="49" fontId="4" fillId="7" borderId="98" xfId="0" applyNumberFormat="1" applyFont="1" applyFill="1" applyBorder="1" applyAlignment="1" applyProtection="1">
      <alignment horizontal="left" vertical="center"/>
      <protection locked="0"/>
    </xf>
    <xf numFmtId="0" fontId="2" fillId="7" borderId="101" xfId="0" applyFont="1" applyFill="1" applyBorder="1" applyAlignment="1" applyProtection="1">
      <alignment horizontal="left" vertical="center"/>
      <protection locked="0"/>
    </xf>
    <xf numFmtId="0" fontId="2" fillId="7" borderId="0" xfId="0" applyFont="1" applyFill="1" applyAlignment="1" applyProtection="1">
      <alignment horizontal="left" vertical="center"/>
      <protection locked="0"/>
    </xf>
    <xf numFmtId="0" fontId="2" fillId="7" borderId="31" xfId="0" applyFont="1" applyFill="1" applyBorder="1" applyAlignment="1" applyProtection="1">
      <alignment horizontal="left" vertical="center"/>
      <protection locked="0"/>
    </xf>
    <xf numFmtId="0" fontId="2" fillId="7" borderId="94" xfId="0" applyFont="1" applyFill="1" applyBorder="1" applyAlignment="1" applyProtection="1">
      <alignment horizontal="left" vertical="center"/>
      <protection locked="0"/>
    </xf>
    <xf numFmtId="0" fontId="4" fillId="7" borderId="99" xfId="0" applyFont="1" applyFill="1" applyBorder="1" applyAlignment="1" applyProtection="1">
      <alignment horizontal="left" vertical="center"/>
      <protection locked="0"/>
    </xf>
    <xf numFmtId="0" fontId="4" fillId="7" borderId="108" xfId="0" applyFont="1" applyFill="1" applyBorder="1" applyAlignment="1" applyProtection="1">
      <alignment horizontal="left" vertical="center"/>
      <protection locked="0"/>
    </xf>
    <xf numFmtId="0" fontId="74" fillId="13" borderId="13" xfId="0" applyFont="1" applyFill="1" applyBorder="1" applyAlignment="1">
      <alignment horizontal="center" vertical="center"/>
    </xf>
    <xf numFmtId="0" fontId="74" fillId="13" borderId="3" xfId="0" applyFont="1" applyFill="1" applyBorder="1" applyAlignment="1">
      <alignment horizontal="center" vertical="center"/>
    </xf>
    <xf numFmtId="0" fontId="16" fillId="0" borderId="0" xfId="0" applyFont="1" applyAlignment="1">
      <alignment horizontal="left" vertical="center"/>
    </xf>
    <xf numFmtId="0" fontId="8" fillId="0" borderId="0" xfId="0" applyFont="1" applyAlignment="1">
      <alignment horizontal="left"/>
    </xf>
    <xf numFmtId="1" fontId="74" fillId="13" borderId="40" xfId="0" applyNumberFormat="1" applyFont="1" applyFill="1" applyBorder="1" applyAlignment="1">
      <alignment horizontal="center" vertical="center"/>
    </xf>
    <xf numFmtId="0" fontId="74" fillId="13" borderId="17" xfId="0" applyFont="1" applyFill="1" applyBorder="1" applyAlignment="1">
      <alignment horizontal="center" vertical="center"/>
    </xf>
    <xf numFmtId="0" fontId="67" fillId="13" borderId="30" xfId="0" applyFont="1" applyFill="1" applyBorder="1" applyAlignment="1">
      <alignment horizontal="center" vertical="center" wrapText="1"/>
    </xf>
    <xf numFmtId="0" fontId="67" fillId="13" borderId="60" xfId="0" applyFont="1" applyFill="1" applyBorder="1" applyAlignment="1">
      <alignment horizontal="center" vertical="center" wrapText="1"/>
    </xf>
    <xf numFmtId="0" fontId="67" fillId="13" borderId="64" xfId="0" applyFont="1" applyFill="1" applyBorder="1" applyAlignment="1">
      <alignment horizontal="center" vertical="center" wrapText="1"/>
    </xf>
    <xf numFmtId="0" fontId="76" fillId="13" borderId="29" xfId="0" applyFont="1" applyFill="1" applyBorder="1" applyAlignment="1">
      <alignment horizontal="center" vertical="center" wrapText="1"/>
    </xf>
    <xf numFmtId="0" fontId="76" fillId="13" borderId="59" xfId="0" applyFont="1" applyFill="1" applyBorder="1" applyAlignment="1">
      <alignment horizontal="center" vertical="center" wrapText="1"/>
    </xf>
    <xf numFmtId="0" fontId="76" fillId="13" borderId="61" xfId="0" applyFont="1" applyFill="1" applyBorder="1" applyAlignment="1">
      <alignment horizontal="center" vertical="center" wrapText="1"/>
    </xf>
    <xf numFmtId="0" fontId="74" fillId="13" borderId="27" xfId="0" applyFont="1" applyFill="1" applyBorder="1" applyAlignment="1">
      <alignment horizontal="center" vertical="center"/>
    </xf>
    <xf numFmtId="0" fontId="74" fillId="13" borderId="0" xfId="0" applyFont="1" applyFill="1" applyAlignment="1">
      <alignment horizontal="center" vertical="center"/>
    </xf>
    <xf numFmtId="0" fontId="74" fillId="13" borderId="28" xfId="0" applyFont="1" applyFill="1" applyBorder="1" applyAlignment="1">
      <alignment horizontal="center" vertical="center"/>
    </xf>
    <xf numFmtId="1" fontId="74" fillId="13" borderId="13" xfId="0" applyNumberFormat="1" applyFont="1" applyFill="1" applyBorder="1" applyAlignment="1">
      <alignment horizontal="center" vertical="center"/>
    </xf>
    <xf numFmtId="0" fontId="74" fillId="13" borderId="2" xfId="0" applyFont="1" applyFill="1" applyBorder="1" applyAlignment="1">
      <alignment horizontal="center" vertical="center"/>
    </xf>
    <xf numFmtId="0" fontId="74" fillId="13" borderId="13" xfId="0" applyFont="1" applyFill="1" applyBorder="1" applyAlignment="1" applyProtection="1">
      <alignment horizontal="center"/>
      <protection hidden="1"/>
    </xf>
    <xf numFmtId="0" fontId="74" fillId="13" borderId="3" xfId="0" applyFont="1" applyFill="1" applyBorder="1" applyAlignment="1" applyProtection="1">
      <alignment horizontal="center"/>
      <protection hidden="1"/>
    </xf>
    <xf numFmtId="0" fontId="74" fillId="13" borderId="2" xfId="0" applyFont="1" applyFill="1" applyBorder="1" applyAlignment="1" applyProtection="1">
      <alignment horizontal="center"/>
      <protection hidden="1"/>
    </xf>
    <xf numFmtId="1" fontId="74" fillId="13" borderId="17" xfId="0" applyNumberFormat="1" applyFont="1" applyFill="1" applyBorder="1" applyAlignment="1">
      <alignment horizontal="center" vertical="center"/>
    </xf>
    <xf numFmtId="0" fontId="74" fillId="13" borderId="67" xfId="0" applyFont="1" applyFill="1" applyBorder="1" applyAlignment="1">
      <alignment horizontal="center" vertical="center"/>
    </xf>
    <xf numFmtId="14" fontId="16" fillId="0" borderId="0" xfId="0" applyNumberFormat="1" applyFont="1" applyAlignment="1">
      <alignment horizontal="left" vertical="center"/>
    </xf>
    <xf numFmtId="0" fontId="10" fillId="3" borderId="183" xfId="0" applyFont="1" applyFill="1" applyBorder="1" applyAlignment="1">
      <alignment horizontal="center"/>
    </xf>
    <xf numFmtId="0" fontId="71" fillId="13" borderId="13" xfId="0" applyFont="1" applyFill="1" applyBorder="1" applyAlignment="1" applyProtection="1">
      <alignment horizontal="center" vertical="center"/>
      <protection hidden="1"/>
    </xf>
    <xf numFmtId="0" fontId="71" fillId="13" borderId="2" xfId="0" applyFont="1" applyFill="1" applyBorder="1" applyAlignment="1" applyProtection="1">
      <alignment horizontal="center" vertical="center"/>
      <protection hidden="1"/>
    </xf>
    <xf numFmtId="1" fontId="71" fillId="13" borderId="40" xfId="0" applyNumberFormat="1" applyFont="1" applyFill="1" applyBorder="1" applyAlignment="1">
      <alignment horizontal="center"/>
    </xf>
    <xf numFmtId="1" fontId="71" fillId="13" borderId="67" xfId="0" applyNumberFormat="1" applyFont="1" applyFill="1" applyBorder="1" applyAlignment="1">
      <alignment horizontal="center"/>
    </xf>
    <xf numFmtId="0" fontId="73" fillId="13" borderId="13" xfId="0" applyFont="1" applyFill="1" applyBorder="1" applyAlignment="1">
      <alignment horizontal="center" vertical="center" wrapText="1"/>
    </xf>
    <xf numFmtId="0" fontId="73" fillId="13" borderId="2" xfId="0" applyFont="1" applyFill="1" applyBorder="1" applyAlignment="1">
      <alignment horizontal="center" vertical="center" wrapText="1"/>
    </xf>
    <xf numFmtId="0" fontId="73" fillId="13" borderId="27" xfId="0" applyFont="1" applyFill="1" applyBorder="1" applyAlignment="1">
      <alignment horizontal="center" vertical="center" wrapText="1"/>
    </xf>
    <xf numFmtId="0" fontId="73" fillId="13" borderId="28" xfId="0" applyFont="1" applyFill="1" applyBorder="1" applyAlignment="1">
      <alignment horizontal="center" vertical="center" wrapText="1"/>
    </xf>
    <xf numFmtId="0" fontId="73" fillId="13" borderId="14" xfId="0" applyFont="1" applyFill="1" applyBorder="1" applyAlignment="1">
      <alignment horizontal="center" vertical="center" wrapText="1"/>
    </xf>
    <xf numFmtId="0" fontId="73" fillId="13" borderId="68" xfId="0" applyFont="1" applyFill="1" applyBorder="1" applyAlignment="1">
      <alignment horizontal="center" vertical="center" wrapText="1"/>
    </xf>
    <xf numFmtId="0" fontId="10" fillId="7" borderId="183" xfId="0" applyFont="1" applyFill="1" applyBorder="1" applyAlignment="1" applyProtection="1">
      <alignment horizontal="center" vertical="center"/>
      <protection locked="0"/>
    </xf>
    <xf numFmtId="0" fontId="10" fillId="0" borderId="24" xfId="0" applyFont="1" applyBorder="1" applyAlignment="1">
      <alignment horizontal="center"/>
    </xf>
    <xf numFmtId="0" fontId="10" fillId="0" borderId="17" xfId="0" applyFont="1" applyBorder="1" applyAlignment="1">
      <alignment horizontal="center"/>
    </xf>
    <xf numFmtId="1" fontId="6" fillId="0" borderId="63" xfId="0" applyNumberFormat="1" applyFont="1" applyBorder="1" applyAlignment="1">
      <alignment horizontal="right" vertical="center"/>
    </xf>
    <xf numFmtId="1" fontId="6" fillId="0" borderId="79" xfId="0" applyNumberFormat="1" applyFont="1" applyBorder="1" applyAlignment="1">
      <alignment horizontal="right" vertical="center"/>
    </xf>
    <xf numFmtId="9" fontId="11" fillId="0" borderId="65" xfId="0" applyNumberFormat="1" applyFont="1" applyBorder="1" applyAlignment="1">
      <alignment horizontal="left" vertical="center"/>
    </xf>
    <xf numFmtId="9" fontId="11" fillId="0" borderId="43" xfId="0" applyNumberFormat="1" applyFont="1" applyBorder="1" applyAlignment="1">
      <alignment horizontal="left" vertical="center"/>
    </xf>
    <xf numFmtId="0" fontId="10" fillId="0" borderId="27" xfId="0" applyFont="1" applyBorder="1" applyAlignment="1" applyProtection="1">
      <alignment horizontal="center"/>
      <protection locked="0"/>
    </xf>
    <xf numFmtId="0" fontId="10" fillId="0" borderId="0" xfId="0" applyFont="1" applyAlignment="1" applyProtection="1">
      <alignment horizontal="center"/>
      <protection locked="0"/>
    </xf>
    <xf numFmtId="0" fontId="16" fillId="0" borderId="0" xfId="0" applyFont="1" applyAlignment="1">
      <alignment horizontal="left"/>
    </xf>
    <xf numFmtId="2" fontId="16" fillId="0" borderId="0" xfId="0" applyNumberFormat="1" applyFont="1" applyAlignment="1" applyProtection="1">
      <alignment horizontal="left"/>
      <protection hidden="1"/>
    </xf>
    <xf numFmtId="0" fontId="16" fillId="0" borderId="0" xfId="0" applyFont="1" applyAlignment="1" applyProtection="1">
      <alignment horizontal="left"/>
      <protection hidden="1"/>
    </xf>
    <xf numFmtId="0" fontId="73" fillId="13" borderId="13" xfId="0" applyFont="1" applyFill="1" applyBorder="1" applyAlignment="1">
      <alignment vertical="center" wrapText="1"/>
    </xf>
    <xf numFmtId="0" fontId="73" fillId="13" borderId="3" xfId="0" applyFont="1" applyFill="1" applyBorder="1" applyAlignment="1">
      <alignment vertical="center" wrapText="1"/>
    </xf>
    <xf numFmtId="0" fontId="73" fillId="13" borderId="10" xfId="0" applyFont="1" applyFill="1" applyBorder="1" applyAlignment="1">
      <alignment vertical="center" wrapText="1"/>
    </xf>
    <xf numFmtId="0" fontId="73" fillId="13" borderId="40" xfId="0" applyFont="1" applyFill="1" applyBorder="1" applyAlignment="1">
      <alignment vertical="center" wrapText="1"/>
    </xf>
    <xf numFmtId="0" fontId="73" fillId="13" borderId="17" xfId="0" applyFont="1" applyFill="1" applyBorder="1" applyAlignment="1">
      <alignment vertical="center" wrapText="1"/>
    </xf>
    <xf numFmtId="0" fontId="73" fillId="13" borderId="58" xfId="0" applyFont="1" applyFill="1" applyBorder="1" applyAlignment="1">
      <alignment vertical="center" wrapText="1"/>
    </xf>
    <xf numFmtId="0" fontId="74" fillId="13" borderId="41" xfId="0" applyFont="1" applyFill="1" applyBorder="1" applyAlignment="1">
      <alignment horizontal="right" vertical="center" wrapText="1" indent="1"/>
    </xf>
    <xf numFmtId="0" fontId="74" fillId="13" borderId="15" xfId="0" applyFont="1" applyFill="1" applyBorder="1" applyAlignment="1">
      <alignment horizontal="right" vertical="center" wrapText="1" indent="1"/>
    </xf>
    <xf numFmtId="0" fontId="74" fillId="13" borderId="74" xfId="0" applyFont="1" applyFill="1" applyBorder="1" applyAlignment="1">
      <alignment horizontal="right" vertical="center" wrapText="1" indent="1"/>
    </xf>
    <xf numFmtId="0" fontId="6" fillId="0" borderId="0" xfId="0" applyFont="1" applyAlignment="1" applyProtection="1">
      <alignment horizontal="left" vertical="center"/>
      <protection hidden="1"/>
    </xf>
    <xf numFmtId="0" fontId="82" fillId="0" borderId="129" xfId="0" applyFont="1" applyBorder="1" applyAlignment="1" applyProtection="1">
      <alignment horizontal="right" vertical="center"/>
      <protection hidden="1"/>
    </xf>
    <xf numFmtId="0" fontId="11" fillId="0" borderId="173" xfId="0" applyFont="1" applyBorder="1" applyAlignment="1">
      <alignment horizontal="left" vertical="center" wrapText="1"/>
    </xf>
    <xf numFmtId="0" fontId="11" fillId="0" borderId="129" xfId="0" applyFont="1" applyBorder="1" applyAlignment="1">
      <alignment horizontal="left" vertical="center" wrapText="1"/>
    </xf>
    <xf numFmtId="0" fontId="11" fillId="0" borderId="129" xfId="0" applyFont="1" applyBorder="1" applyAlignment="1">
      <alignment horizontal="left" vertical="center"/>
    </xf>
    <xf numFmtId="0" fontId="11" fillId="0" borderId="129" xfId="0" quotePrefix="1" applyFont="1" applyBorder="1" applyAlignment="1">
      <alignment horizontal="left" vertical="center"/>
    </xf>
    <xf numFmtId="0" fontId="73" fillId="13" borderId="13" xfId="0" applyFont="1" applyFill="1" applyBorder="1" applyAlignment="1">
      <alignment horizontal="left" vertical="center"/>
    </xf>
    <xf numFmtId="0" fontId="73" fillId="13" borderId="3" xfId="0" applyFont="1" applyFill="1" applyBorder="1" applyAlignment="1">
      <alignment horizontal="left" vertical="center"/>
    </xf>
    <xf numFmtId="0" fontId="73" fillId="13" borderId="10" xfId="0" applyFont="1" applyFill="1" applyBorder="1" applyAlignment="1">
      <alignment horizontal="left" vertical="center"/>
    </xf>
    <xf numFmtId="0" fontId="73" fillId="13" borderId="40" xfId="0" applyFont="1" applyFill="1" applyBorder="1" applyAlignment="1">
      <alignment horizontal="left" vertical="center"/>
    </xf>
    <xf numFmtId="0" fontId="73" fillId="13" borderId="17" xfId="0" applyFont="1" applyFill="1" applyBorder="1" applyAlignment="1">
      <alignment horizontal="left" vertical="center"/>
    </xf>
    <xf numFmtId="0" fontId="73" fillId="13" borderId="58" xfId="0" applyFont="1" applyFill="1" applyBorder="1" applyAlignment="1">
      <alignment horizontal="left" vertical="center"/>
    </xf>
    <xf numFmtId="0" fontId="82" fillId="0" borderId="175" xfId="0" applyFont="1" applyBorder="1" applyAlignment="1" applyProtection="1">
      <alignment horizontal="right" vertical="center"/>
      <protection hidden="1"/>
    </xf>
    <xf numFmtId="0" fontId="73" fillId="13" borderId="13" xfId="0" applyFont="1" applyFill="1" applyBorder="1" applyAlignment="1" applyProtection="1">
      <alignment horizontal="left" vertical="center"/>
      <protection hidden="1"/>
    </xf>
    <xf numFmtId="0" fontId="73" fillId="13" borderId="3" xfId="0" applyFont="1" applyFill="1" applyBorder="1" applyAlignment="1" applyProtection="1">
      <alignment horizontal="left" vertical="center"/>
      <protection hidden="1"/>
    </xf>
    <xf numFmtId="0" fontId="73" fillId="13" borderId="14" xfId="0" applyFont="1" applyFill="1" applyBorder="1" applyAlignment="1" applyProtection="1">
      <alignment horizontal="left" vertical="center"/>
      <protection hidden="1"/>
    </xf>
    <xf numFmtId="0" fontId="73" fillId="13" borderId="34" xfId="0" applyFont="1" applyFill="1" applyBorder="1" applyAlignment="1" applyProtection="1">
      <alignment horizontal="left" vertical="center"/>
      <protection hidden="1"/>
    </xf>
    <xf numFmtId="0" fontId="11" fillId="0" borderId="218" xfId="0" applyFont="1" applyBorder="1" applyAlignment="1" applyProtection="1">
      <alignment horizontal="left" vertical="center"/>
      <protection hidden="1"/>
    </xf>
    <xf numFmtId="0" fontId="11" fillId="0" borderId="219" xfId="0" applyFont="1" applyBorder="1" applyAlignment="1" applyProtection="1">
      <alignment horizontal="left" vertical="center"/>
      <protection hidden="1"/>
    </xf>
    <xf numFmtId="0" fontId="11" fillId="0" borderId="153" xfId="0" applyFont="1" applyBorder="1" applyAlignment="1" applyProtection="1">
      <alignment horizontal="left" vertical="center"/>
      <protection hidden="1"/>
    </xf>
    <xf numFmtId="14" fontId="5" fillId="0" borderId="0" xfId="0" applyNumberFormat="1" applyFont="1" applyAlignment="1">
      <alignment horizontal="left" vertical="center"/>
    </xf>
    <xf numFmtId="0" fontId="0" fillId="0" borderId="24" xfId="0" applyBorder="1" applyAlignment="1">
      <alignment horizontal="left" vertical="center"/>
    </xf>
    <xf numFmtId="0" fontId="0" fillId="0" borderId="17" xfId="0" applyBorder="1" applyAlignment="1">
      <alignment horizontal="left" vertical="center"/>
    </xf>
    <xf numFmtId="0" fontId="11" fillId="0" borderId="128" xfId="0" applyFont="1" applyBorder="1" applyAlignment="1" applyProtection="1">
      <alignment vertical="center"/>
      <protection hidden="1"/>
    </xf>
    <xf numFmtId="0" fontId="11" fillId="0" borderId="129" xfId="0" applyFont="1" applyBorder="1" applyAlignment="1" applyProtection="1">
      <alignment vertical="center"/>
      <protection hidden="1"/>
    </xf>
    <xf numFmtId="0" fontId="11" fillId="0" borderId="127" xfId="0" applyFont="1" applyBorder="1" applyAlignment="1" applyProtection="1">
      <alignment vertical="center"/>
      <protection hidden="1"/>
    </xf>
    <xf numFmtId="0" fontId="11" fillId="0" borderId="128" xfId="0" applyFont="1" applyBorder="1" applyAlignment="1" applyProtection="1">
      <alignment horizontal="left" vertical="center"/>
      <protection hidden="1"/>
    </xf>
    <xf numFmtId="0" fontId="11" fillId="0" borderId="129" xfId="0" applyFont="1" applyBorder="1" applyAlignment="1" applyProtection="1">
      <alignment horizontal="left" vertical="center"/>
      <protection hidden="1"/>
    </xf>
    <xf numFmtId="0" fontId="11" fillId="0" borderId="127" xfId="0" applyFont="1" applyBorder="1" applyAlignment="1" applyProtection="1">
      <alignment horizontal="left" vertical="center"/>
      <protection hidden="1"/>
    </xf>
    <xf numFmtId="0" fontId="11" fillId="0" borderId="223" xfId="0" applyFont="1" applyBorder="1" applyAlignment="1">
      <alignment horizontal="right"/>
    </xf>
    <xf numFmtId="0" fontId="47" fillId="0" borderId="27" xfId="0" applyFont="1" applyBorder="1" applyAlignment="1" applyProtection="1">
      <alignment horizontal="right" vertical="center"/>
      <protection locked="0"/>
    </xf>
    <xf numFmtId="0" fontId="47" fillId="0" borderId="0" xfId="0" applyFont="1" applyAlignment="1" applyProtection="1">
      <alignment horizontal="right" vertical="center"/>
      <protection locked="0"/>
    </xf>
    <xf numFmtId="0" fontId="47" fillId="0" borderId="31" xfId="0" applyFont="1" applyBorder="1" applyAlignment="1" applyProtection="1">
      <alignment horizontal="right" vertical="center"/>
      <protection locked="0"/>
    </xf>
    <xf numFmtId="0" fontId="11" fillId="0" borderId="217" xfId="0" applyFont="1" applyBorder="1" applyAlignment="1" applyProtection="1">
      <alignment horizontal="left" vertical="center"/>
      <protection hidden="1"/>
    </xf>
    <xf numFmtId="0" fontId="11" fillId="0" borderId="146" xfId="0" applyFont="1" applyBorder="1" applyAlignment="1" applyProtection="1">
      <alignment horizontal="left" vertical="center"/>
      <protection hidden="1"/>
    </xf>
    <xf numFmtId="0" fontId="11" fillId="0" borderId="147" xfId="0" applyFont="1" applyBorder="1" applyAlignment="1" applyProtection="1">
      <alignment horizontal="left" vertical="center"/>
      <protection hidden="1"/>
    </xf>
    <xf numFmtId="0" fontId="11" fillId="0" borderId="70" xfId="0" applyFont="1" applyBorder="1" applyAlignment="1">
      <alignment horizontal="left"/>
    </xf>
    <xf numFmtId="0" fontId="11" fillId="0" borderId="216" xfId="0" applyFont="1" applyBorder="1" applyAlignment="1">
      <alignment horizontal="left"/>
    </xf>
    <xf numFmtId="0" fontId="11" fillId="0" borderId="220" xfId="0" applyFont="1" applyBorder="1" applyAlignment="1">
      <alignment horizontal="left"/>
    </xf>
    <xf numFmtId="0" fontId="66" fillId="0" borderId="218" xfId="0" applyFont="1" applyBorder="1" applyAlignment="1" applyProtection="1">
      <alignment horizontal="left" vertical="center"/>
      <protection hidden="1"/>
    </xf>
    <xf numFmtId="0" fontId="66" fillId="0" borderId="219" xfId="0" applyFont="1" applyBorder="1" applyAlignment="1" applyProtection="1">
      <alignment horizontal="left" vertical="center"/>
      <protection hidden="1"/>
    </xf>
    <xf numFmtId="0" fontId="66" fillId="0" borderId="153" xfId="0" applyFont="1" applyBorder="1" applyAlignment="1" applyProtection="1">
      <alignment horizontal="left" vertical="center"/>
      <protection hidden="1"/>
    </xf>
    <xf numFmtId="0" fontId="47" fillId="0" borderId="180" xfId="0" applyFont="1" applyBorder="1" applyAlignment="1" applyProtection="1">
      <alignment horizontal="right" vertical="center"/>
      <protection hidden="1"/>
    </xf>
    <xf numFmtId="0" fontId="47" fillId="0" borderId="44" xfId="0" applyFont="1" applyBorder="1" applyAlignment="1" applyProtection="1">
      <alignment horizontal="right" vertical="center"/>
      <protection hidden="1"/>
    </xf>
    <xf numFmtId="0" fontId="47" fillId="0" borderId="172" xfId="0" applyFont="1" applyBorder="1" applyAlignment="1" applyProtection="1">
      <alignment horizontal="right" vertical="center"/>
      <protection hidden="1"/>
    </xf>
    <xf numFmtId="0" fontId="11" fillId="0" borderId="127" xfId="0" applyFont="1" applyBorder="1" applyAlignment="1">
      <alignment horizontal="left" vertical="center"/>
    </xf>
    <xf numFmtId="2" fontId="4" fillId="0" borderId="17" xfId="0" applyNumberFormat="1" applyFont="1" applyBorder="1" applyAlignment="1">
      <alignment horizontal="left" vertical="center"/>
    </xf>
    <xf numFmtId="2" fontId="4" fillId="0" borderId="58" xfId="0" applyNumberFormat="1" applyFont="1" applyBorder="1" applyAlignment="1">
      <alignment horizontal="left" vertical="center"/>
    </xf>
    <xf numFmtId="0" fontId="5" fillId="0" borderId="113" xfId="0" applyFont="1" applyBorder="1" applyAlignment="1" applyProtection="1">
      <alignment horizontal="right" vertical="center" indent="1"/>
      <protection hidden="1"/>
    </xf>
    <xf numFmtId="0" fontId="5" fillId="0" borderId="0" xfId="0" applyFont="1" applyAlignment="1">
      <alignment horizontal="left" vertical="center"/>
    </xf>
    <xf numFmtId="0" fontId="5" fillId="0" borderId="31" xfId="0" applyFont="1" applyBorder="1" applyAlignment="1">
      <alignment horizontal="left" vertical="center"/>
    </xf>
    <xf numFmtId="0" fontId="5" fillId="0" borderId="14" xfId="0" applyFont="1" applyBorder="1" applyAlignment="1">
      <alignment horizontal="right" vertical="center" indent="1"/>
    </xf>
    <xf numFmtId="0" fontId="5" fillId="0" borderId="34" xfId="0" applyFont="1" applyBorder="1" applyAlignment="1">
      <alignment horizontal="right" vertical="center" indent="1"/>
    </xf>
    <xf numFmtId="0" fontId="5" fillId="0" borderId="42" xfId="0" applyFont="1" applyBorder="1" applyAlignment="1">
      <alignment horizontal="right" vertical="center" indent="1"/>
    </xf>
    <xf numFmtId="0" fontId="79" fillId="13" borderId="101" xfId="0" applyFont="1" applyFill="1" applyBorder="1" applyAlignment="1">
      <alignment horizontal="center" vertical="center"/>
    </xf>
    <xf numFmtId="0" fontId="79" fillId="13" borderId="0" xfId="0" applyFont="1" applyFill="1" applyAlignment="1">
      <alignment horizontal="center" vertical="center"/>
    </xf>
    <xf numFmtId="0" fontId="79" fillId="13" borderId="31" xfId="0" applyFont="1" applyFill="1" applyBorder="1" applyAlignment="1">
      <alignment horizontal="center" vertical="center"/>
    </xf>
    <xf numFmtId="0" fontId="79" fillId="13" borderId="27" xfId="0" applyFont="1" applyFill="1" applyBorder="1" applyAlignment="1">
      <alignment horizontal="center" vertical="center"/>
    </xf>
    <xf numFmtId="0" fontId="10" fillId="0" borderId="129" xfId="0" applyFont="1" applyBorder="1" applyAlignment="1">
      <alignment horizontal="left" vertical="center"/>
    </xf>
    <xf numFmtId="0" fontId="10" fillId="0" borderId="127" xfId="0" applyFont="1" applyBorder="1" applyAlignment="1">
      <alignment horizontal="left" vertical="center"/>
    </xf>
    <xf numFmtId="0" fontId="47" fillId="0" borderId="128" xfId="0" applyFont="1" applyBorder="1" applyAlignment="1" applyProtection="1">
      <alignment horizontal="right" vertical="center"/>
      <protection hidden="1"/>
    </xf>
    <xf numFmtId="0" fontId="47" fillId="0" borderId="129" xfId="0" applyFont="1" applyBorder="1" applyAlignment="1" applyProtection="1">
      <alignment horizontal="right" vertical="center"/>
      <protection hidden="1"/>
    </xf>
    <xf numFmtId="0" fontId="47" fillId="0" borderId="127" xfId="0" applyFont="1" applyBorder="1" applyAlignment="1" applyProtection="1">
      <alignment horizontal="right" vertical="center"/>
      <protection hidden="1"/>
    </xf>
    <xf numFmtId="0" fontId="48" fillId="0" borderId="27" xfId="0" applyFont="1" applyBorder="1" applyAlignment="1" applyProtection="1">
      <alignment horizontal="right" vertical="center"/>
      <protection hidden="1"/>
    </xf>
    <xf numFmtId="0" fontId="48" fillId="0" borderId="0" xfId="0" applyFont="1" applyAlignment="1" applyProtection="1">
      <alignment horizontal="right" vertical="center"/>
      <protection hidden="1"/>
    </xf>
    <xf numFmtId="0" fontId="47" fillId="0" borderId="128" xfId="0" applyFont="1" applyBorder="1" applyAlignment="1">
      <alignment horizontal="right" vertical="center"/>
    </xf>
    <xf numFmtId="0" fontId="47" fillId="0" borderId="129" xfId="0" applyFont="1" applyBorder="1" applyAlignment="1">
      <alignment horizontal="right" vertical="center"/>
    </xf>
    <xf numFmtId="0" fontId="47" fillId="0" borderId="127" xfId="0" applyFont="1" applyBorder="1" applyAlignment="1">
      <alignment horizontal="right" vertical="center"/>
    </xf>
    <xf numFmtId="0" fontId="47" fillId="0" borderId="27" xfId="0" applyFont="1" applyBorder="1" applyAlignment="1" applyProtection="1">
      <alignment horizontal="right" vertical="center"/>
      <protection hidden="1"/>
    </xf>
    <xf numFmtId="0" fontId="47" fillId="0" borderId="0" xfId="0" applyFont="1" applyAlignment="1" applyProtection="1">
      <alignment horizontal="right" vertical="center"/>
      <protection hidden="1"/>
    </xf>
    <xf numFmtId="0" fontId="47" fillId="0" borderId="31" xfId="0" applyFont="1" applyBorder="1" applyAlignment="1" applyProtection="1">
      <alignment horizontal="right" vertical="center"/>
      <protection hidden="1"/>
    </xf>
    <xf numFmtId="0" fontId="11" fillId="0" borderId="44" xfId="0" applyFont="1" applyBorder="1" applyAlignment="1">
      <alignment horizontal="left" vertical="center"/>
    </xf>
    <xf numFmtId="0" fontId="11" fillId="0" borderId="172" xfId="0" applyFont="1" applyBorder="1" applyAlignment="1">
      <alignment horizontal="left" vertical="center"/>
    </xf>
    <xf numFmtId="0" fontId="11" fillId="0" borderId="0" xfId="0" applyFont="1" applyAlignment="1">
      <alignment horizontal="left" vertical="center"/>
    </xf>
    <xf numFmtId="0" fontId="11" fillId="0" borderId="31" xfId="0" applyFont="1" applyBorder="1" applyAlignment="1">
      <alignment horizontal="left" vertical="center"/>
    </xf>
    <xf numFmtId="0" fontId="3" fillId="0" borderId="24" xfId="0" applyFont="1" applyBorder="1" applyAlignment="1">
      <alignment horizontal="center" vertical="center"/>
    </xf>
    <xf numFmtId="0" fontId="3" fillId="0" borderId="17" xfId="0" applyFont="1" applyBorder="1" applyAlignment="1">
      <alignment horizontal="center" vertical="center"/>
    </xf>
    <xf numFmtId="0" fontId="5" fillId="0" borderId="146" xfId="0" applyFont="1" applyBorder="1" applyAlignment="1">
      <alignment horizontal="left" vertical="center"/>
    </xf>
    <xf numFmtId="0" fontId="5" fillId="0" borderId="147" xfId="0" applyFont="1" applyBorder="1" applyAlignment="1">
      <alignment horizontal="left" vertical="center"/>
    </xf>
    <xf numFmtId="0" fontId="7" fillId="3" borderId="26" xfId="0" applyFont="1" applyFill="1" applyBorder="1" applyAlignment="1">
      <alignment horizontal="center" vertical="center"/>
    </xf>
    <xf numFmtId="0" fontId="7" fillId="3" borderId="0" xfId="0" applyFont="1" applyFill="1" applyAlignment="1">
      <alignment horizontal="center" vertical="center"/>
    </xf>
    <xf numFmtId="0" fontId="7" fillId="3" borderId="31" xfId="0" applyFont="1" applyFill="1" applyBorder="1" applyAlignment="1">
      <alignment horizontal="center" vertical="center"/>
    </xf>
    <xf numFmtId="0" fontId="5" fillId="3" borderId="56" xfId="0" applyFont="1" applyFill="1" applyBorder="1" applyAlignment="1">
      <alignment horizontal="center" vertical="center"/>
    </xf>
    <xf numFmtId="0" fontId="5" fillId="3" borderId="34" xfId="0" applyFont="1" applyFill="1" applyBorder="1" applyAlignment="1">
      <alignment horizontal="center" vertical="center"/>
    </xf>
    <xf numFmtId="0" fontId="5" fillId="3" borderId="42" xfId="0" applyFont="1" applyFill="1" applyBorder="1" applyAlignment="1">
      <alignment horizontal="center" vertical="center"/>
    </xf>
    <xf numFmtId="1" fontId="16" fillId="0" borderId="0" xfId="0" applyNumberFormat="1" applyFont="1" applyAlignment="1">
      <alignment horizontal="left" vertical="center"/>
    </xf>
    <xf numFmtId="2" fontId="16" fillId="0" borderId="0" xfId="0" applyNumberFormat="1" applyFont="1" applyAlignment="1">
      <alignment horizontal="left" vertical="center"/>
    </xf>
    <xf numFmtId="3" fontId="0" fillId="0" borderId="0" xfId="0" applyNumberFormat="1" applyAlignment="1" applyProtection="1">
      <alignment horizontal="right"/>
      <protection hidden="1"/>
    </xf>
    <xf numFmtId="164" fontId="0" fillId="0" borderId="0" xfId="0" applyNumberFormat="1" applyAlignment="1" applyProtection="1">
      <alignment horizontal="right"/>
      <protection hidden="1"/>
    </xf>
    <xf numFmtId="49" fontId="74" fillId="13" borderId="40" xfId="0" applyNumberFormat="1" applyFont="1" applyFill="1" applyBorder="1" applyAlignment="1" applyProtection="1">
      <alignment horizontal="center"/>
      <protection hidden="1"/>
    </xf>
    <xf numFmtId="0" fontId="74" fillId="13" borderId="67" xfId="0" applyFont="1" applyFill="1" applyBorder="1" applyAlignment="1" applyProtection="1">
      <alignment horizontal="center"/>
      <protection hidden="1"/>
    </xf>
    <xf numFmtId="167" fontId="11" fillId="7" borderId="16" xfId="0" applyNumberFormat="1" applyFont="1" applyFill="1" applyBorder="1" applyAlignment="1" applyProtection="1">
      <alignment horizontal="center" vertical="center"/>
      <protection locked="0"/>
    </xf>
    <xf numFmtId="167" fontId="11" fillId="7" borderId="25" xfId="0" applyNumberFormat="1" applyFont="1" applyFill="1" applyBorder="1" applyAlignment="1" applyProtection="1">
      <alignment horizontal="center" vertical="center"/>
      <protection locked="0"/>
    </xf>
    <xf numFmtId="49" fontId="0" fillId="0" borderId="0" xfId="0" applyNumberFormat="1" applyAlignment="1" applyProtection="1">
      <alignment horizontal="center"/>
      <protection hidden="1"/>
    </xf>
    <xf numFmtId="49" fontId="74" fillId="13" borderId="27" xfId="0" applyNumberFormat="1" applyFont="1" applyFill="1" applyBorder="1" applyAlignment="1" applyProtection="1">
      <alignment horizontal="center"/>
      <protection hidden="1"/>
    </xf>
    <xf numFmtId="0" fontId="74" fillId="13" borderId="28" xfId="0" applyFont="1" applyFill="1" applyBorder="1" applyAlignment="1" applyProtection="1">
      <alignment horizontal="center"/>
      <protection hidden="1"/>
    </xf>
    <xf numFmtId="167" fontId="11" fillId="6" borderId="81" xfId="0" applyNumberFormat="1" applyFont="1" applyFill="1" applyBorder="1" applyAlignment="1">
      <alignment horizontal="center" vertical="center"/>
    </xf>
    <xf numFmtId="0" fontId="3" fillId="0" borderId="0" xfId="0" applyFont="1" applyAlignment="1">
      <alignment horizontal="right"/>
    </xf>
    <xf numFmtId="1" fontId="11" fillId="0" borderId="0" xfId="0" applyNumberFormat="1" applyFont="1" applyAlignment="1" applyProtection="1">
      <alignment horizontal="right"/>
      <protection hidden="1"/>
    </xf>
    <xf numFmtId="0" fontId="11" fillId="0" borderId="0" xfId="0" applyFont="1" applyAlignment="1" applyProtection="1">
      <alignment horizontal="left" vertical="center"/>
      <protection hidden="1"/>
    </xf>
    <xf numFmtId="0" fontId="10" fillId="0" borderId="0" xfId="0" applyFont="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10" fillId="0" borderId="0" xfId="0" applyFont="1" applyAlignment="1" applyProtection="1">
      <alignment horizontal="center"/>
      <protection hidden="1"/>
    </xf>
    <xf numFmtId="0" fontId="10" fillId="0" borderId="129" xfId="0" applyFont="1" applyBorder="1" applyAlignment="1" applyProtection="1">
      <alignment horizontal="left" vertical="center" wrapText="1"/>
      <protection hidden="1"/>
    </xf>
    <xf numFmtId="0" fontId="10" fillId="0" borderId="149" xfId="0" applyFont="1" applyBorder="1" applyAlignment="1" applyProtection="1">
      <alignment horizontal="left" vertical="center" wrapText="1"/>
      <protection hidden="1"/>
    </xf>
    <xf numFmtId="0" fontId="4" fillId="0" borderId="0" xfId="0" applyFont="1" applyAlignment="1" applyProtection="1">
      <alignment horizontal="left"/>
      <protection hidden="1"/>
    </xf>
    <xf numFmtId="0" fontId="4" fillId="0" borderId="0" xfId="0" applyFont="1" applyAlignment="1" applyProtection="1">
      <alignment horizontal="left" vertical="center"/>
      <protection hidden="1"/>
    </xf>
    <xf numFmtId="14" fontId="4" fillId="0" borderId="0" xfId="0" applyNumberFormat="1" applyFont="1" applyAlignment="1" applyProtection="1">
      <alignment horizontal="center" vertical="center"/>
      <protection hidden="1"/>
    </xf>
    <xf numFmtId="0" fontId="0" fillId="0" borderId="0" xfId="0" applyAlignment="1" applyProtection="1">
      <alignment horizontal="center"/>
      <protection hidden="1"/>
    </xf>
    <xf numFmtId="0" fontId="10" fillId="0" borderId="0" xfId="0" applyFont="1" applyAlignment="1" applyProtection="1">
      <alignment horizontal="center" vertical="center"/>
      <protection hidden="1"/>
    </xf>
    <xf numFmtId="0" fontId="5" fillId="0" borderId="0" xfId="0" applyFont="1" applyAlignment="1" applyProtection="1">
      <alignment horizontal="center"/>
      <protection hidden="1"/>
    </xf>
    <xf numFmtId="49" fontId="4" fillId="0" borderId="0" xfId="0" applyNumberFormat="1" applyFont="1" applyAlignment="1" applyProtection="1">
      <alignment horizontal="center"/>
      <protection hidden="1"/>
    </xf>
    <xf numFmtId="3" fontId="11" fillId="0" borderId="0" xfId="0" applyNumberFormat="1" applyFont="1" applyAlignment="1" applyProtection="1">
      <alignment horizontal="right" vertical="center"/>
      <protection hidden="1"/>
    </xf>
    <xf numFmtId="0" fontId="11" fillId="0" borderId="0" xfId="0" applyFont="1" applyAlignment="1" applyProtection="1">
      <alignment horizontal="right" vertical="center"/>
      <protection hidden="1"/>
    </xf>
    <xf numFmtId="3" fontId="11" fillId="0" borderId="0" xfId="0" applyNumberFormat="1" applyFont="1" applyAlignment="1" applyProtection="1">
      <alignment horizontal="right"/>
      <protection hidden="1"/>
    </xf>
    <xf numFmtId="1" fontId="10" fillId="0" borderId="0" xfId="0" applyNumberFormat="1" applyFont="1" applyAlignment="1" applyProtection="1">
      <alignment horizontal="center"/>
      <protection hidden="1"/>
    </xf>
    <xf numFmtId="0" fontId="11" fillId="0" borderId="0" xfId="0" applyFont="1" applyAlignment="1" applyProtection="1">
      <alignment horizontal="left"/>
      <protection hidden="1"/>
    </xf>
    <xf numFmtId="0" fontId="74" fillId="13" borderId="13" xfId="0" applyFont="1" applyFill="1" applyBorder="1" applyAlignment="1" applyProtection="1">
      <alignment horizontal="center" vertical="center"/>
      <protection hidden="1"/>
    </xf>
    <xf numFmtId="0" fontId="75" fillId="13" borderId="3" xfId="0" applyFont="1" applyFill="1" applyBorder="1" applyAlignment="1">
      <alignment horizontal="center" vertical="center"/>
    </xf>
    <xf numFmtId="0" fontId="75" fillId="13" borderId="2" xfId="0" applyFont="1" applyFill="1" applyBorder="1" applyAlignment="1">
      <alignment horizontal="center" vertical="center"/>
    </xf>
    <xf numFmtId="0" fontId="75" fillId="13" borderId="27" xfId="0" applyFont="1" applyFill="1" applyBorder="1" applyAlignment="1">
      <alignment horizontal="center" vertical="center"/>
    </xf>
    <xf numFmtId="0" fontId="75" fillId="13" borderId="0" xfId="0" applyFont="1" applyFill="1" applyAlignment="1">
      <alignment horizontal="center" vertical="center"/>
    </xf>
    <xf numFmtId="0" fontId="75" fillId="13" borderId="28" xfId="0" applyFont="1" applyFill="1" applyBorder="1" applyAlignment="1">
      <alignment horizontal="center" vertical="center"/>
    </xf>
    <xf numFmtId="3" fontId="0" fillId="0" borderId="0" xfId="0" applyNumberFormat="1" applyAlignment="1" applyProtection="1">
      <alignment horizontal="center"/>
      <protection hidden="1"/>
    </xf>
    <xf numFmtId="0" fontId="10" fillId="0" borderId="40" xfId="0" applyFont="1" applyBorder="1" applyAlignment="1" applyProtection="1">
      <alignment horizontal="center" vertical="center"/>
      <protection hidden="1"/>
    </xf>
    <xf numFmtId="0" fontId="10" fillId="0" borderId="17" xfId="0" applyFont="1" applyBorder="1" applyAlignment="1" applyProtection="1">
      <alignment horizontal="center" vertical="center"/>
      <protection hidden="1"/>
    </xf>
    <xf numFmtId="0" fontId="5" fillId="8" borderId="264" xfId="0" applyFont="1" applyFill="1" applyBorder="1" applyAlignment="1">
      <alignment vertical="center"/>
    </xf>
    <xf numFmtId="0" fontId="5" fillId="8" borderId="265" xfId="0" applyFont="1" applyFill="1" applyBorder="1" applyAlignment="1">
      <alignment vertical="center"/>
    </xf>
    <xf numFmtId="0" fontId="10" fillId="0" borderId="18" xfId="0" applyFont="1" applyBorder="1" applyAlignment="1" applyProtection="1">
      <alignment horizontal="center" vertical="center"/>
      <protection hidden="1"/>
    </xf>
    <xf numFmtId="0" fontId="71" fillId="13" borderId="0" xfId="0" applyFont="1" applyFill="1" applyAlignment="1">
      <alignment horizontal="center" vertical="center" wrapText="1"/>
    </xf>
    <xf numFmtId="0" fontId="71" fillId="13" borderId="17" xfId="0" applyFont="1" applyFill="1" applyBorder="1" applyAlignment="1">
      <alignment horizontal="center" vertical="center" wrapText="1"/>
    </xf>
    <xf numFmtId="0" fontId="3" fillId="0" borderId="18" xfId="0" applyFont="1" applyBorder="1" applyAlignment="1">
      <alignment horizontal="center"/>
    </xf>
    <xf numFmtId="0" fontId="6" fillId="0" borderId="20" xfId="0" applyFont="1" applyBorder="1" applyAlignment="1" applyProtection="1">
      <alignment horizontal="center" vertical="center" wrapText="1"/>
      <protection hidden="1"/>
    </xf>
    <xf numFmtId="0" fontId="6" fillId="0" borderId="32" xfId="0" applyFont="1" applyBorder="1" applyAlignment="1" applyProtection="1">
      <alignment horizontal="center" vertical="center" wrapText="1"/>
      <protection hidden="1"/>
    </xf>
    <xf numFmtId="10" fontId="3" fillId="5" borderId="58" xfId="2" applyNumberFormat="1" applyFont="1" applyFill="1" applyBorder="1" applyAlignment="1" applyProtection="1">
      <alignment horizontal="right" vertical="center"/>
      <protection hidden="1"/>
    </xf>
    <xf numFmtId="10" fontId="3" fillId="5" borderId="32" xfId="2" applyNumberFormat="1" applyFont="1" applyFill="1" applyBorder="1" applyAlignment="1" applyProtection="1">
      <alignment horizontal="right" vertical="center"/>
      <protection hidden="1"/>
    </xf>
    <xf numFmtId="17" fontId="74" fillId="13" borderId="20" xfId="0" applyNumberFormat="1" applyFont="1" applyFill="1" applyBorder="1" applyAlignment="1">
      <alignment horizontal="center" vertical="center" wrapText="1"/>
    </xf>
    <xf numFmtId="17" fontId="74" fillId="13" borderId="59" xfId="0" applyNumberFormat="1" applyFont="1" applyFill="1" applyBorder="1" applyAlignment="1">
      <alignment horizontal="center" vertical="center" wrapText="1"/>
    </xf>
    <xf numFmtId="17" fontId="74" fillId="13" borderId="32" xfId="0" applyNumberFormat="1" applyFont="1" applyFill="1" applyBorder="1" applyAlignment="1">
      <alignment horizontal="center" vertical="center" wrapText="1"/>
    </xf>
    <xf numFmtId="0" fontId="40" fillId="0" borderId="21" xfId="0" applyFont="1" applyBorder="1" applyAlignment="1">
      <alignment horizontal="left" vertical="center"/>
    </xf>
    <xf numFmtId="0" fontId="40" fillId="0" borderId="11" xfId="0" applyFont="1" applyBorder="1" applyAlignment="1">
      <alignment horizontal="left" vertical="center"/>
    </xf>
    <xf numFmtId="0" fontId="40" fillId="0" borderId="43" xfId="0" applyFont="1" applyBorder="1" applyAlignment="1">
      <alignment horizontal="left" vertical="center"/>
    </xf>
    <xf numFmtId="0" fontId="41" fillId="0" borderId="11" xfId="0" applyFont="1" applyBorder="1" applyAlignment="1">
      <alignment horizontal="left" vertical="center"/>
    </xf>
    <xf numFmtId="0" fontId="41" fillId="0" borderId="43" xfId="0" applyFont="1" applyBorder="1" applyAlignment="1">
      <alignment horizontal="left" vertical="center"/>
    </xf>
    <xf numFmtId="0" fontId="7" fillId="8" borderId="0" xfId="0" applyFont="1" applyFill="1" applyAlignment="1" applyProtection="1">
      <alignment horizontal="center" vertical="center"/>
      <protection locked="0"/>
    </xf>
    <xf numFmtId="3" fontId="11" fillId="0" borderId="0" xfId="0" applyNumberFormat="1" applyFont="1" applyAlignment="1">
      <alignment horizontal="center" vertical="center"/>
    </xf>
    <xf numFmtId="10" fontId="3" fillId="5" borderId="51" xfId="2" applyNumberFormat="1" applyFont="1" applyFill="1" applyBorder="1" applyAlignment="1" applyProtection="1">
      <alignment horizontal="right" vertical="center"/>
      <protection hidden="1"/>
    </xf>
    <xf numFmtId="0" fontId="7" fillId="2" borderId="0" xfId="0" applyFont="1" applyFill="1" applyAlignment="1">
      <alignment horizontal="left" vertical="center"/>
    </xf>
    <xf numFmtId="17" fontId="6" fillId="0" borderId="21" xfId="0" applyNumberFormat="1" applyFont="1" applyBorder="1" applyAlignment="1" applyProtection="1">
      <alignment horizontal="center" vertical="center"/>
      <protection hidden="1"/>
    </xf>
    <xf numFmtId="17" fontId="6" fillId="0" borderId="66" xfId="0" applyNumberFormat="1" applyFont="1" applyBorder="1" applyAlignment="1" applyProtection="1">
      <alignment horizontal="center" vertical="center"/>
      <protection hidden="1"/>
    </xf>
    <xf numFmtId="0" fontId="2" fillId="0" borderId="0" xfId="0" applyFont="1" applyAlignment="1">
      <alignment horizontal="center" vertical="center" wrapText="1"/>
    </xf>
    <xf numFmtId="0" fontId="0" fillId="0" borderId="0" xfId="0" applyAlignment="1">
      <alignment horizontal="center" vertical="center" wrapText="1"/>
    </xf>
    <xf numFmtId="0" fontId="10" fillId="0" borderId="262" xfId="0" applyFont="1" applyBorder="1" applyProtection="1">
      <protection hidden="1"/>
    </xf>
    <xf numFmtId="0" fontId="74" fillId="13" borderId="21" xfId="0" applyFont="1" applyFill="1" applyBorder="1" applyAlignment="1">
      <alignment horizontal="center" vertical="center"/>
    </xf>
    <xf numFmtId="0" fontId="74" fillId="13" borderId="11" xfId="0" applyFont="1" applyFill="1" applyBorder="1" applyAlignment="1">
      <alignment horizontal="center" vertical="center"/>
    </xf>
    <xf numFmtId="0" fontId="74" fillId="13" borderId="43" xfId="0" applyFont="1" applyFill="1" applyBorder="1" applyAlignment="1">
      <alignment horizontal="center" vertical="center"/>
    </xf>
    <xf numFmtId="0" fontId="40" fillId="0" borderId="19" xfId="0" applyFont="1" applyBorder="1" applyAlignment="1">
      <alignment horizontal="left" vertical="center"/>
    </xf>
    <xf numFmtId="0" fontId="41" fillId="0" borderId="8" xfId="0" applyFont="1" applyBorder="1" applyAlignment="1">
      <alignment horizontal="left" vertical="center"/>
    </xf>
    <xf numFmtId="0" fontId="41" fillId="0" borderId="9" xfId="0" applyFont="1" applyBorder="1" applyAlignment="1">
      <alignment horizontal="left" vertical="center"/>
    </xf>
    <xf numFmtId="16" fontId="40" fillId="0" borderId="21" xfId="0" quotePrefix="1" applyNumberFormat="1" applyFont="1" applyBorder="1" applyAlignment="1">
      <alignment horizontal="left" vertical="center"/>
    </xf>
    <xf numFmtId="16" fontId="40" fillId="0" borderId="11" xfId="0" quotePrefix="1" applyNumberFormat="1" applyFont="1" applyBorder="1" applyAlignment="1">
      <alignment horizontal="left" vertical="center"/>
    </xf>
    <xf numFmtId="16" fontId="40" fillId="0" borderId="43" xfId="0" quotePrefix="1" applyNumberFormat="1" applyFont="1" applyBorder="1" applyAlignment="1">
      <alignment horizontal="left" vertical="center"/>
    </xf>
    <xf numFmtId="0" fontId="10" fillId="0" borderId="263" xfId="0" applyFont="1" applyBorder="1" applyAlignment="1" applyProtection="1">
      <alignment horizontal="center" vertical="center"/>
      <protection hidden="1"/>
    </xf>
    <xf numFmtId="0" fontId="10" fillId="0" borderId="264" xfId="0" applyFont="1" applyBorder="1" applyAlignment="1" applyProtection="1">
      <alignment horizontal="center" vertical="center"/>
      <protection hidden="1"/>
    </xf>
    <xf numFmtId="0" fontId="10" fillId="0" borderId="265" xfId="0" applyFont="1" applyBorder="1" applyAlignment="1" applyProtection="1">
      <alignment horizontal="center" vertical="center"/>
      <protection hidden="1"/>
    </xf>
    <xf numFmtId="0" fontId="40" fillId="0" borderId="24" xfId="0" applyFont="1" applyBorder="1" applyAlignment="1">
      <alignment horizontal="left" vertical="center"/>
    </xf>
    <xf numFmtId="0" fontId="41" fillId="0" borderId="17" xfId="0" applyFont="1" applyBorder="1" applyAlignment="1">
      <alignment horizontal="left" vertical="center"/>
    </xf>
    <xf numFmtId="0" fontId="41" fillId="0" borderId="58" xfId="0" applyFont="1" applyBorder="1" applyAlignment="1">
      <alignment horizontal="left" vertical="center"/>
    </xf>
    <xf numFmtId="0" fontId="40" fillId="0" borderId="21" xfId="0" applyFont="1" applyBorder="1" applyAlignment="1">
      <alignment horizontal="left"/>
    </xf>
    <xf numFmtId="0" fontId="41" fillId="0" borderId="11" xfId="0" applyFont="1" applyBorder="1" applyAlignment="1">
      <alignment horizontal="left"/>
    </xf>
    <xf numFmtId="0" fontId="41" fillId="0" borderId="43" xfId="0" applyFont="1" applyBorder="1" applyAlignment="1">
      <alignment horizontal="left"/>
    </xf>
    <xf numFmtId="0" fontId="40" fillId="7" borderId="19" xfId="0" applyFont="1" applyFill="1" applyBorder="1" applyAlignment="1" applyProtection="1">
      <alignment horizontal="left" vertical="center"/>
      <protection locked="0"/>
    </xf>
    <xf numFmtId="0" fontId="40" fillId="7" borderId="8" xfId="0" applyFont="1" applyFill="1" applyBorder="1" applyAlignment="1" applyProtection="1">
      <alignment horizontal="left" vertical="center"/>
      <protection locked="0"/>
    </xf>
    <xf numFmtId="0" fontId="40" fillId="7" borderId="9" xfId="0" applyFont="1" applyFill="1" applyBorder="1" applyAlignment="1" applyProtection="1">
      <alignment horizontal="left" vertical="center"/>
      <protection locked="0"/>
    </xf>
    <xf numFmtId="0" fontId="43" fillId="4" borderId="259" xfId="0" applyFont="1" applyFill="1" applyBorder="1" applyAlignment="1" applyProtection="1">
      <alignment horizontal="left" vertical="center"/>
      <protection hidden="1"/>
    </xf>
    <xf numFmtId="0" fontId="43" fillId="4" borderId="260" xfId="0" applyFont="1" applyFill="1" applyBorder="1" applyAlignment="1" applyProtection="1">
      <alignment horizontal="left" vertical="center"/>
      <protection hidden="1"/>
    </xf>
    <xf numFmtId="0" fontId="43" fillId="4" borderId="261" xfId="0" applyFont="1" applyFill="1" applyBorder="1" applyAlignment="1" applyProtection="1">
      <alignment horizontal="left" vertical="center"/>
      <protection hidden="1"/>
    </xf>
    <xf numFmtId="0" fontId="71" fillId="13" borderId="21" xfId="0" applyFont="1" applyFill="1" applyBorder="1" applyAlignment="1">
      <alignment horizontal="center" vertical="center"/>
    </xf>
    <xf numFmtId="0" fontId="71" fillId="13" borderId="11" xfId="0" applyFont="1" applyFill="1" applyBorder="1" applyAlignment="1">
      <alignment horizontal="center" vertical="center"/>
    </xf>
    <xf numFmtId="0" fontId="71" fillId="13" borderId="43" xfId="0" applyFont="1" applyFill="1" applyBorder="1" applyAlignment="1">
      <alignment horizontal="center" vertical="center"/>
    </xf>
    <xf numFmtId="0" fontId="40" fillId="0" borderId="59" xfId="0" applyFont="1" applyBorder="1" applyAlignment="1" applyProtection="1">
      <alignment horizontal="center" vertical="center"/>
      <protection hidden="1"/>
    </xf>
    <xf numFmtId="0" fontId="40" fillId="0" borderId="32" xfId="0" applyFont="1" applyBorder="1" applyAlignment="1" applyProtection="1">
      <alignment horizontal="center" vertical="center"/>
      <protection hidden="1"/>
    </xf>
    <xf numFmtId="0" fontId="40" fillId="0" borderId="20" xfId="0" applyFont="1" applyBorder="1" applyAlignment="1">
      <alignment horizontal="center" vertical="center"/>
    </xf>
    <xf numFmtId="0" fontId="40" fillId="0" borderId="32" xfId="0" applyFont="1" applyBorder="1" applyAlignment="1">
      <alignment horizontal="center" vertical="center"/>
    </xf>
    <xf numFmtId="0" fontId="5" fillId="14" borderId="0" xfId="0" applyFont="1" applyFill="1" applyAlignment="1">
      <alignment horizontal="center" vertical="center"/>
    </xf>
    <xf numFmtId="49" fontId="6" fillId="0" borderId="0" xfId="0" applyNumberFormat="1" applyFont="1" applyAlignment="1">
      <alignment horizontal="right"/>
    </xf>
    <xf numFmtId="0" fontId="5" fillId="0" borderId="0" xfId="0" applyFont="1" applyAlignment="1">
      <alignment horizontal="center" vertical="center"/>
    </xf>
    <xf numFmtId="0" fontId="7" fillId="0" borderId="0" xfId="0" applyFont="1" applyAlignment="1">
      <alignment horizontal="left"/>
    </xf>
    <xf numFmtId="0" fontId="74" fillId="13" borderId="11" xfId="0" applyFont="1" applyFill="1" applyBorder="1" applyAlignment="1" applyProtection="1">
      <alignment horizontal="left" vertical="center"/>
      <protection hidden="1"/>
    </xf>
    <xf numFmtId="0" fontId="74" fillId="13" borderId="43" xfId="0" applyFont="1" applyFill="1" applyBorder="1" applyAlignment="1" applyProtection="1">
      <alignment horizontal="left" vertical="center"/>
      <protection hidden="1"/>
    </xf>
    <xf numFmtId="0" fontId="7" fillId="7" borderId="0" xfId="0" applyFont="1" applyFill="1" applyAlignment="1" applyProtection="1">
      <alignment horizontal="center" vertical="center"/>
      <protection locked="0"/>
    </xf>
    <xf numFmtId="0" fontId="26" fillId="7" borderId="0" xfId="0" applyFont="1" applyFill="1" applyAlignment="1" applyProtection="1">
      <alignment horizontal="center"/>
      <protection locked="0"/>
    </xf>
    <xf numFmtId="0" fontId="40" fillId="7" borderId="21" xfId="0" applyFont="1" applyFill="1" applyBorder="1" applyAlignment="1" applyProtection="1">
      <alignment horizontal="left" vertical="center"/>
      <protection locked="0"/>
    </xf>
    <xf numFmtId="0" fontId="40" fillId="7" borderId="11" xfId="0" applyFont="1" applyFill="1" applyBorder="1" applyAlignment="1" applyProtection="1">
      <alignment horizontal="left" vertical="center"/>
      <protection locked="0"/>
    </xf>
    <xf numFmtId="0" fontId="40" fillId="7" borderId="43" xfId="0" applyFont="1" applyFill="1" applyBorder="1" applyAlignment="1" applyProtection="1">
      <alignment horizontal="left" vertical="center"/>
      <protection locked="0"/>
    </xf>
    <xf numFmtId="0" fontId="7" fillId="2" borderId="0" xfId="0" applyFont="1" applyFill="1" applyAlignment="1">
      <alignment horizontal="center" vertical="center"/>
    </xf>
    <xf numFmtId="0" fontId="74" fillId="13" borderId="17" xfId="0" applyFont="1" applyFill="1" applyBorder="1" applyAlignment="1" applyProtection="1">
      <alignment horizontal="left" vertical="center"/>
      <protection hidden="1"/>
    </xf>
    <xf numFmtId="0" fontId="74" fillId="13" borderId="58" xfId="0" applyFont="1" applyFill="1" applyBorder="1" applyAlignment="1" applyProtection="1">
      <alignment horizontal="left" vertical="center"/>
      <protection hidden="1"/>
    </xf>
    <xf numFmtId="0" fontId="10" fillId="3" borderId="13" xfId="0" applyFont="1" applyFill="1" applyBorder="1" applyAlignment="1">
      <alignment horizontal="center" vertical="center" wrapText="1"/>
    </xf>
    <xf numFmtId="0" fontId="0" fillId="3" borderId="27" xfId="0" applyFill="1" applyBorder="1" applyAlignment="1">
      <alignment horizontal="center" vertical="center" wrapText="1"/>
    </xf>
    <xf numFmtId="3" fontId="5" fillId="3" borderId="13" xfId="0" applyNumberFormat="1" applyFont="1" applyFill="1" applyBorder="1" applyAlignment="1">
      <alignment horizontal="center"/>
    </xf>
    <xf numFmtId="3" fontId="5" fillId="3" borderId="3" xfId="0" applyNumberFormat="1" applyFont="1" applyFill="1" applyBorder="1" applyAlignment="1">
      <alignment horizontal="center"/>
    </xf>
    <xf numFmtId="3" fontId="5" fillId="3" borderId="2" xfId="0" applyNumberFormat="1" applyFont="1" applyFill="1" applyBorder="1" applyAlignment="1">
      <alignment horizontal="center"/>
    </xf>
    <xf numFmtId="167" fontId="11" fillId="0" borderId="21" xfId="0" applyNumberFormat="1" applyFont="1" applyBorder="1" applyAlignment="1">
      <alignment horizontal="center"/>
    </xf>
    <xf numFmtId="167" fontId="11" fillId="0" borderId="43" xfId="0" applyNumberFormat="1" applyFont="1" applyBorder="1" applyAlignment="1">
      <alignment horizontal="center"/>
    </xf>
    <xf numFmtId="3" fontId="11" fillId="0" borderId="24" xfId="0" applyNumberFormat="1" applyFont="1" applyBorder="1" applyAlignment="1" applyProtection="1">
      <alignment horizontal="center" vertical="center"/>
      <protection hidden="1"/>
    </xf>
    <xf numFmtId="3" fontId="11" fillId="0" borderId="58" xfId="0" applyNumberFormat="1" applyFont="1" applyBorder="1" applyAlignment="1" applyProtection="1">
      <alignment horizontal="center" vertical="center"/>
      <protection hidden="1"/>
    </xf>
    <xf numFmtId="2" fontId="5" fillId="3" borderId="40" xfId="0" applyNumberFormat="1" applyFont="1" applyFill="1" applyBorder="1" applyAlignment="1">
      <alignment horizontal="center"/>
    </xf>
    <xf numFmtId="2" fontId="5" fillId="3" borderId="67" xfId="0" applyNumberFormat="1" applyFont="1" applyFill="1" applyBorder="1" applyAlignment="1">
      <alignment horizontal="center"/>
    </xf>
    <xf numFmtId="3" fontId="0" fillId="0" borderId="18" xfId="0" applyNumberFormat="1" applyBorder="1" applyAlignment="1">
      <alignment horizontal="center"/>
    </xf>
    <xf numFmtId="0" fontId="5" fillId="3" borderId="13"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0" fontId="5" fillId="3" borderId="40"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14" xfId="0" applyFont="1" applyFill="1" applyBorder="1" applyAlignment="1">
      <alignment horizontal="center" vertical="center"/>
    </xf>
    <xf numFmtId="0" fontId="5" fillId="3" borderId="68" xfId="0" applyFont="1" applyFill="1" applyBorder="1" applyAlignment="1">
      <alignment horizontal="center" vertical="center"/>
    </xf>
    <xf numFmtId="0" fontId="5" fillId="3" borderId="13"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2" xfId="0" applyFont="1" applyFill="1" applyBorder="1" applyAlignment="1">
      <alignment horizontal="center" vertical="center"/>
    </xf>
    <xf numFmtId="1" fontId="5" fillId="0" borderId="0" xfId="0" applyNumberFormat="1" applyFont="1" applyAlignment="1" applyProtection="1">
      <alignment horizontal="right"/>
      <protection hidden="1"/>
    </xf>
    <xf numFmtId="0" fontId="5" fillId="3" borderId="11" xfId="0" applyFont="1" applyFill="1" applyBorder="1" applyAlignment="1">
      <alignment horizontal="center"/>
    </xf>
    <xf numFmtId="0" fontId="5" fillId="3" borderId="66" xfId="0" applyFont="1" applyFill="1" applyBorder="1" applyAlignment="1">
      <alignment horizontal="center"/>
    </xf>
    <xf numFmtId="0" fontId="5" fillId="0" borderId="0" xfId="0" applyFont="1" applyAlignment="1" applyProtection="1">
      <alignment horizontal="left" vertical="center" wrapText="1"/>
      <protection hidden="1"/>
    </xf>
    <xf numFmtId="0" fontId="16" fillId="0" borderId="0" xfId="0" applyFont="1" applyAlignment="1" applyProtection="1">
      <alignment horizontal="left" vertical="center" wrapText="1"/>
      <protection hidden="1"/>
    </xf>
    <xf numFmtId="0" fontId="16" fillId="0" borderId="0" xfId="0" applyFont="1" applyAlignment="1" applyProtection="1">
      <alignment horizontal="left" vertical="center"/>
      <protection hidden="1"/>
    </xf>
    <xf numFmtId="0" fontId="5" fillId="0" borderId="0" xfId="0" applyFont="1" applyAlignment="1" applyProtection="1">
      <alignment horizontal="left"/>
      <protection hidden="1"/>
    </xf>
    <xf numFmtId="164" fontId="48" fillId="0" borderId="104" xfId="0" applyNumberFormat="1" applyFont="1" applyBorder="1" applyAlignment="1" applyProtection="1">
      <alignment horizontal="center" vertical="center"/>
      <protection hidden="1"/>
    </xf>
    <xf numFmtId="164" fontId="48" fillId="0" borderId="125" xfId="0" applyNumberFormat="1" applyFont="1" applyBorder="1" applyAlignment="1" applyProtection="1">
      <alignment horizontal="center" vertical="center"/>
      <protection hidden="1"/>
    </xf>
    <xf numFmtId="164" fontId="14" fillId="0" borderId="104" xfId="0" applyNumberFormat="1" applyFont="1" applyBorder="1" applyAlignment="1" applyProtection="1">
      <alignment horizontal="center" vertical="center"/>
      <protection hidden="1"/>
    </xf>
    <xf numFmtId="164" fontId="14" fillId="0" borderId="125" xfId="0" applyNumberFormat="1" applyFont="1" applyBorder="1" applyAlignment="1" applyProtection="1">
      <alignment horizontal="center" vertical="center"/>
      <protection hidden="1"/>
    </xf>
    <xf numFmtId="167" fontId="11" fillId="0" borderId="103" xfId="0" applyNumberFormat="1" applyFont="1" applyBorder="1" applyAlignment="1" applyProtection="1">
      <alignment horizontal="center" vertical="center"/>
      <protection hidden="1"/>
    </xf>
    <xf numFmtId="4" fontId="70" fillId="0" borderId="124" xfId="0" applyNumberFormat="1" applyFont="1" applyBorder="1" applyAlignment="1" applyProtection="1">
      <alignment horizontal="center" vertical="center"/>
      <protection hidden="1"/>
    </xf>
    <xf numFmtId="4" fontId="70" fillId="0" borderId="123" xfId="0" applyNumberFormat="1" applyFont="1" applyBorder="1" applyAlignment="1" applyProtection="1">
      <alignment horizontal="center" vertical="center"/>
      <protection hidden="1"/>
    </xf>
    <xf numFmtId="0" fontId="74" fillId="13" borderId="86" xfId="0" applyFont="1" applyFill="1" applyBorder="1" applyAlignment="1" applyProtection="1">
      <alignment horizontal="center" vertical="center"/>
      <protection hidden="1"/>
    </xf>
    <xf numFmtId="0" fontId="74" fillId="13" borderId="234" xfId="0" applyFont="1" applyFill="1" applyBorder="1" applyAlignment="1" applyProtection="1">
      <alignment horizontal="center" vertical="center"/>
      <protection hidden="1"/>
    </xf>
    <xf numFmtId="1" fontId="74" fillId="13" borderId="88" xfId="0" applyNumberFormat="1" applyFont="1" applyFill="1" applyBorder="1" applyAlignment="1" applyProtection="1">
      <alignment horizontal="center" vertical="center"/>
      <protection hidden="1"/>
    </xf>
    <xf numFmtId="1" fontId="74" fillId="13" borderId="236" xfId="0" applyNumberFormat="1" applyFont="1" applyFill="1" applyBorder="1" applyAlignment="1" applyProtection="1">
      <alignment horizontal="center" vertical="center"/>
      <protection hidden="1"/>
    </xf>
    <xf numFmtId="0" fontId="74" fillId="13" borderId="235" xfId="0" applyFont="1" applyFill="1" applyBorder="1" applyAlignment="1" applyProtection="1">
      <alignment horizontal="center" vertical="center"/>
      <protection hidden="1"/>
    </xf>
    <xf numFmtId="1" fontId="74" fillId="13" borderId="228" xfId="0" applyNumberFormat="1" applyFont="1" applyFill="1" applyBorder="1" applyAlignment="1" applyProtection="1">
      <alignment horizontal="center" vertical="center"/>
      <protection hidden="1"/>
    </xf>
    <xf numFmtId="167" fontId="11" fillId="0" borderId="90" xfId="0" applyNumberFormat="1" applyFont="1" applyBorder="1" applyAlignment="1" applyProtection="1">
      <alignment horizontal="center" vertical="center"/>
      <protection hidden="1"/>
    </xf>
    <xf numFmtId="167" fontId="11" fillId="0" borderId="89" xfId="0" applyNumberFormat="1" applyFont="1" applyBorder="1" applyAlignment="1" applyProtection="1">
      <alignment horizontal="center" vertical="center"/>
      <protection hidden="1"/>
    </xf>
    <xf numFmtId="167" fontId="11" fillId="0" borderId="104" xfId="0" applyNumberFormat="1" applyFont="1" applyBorder="1" applyAlignment="1" applyProtection="1">
      <alignment horizontal="center" vertical="center"/>
      <protection hidden="1"/>
    </xf>
    <xf numFmtId="167" fontId="11" fillId="0" borderId="125" xfId="0" applyNumberFormat="1" applyFont="1" applyBorder="1" applyAlignment="1" applyProtection="1">
      <alignment horizontal="center" vertical="center"/>
      <protection hidden="1"/>
    </xf>
    <xf numFmtId="167" fontId="11" fillId="0" borderId="124" xfId="0" applyNumberFormat="1" applyFont="1" applyBorder="1" applyAlignment="1" applyProtection="1">
      <alignment horizontal="center" vertical="center"/>
      <protection hidden="1"/>
    </xf>
    <xf numFmtId="167" fontId="11" fillId="0" borderId="123" xfId="0" applyNumberFormat="1" applyFont="1" applyBorder="1" applyAlignment="1" applyProtection="1">
      <alignment horizontal="center" vertical="center"/>
      <protection hidden="1"/>
    </xf>
    <xf numFmtId="4" fontId="70" fillId="0" borderId="247" xfId="0" applyNumberFormat="1" applyFont="1" applyBorder="1" applyAlignment="1" applyProtection="1">
      <alignment horizontal="center" vertical="center"/>
      <protection hidden="1"/>
    </xf>
    <xf numFmtId="4" fontId="70" fillId="0" borderId="125" xfId="0" applyNumberFormat="1" applyFont="1" applyBorder="1" applyAlignment="1" applyProtection="1">
      <alignment horizontal="center" vertical="center"/>
      <protection hidden="1"/>
    </xf>
    <xf numFmtId="4" fontId="70" fillId="0" borderId="248" xfId="0" applyNumberFormat="1" applyFont="1" applyBorder="1" applyAlignment="1" applyProtection="1">
      <alignment horizontal="center" vertical="center"/>
      <protection hidden="1"/>
    </xf>
    <xf numFmtId="4" fontId="70" fillId="0" borderId="245" xfId="0" applyNumberFormat="1" applyFont="1" applyBorder="1" applyAlignment="1" applyProtection="1">
      <alignment horizontal="center" vertical="center"/>
      <protection hidden="1"/>
    </xf>
    <xf numFmtId="4" fontId="70" fillId="0" borderId="246" xfId="0" applyNumberFormat="1" applyFont="1" applyBorder="1" applyAlignment="1" applyProtection="1">
      <alignment horizontal="center" vertical="center"/>
      <protection hidden="1"/>
    </xf>
    <xf numFmtId="164" fontId="11" fillId="0" borderId="195" xfId="0" applyNumberFormat="1" applyFont="1" applyBorder="1" applyAlignment="1" applyProtection="1">
      <alignment horizontal="center" vertical="center"/>
      <protection hidden="1"/>
    </xf>
    <xf numFmtId="164" fontId="11" fillId="0" borderId="123" xfId="0" applyNumberFormat="1" applyFont="1" applyBorder="1" applyAlignment="1" applyProtection="1">
      <alignment horizontal="center" vertical="center"/>
      <protection hidden="1"/>
    </xf>
    <xf numFmtId="164" fontId="11" fillId="0" borderId="124" xfId="0" applyNumberFormat="1" applyFont="1" applyBorder="1" applyAlignment="1" applyProtection="1">
      <alignment horizontal="center" vertical="center"/>
      <protection hidden="1"/>
    </xf>
    <xf numFmtId="167" fontId="10" fillId="0" borderId="104" xfId="0" applyNumberFormat="1" applyFont="1" applyBorder="1" applyAlignment="1" applyProtection="1">
      <alignment horizontal="center" vertical="center"/>
      <protection hidden="1"/>
    </xf>
    <xf numFmtId="167" fontId="10" fillId="0" borderId="125" xfId="0" applyNumberFormat="1" applyFont="1" applyBorder="1" applyAlignment="1" applyProtection="1">
      <alignment horizontal="center" vertical="center"/>
      <protection hidden="1"/>
    </xf>
    <xf numFmtId="0" fontId="11" fillId="6" borderId="110" xfId="0" applyFont="1" applyFill="1" applyBorder="1" applyAlignment="1" applyProtection="1">
      <alignment horizontal="center" vertical="center"/>
      <protection hidden="1"/>
    </xf>
    <xf numFmtId="0" fontId="11" fillId="6" borderId="90" xfId="0" applyFont="1" applyFill="1" applyBorder="1" applyAlignment="1" applyProtection="1">
      <alignment horizontal="center" vertical="center"/>
      <protection hidden="1"/>
    </xf>
    <xf numFmtId="0" fontId="11" fillId="6" borderId="89" xfId="0" applyFont="1" applyFill="1" applyBorder="1" applyAlignment="1" applyProtection="1">
      <alignment horizontal="center" vertical="center"/>
      <protection hidden="1"/>
    </xf>
    <xf numFmtId="0" fontId="67" fillId="13" borderId="151" xfId="0" applyFont="1" applyFill="1" applyBorder="1" applyAlignment="1" applyProtection="1">
      <alignment horizontal="left" vertical="center"/>
      <protection hidden="1"/>
    </xf>
    <xf numFmtId="0" fontId="67" fillId="13" borderId="86" xfId="0" applyFont="1" applyFill="1" applyBorder="1" applyAlignment="1" applyProtection="1">
      <alignment horizontal="left" vertical="center"/>
      <protection hidden="1"/>
    </xf>
    <xf numFmtId="0" fontId="67" fillId="13" borderId="90" xfId="0" applyFont="1" applyFill="1" applyBorder="1" applyAlignment="1" applyProtection="1">
      <alignment horizontal="left" vertical="center"/>
      <protection hidden="1"/>
    </xf>
    <xf numFmtId="0" fontId="67" fillId="13" borderId="88" xfId="0" applyFont="1" applyFill="1" applyBorder="1" applyAlignment="1" applyProtection="1">
      <alignment horizontal="left" vertical="center"/>
      <protection hidden="1"/>
    </xf>
    <xf numFmtId="3" fontId="11" fillId="0" borderId="104" xfId="0" applyNumberFormat="1" applyFont="1" applyBorder="1" applyAlignment="1" applyProtection="1">
      <alignment horizontal="center" vertical="center"/>
      <protection hidden="1"/>
    </xf>
    <xf numFmtId="3" fontId="11" fillId="0" borderId="125" xfId="0" applyNumberFormat="1" applyFont="1" applyBorder="1" applyAlignment="1" applyProtection="1">
      <alignment horizontal="center" vertical="center"/>
      <protection hidden="1"/>
    </xf>
    <xf numFmtId="167" fontId="10" fillId="0" borderId="103" xfId="0" applyNumberFormat="1" applyFont="1" applyBorder="1" applyAlignment="1" applyProtection="1">
      <alignment horizontal="center" vertical="center"/>
      <protection hidden="1"/>
    </xf>
    <xf numFmtId="167" fontId="10" fillId="0" borderId="198" xfId="0" applyNumberFormat="1" applyFont="1" applyBorder="1" applyAlignment="1" applyProtection="1">
      <alignment horizontal="center" vertical="center"/>
      <protection hidden="1"/>
    </xf>
    <xf numFmtId="1" fontId="74" fillId="13" borderId="119" xfId="0" applyNumberFormat="1" applyFont="1" applyFill="1" applyBorder="1" applyAlignment="1" applyProtection="1">
      <alignment horizontal="center" vertical="center"/>
      <protection hidden="1"/>
    </xf>
    <xf numFmtId="167" fontId="53" fillId="0" borderId="103" xfId="0" applyNumberFormat="1" applyFont="1" applyBorder="1" applyAlignment="1" applyProtection="1">
      <alignment horizontal="center" vertical="center"/>
      <protection hidden="1"/>
    </xf>
    <xf numFmtId="0" fontId="71" fillId="13" borderId="151" xfId="0" applyFont="1" applyFill="1" applyBorder="1" applyAlignment="1" applyProtection="1">
      <alignment horizontal="left" vertical="center" indent="1"/>
      <protection hidden="1"/>
    </xf>
    <xf numFmtId="0" fontId="71" fillId="13" borderId="86" xfId="0" applyFont="1" applyFill="1" applyBorder="1" applyAlignment="1" applyProtection="1">
      <alignment horizontal="left" vertical="center" indent="1"/>
      <protection hidden="1"/>
    </xf>
    <xf numFmtId="0" fontId="71" fillId="13" borderId="234" xfId="0" applyFont="1" applyFill="1" applyBorder="1" applyAlignment="1" applyProtection="1">
      <alignment horizontal="left" vertical="center" indent="1"/>
      <protection hidden="1"/>
    </xf>
    <xf numFmtId="0" fontId="71" fillId="13" borderId="90" xfId="0" applyFont="1" applyFill="1" applyBorder="1" applyAlignment="1" applyProtection="1">
      <alignment horizontal="left" vertical="center" indent="1"/>
      <protection hidden="1"/>
    </xf>
    <xf numFmtId="0" fontId="71" fillId="13" borderId="88" xfId="0" applyFont="1" applyFill="1" applyBorder="1" applyAlignment="1" applyProtection="1">
      <alignment horizontal="left" vertical="center" indent="1"/>
      <protection hidden="1"/>
    </xf>
    <xf numFmtId="0" fontId="71" fillId="13" borderId="236" xfId="0" applyFont="1" applyFill="1" applyBorder="1" applyAlignment="1" applyProtection="1">
      <alignment horizontal="left" vertical="center" indent="1"/>
      <protection hidden="1"/>
    </xf>
    <xf numFmtId="167" fontId="10" fillId="0" borderId="90" xfId="0" applyNumberFormat="1" applyFont="1" applyBorder="1" applyAlignment="1" applyProtection="1">
      <alignment horizontal="center" vertical="center"/>
      <protection hidden="1"/>
    </xf>
    <xf numFmtId="167" fontId="10" fillId="0" borderId="89" xfId="0" applyNumberFormat="1" applyFont="1" applyBorder="1" applyAlignment="1" applyProtection="1">
      <alignment horizontal="center" vertical="center"/>
      <protection hidden="1"/>
    </xf>
    <xf numFmtId="167" fontId="10" fillId="0" borderId="195" xfId="0" applyNumberFormat="1" applyFont="1" applyBorder="1" applyAlignment="1" applyProtection="1">
      <alignment horizontal="center" vertical="center"/>
      <protection hidden="1"/>
    </xf>
    <xf numFmtId="167" fontId="10" fillId="0" borderId="197" xfId="0" applyNumberFormat="1" applyFont="1" applyBorder="1" applyAlignment="1" applyProtection="1">
      <alignment horizontal="center" vertical="center"/>
      <protection hidden="1"/>
    </xf>
    <xf numFmtId="167" fontId="10" fillId="0" borderId="237" xfId="0" applyNumberFormat="1" applyFont="1" applyBorder="1" applyAlignment="1" applyProtection="1">
      <alignment horizontal="center" vertical="center"/>
      <protection hidden="1"/>
    </xf>
    <xf numFmtId="167" fontId="10" fillId="0" borderId="238" xfId="0" applyNumberFormat="1" applyFont="1" applyBorder="1" applyAlignment="1" applyProtection="1">
      <alignment horizontal="center" vertical="center"/>
      <protection hidden="1"/>
    </xf>
    <xf numFmtId="167" fontId="10" fillId="0" borderId="239" xfId="0" applyNumberFormat="1" applyFont="1" applyBorder="1" applyAlignment="1" applyProtection="1">
      <alignment horizontal="center" vertical="center"/>
      <protection hidden="1"/>
    </xf>
    <xf numFmtId="0" fontId="71" fillId="13" borderId="87" xfId="0" applyFont="1" applyFill="1" applyBorder="1" applyAlignment="1" applyProtection="1">
      <alignment horizontal="left" vertical="center" indent="1"/>
      <protection hidden="1"/>
    </xf>
    <xf numFmtId="0" fontId="71" fillId="13" borderId="89" xfId="0" applyFont="1" applyFill="1" applyBorder="1" applyAlignment="1" applyProtection="1">
      <alignment horizontal="left" vertical="center" indent="1"/>
      <protection hidden="1"/>
    </xf>
    <xf numFmtId="1" fontId="74" fillId="13" borderId="89" xfId="0" applyNumberFormat="1" applyFont="1" applyFill="1" applyBorder="1" applyAlignment="1" applyProtection="1">
      <alignment horizontal="center" vertical="center"/>
      <protection hidden="1"/>
    </xf>
    <xf numFmtId="167" fontId="11" fillId="6" borderId="103" xfId="0" applyNumberFormat="1" applyFont="1" applyFill="1" applyBorder="1" applyAlignment="1" applyProtection="1">
      <alignment horizontal="center" vertical="center"/>
      <protection hidden="1"/>
    </xf>
    <xf numFmtId="0" fontId="74" fillId="13" borderId="151" xfId="0" applyFont="1" applyFill="1" applyBorder="1" applyAlignment="1" applyProtection="1">
      <alignment horizontal="center" vertical="center"/>
      <protection hidden="1"/>
    </xf>
    <xf numFmtId="0" fontId="74" fillId="13" borderId="87" xfId="0" applyFont="1" applyFill="1" applyBorder="1" applyAlignment="1" applyProtection="1">
      <alignment horizontal="center" vertical="center"/>
      <protection hidden="1"/>
    </xf>
    <xf numFmtId="0" fontId="74" fillId="13" borderId="90" xfId="0" applyFont="1" applyFill="1" applyBorder="1" applyAlignment="1" applyProtection="1">
      <alignment horizontal="center" vertical="center"/>
      <protection hidden="1"/>
    </xf>
    <xf numFmtId="0" fontId="74" fillId="13" borderId="89" xfId="0" applyFont="1" applyFill="1" applyBorder="1" applyAlignment="1" applyProtection="1">
      <alignment horizontal="center" vertical="center"/>
      <protection hidden="1"/>
    </xf>
    <xf numFmtId="167" fontId="10" fillId="0" borderId="110" xfId="0" applyNumberFormat="1" applyFont="1" applyBorder="1" applyAlignment="1" applyProtection="1">
      <alignment horizontal="center" vertical="center"/>
      <protection hidden="1"/>
    </xf>
    <xf numFmtId="167" fontId="11" fillId="0" borderId="198" xfId="0" applyNumberFormat="1" applyFont="1" applyBorder="1" applyAlignment="1" applyProtection="1">
      <alignment horizontal="center" vertical="center"/>
      <protection hidden="1"/>
    </xf>
    <xf numFmtId="164" fontId="48" fillId="0" borderId="198" xfId="0" applyNumberFormat="1" applyFont="1" applyBorder="1" applyAlignment="1" applyProtection="1">
      <alignment horizontal="center" vertical="center"/>
      <protection hidden="1"/>
    </xf>
    <xf numFmtId="167" fontId="53" fillId="0" borderId="198" xfId="0" applyNumberFormat="1" applyFont="1" applyBorder="1" applyAlignment="1" applyProtection="1">
      <alignment horizontal="center" vertical="center"/>
      <protection hidden="1"/>
    </xf>
    <xf numFmtId="0" fontId="71" fillId="13" borderId="151" xfId="0" applyFont="1" applyFill="1" applyBorder="1" applyAlignment="1" applyProtection="1">
      <alignment horizontal="left" vertical="center"/>
      <protection hidden="1"/>
    </xf>
    <xf numFmtId="0" fontId="71" fillId="13" borderId="86" xfId="0" applyFont="1" applyFill="1" applyBorder="1" applyAlignment="1" applyProtection="1">
      <alignment horizontal="left" vertical="center"/>
      <protection hidden="1"/>
    </xf>
    <xf numFmtId="0" fontId="71" fillId="13" borderId="90" xfId="0" applyFont="1" applyFill="1" applyBorder="1" applyAlignment="1" applyProtection="1">
      <alignment horizontal="left" vertical="center"/>
      <protection hidden="1"/>
    </xf>
    <xf numFmtId="0" fontId="71" fillId="13" borderId="88" xfId="0" applyFont="1" applyFill="1" applyBorder="1" applyAlignment="1" applyProtection="1">
      <alignment horizontal="left" vertical="center"/>
      <protection hidden="1"/>
    </xf>
    <xf numFmtId="0" fontId="11" fillId="0" borderId="130" xfId="0" applyFont="1" applyBorder="1" applyAlignment="1" applyProtection="1">
      <alignment horizontal="left" vertical="center"/>
      <protection hidden="1"/>
    </xf>
    <xf numFmtId="0" fontId="11" fillId="0" borderId="185" xfId="0" applyFont="1" applyBorder="1" applyAlignment="1" applyProtection="1">
      <alignment horizontal="left" vertical="center"/>
      <protection hidden="1"/>
    </xf>
    <xf numFmtId="0" fontId="74" fillId="13" borderId="227" xfId="0" applyFont="1" applyFill="1" applyBorder="1" applyAlignment="1" applyProtection="1">
      <alignment horizontal="center"/>
      <protection hidden="1"/>
    </xf>
    <xf numFmtId="0" fontId="74" fillId="13" borderId="87" xfId="0" applyFont="1" applyFill="1" applyBorder="1" applyAlignment="1" applyProtection="1">
      <alignment horizontal="center"/>
      <protection hidden="1"/>
    </xf>
    <xf numFmtId="49" fontId="74" fillId="13" borderId="199" xfId="0" applyNumberFormat="1" applyFont="1" applyFill="1" applyBorder="1" applyAlignment="1" applyProtection="1">
      <alignment horizontal="center"/>
      <protection hidden="1"/>
    </xf>
    <xf numFmtId="49" fontId="74" fillId="13" borderId="89" xfId="0" applyNumberFormat="1" applyFont="1" applyFill="1" applyBorder="1" applyAlignment="1" applyProtection="1">
      <alignment horizontal="center"/>
      <protection hidden="1"/>
    </xf>
    <xf numFmtId="0" fontId="74" fillId="13" borderId="199" xfId="0" applyFont="1" applyFill="1" applyBorder="1" applyAlignment="1" applyProtection="1">
      <alignment horizontal="center"/>
      <protection hidden="1"/>
    </xf>
    <xf numFmtId="0" fontId="74" fillId="13" borderId="200" xfId="0" applyFont="1" applyFill="1" applyBorder="1" applyAlignment="1" applyProtection="1">
      <alignment horizontal="center"/>
      <protection hidden="1"/>
    </xf>
    <xf numFmtId="0" fontId="3" fillId="9" borderId="118" xfId="0" applyFont="1" applyFill="1" applyBorder="1" applyAlignment="1" applyProtection="1">
      <alignment horizontal="center" vertical="center"/>
      <protection hidden="1"/>
    </xf>
    <xf numFmtId="0" fontId="3" fillId="9" borderId="214" xfId="0" applyFont="1" applyFill="1" applyBorder="1" applyAlignment="1" applyProtection="1">
      <alignment horizontal="center" vertical="center"/>
      <protection hidden="1"/>
    </xf>
    <xf numFmtId="0" fontId="3" fillId="9" borderId="125" xfId="0" applyFont="1" applyFill="1" applyBorder="1" applyAlignment="1" applyProtection="1">
      <alignment horizontal="center" vertical="center"/>
      <protection hidden="1"/>
    </xf>
    <xf numFmtId="0" fontId="10" fillId="0" borderId="100" xfId="0" applyFont="1" applyBorder="1" applyAlignment="1" applyProtection="1">
      <alignment horizontal="left" vertical="center"/>
      <protection hidden="1"/>
    </xf>
    <xf numFmtId="0" fontId="10" fillId="0" borderId="0" xfId="0" applyFont="1" applyAlignment="1" applyProtection="1">
      <alignment horizontal="left" vertical="center"/>
      <protection hidden="1"/>
    </xf>
    <xf numFmtId="0" fontId="10" fillId="0" borderId="206" xfId="0" applyFont="1" applyBorder="1" applyAlignment="1" applyProtection="1">
      <alignment horizontal="left" vertical="center"/>
      <protection hidden="1"/>
    </xf>
    <xf numFmtId="0" fontId="10" fillId="0" borderId="121" xfId="0" applyFont="1" applyBorder="1" applyAlignment="1" applyProtection="1">
      <alignment horizontal="left" vertical="center"/>
      <protection hidden="1"/>
    </xf>
    <xf numFmtId="0" fontId="72" fillId="13" borderId="86" xfId="0" applyFont="1" applyFill="1" applyBorder="1" applyAlignment="1" applyProtection="1">
      <alignment horizontal="left" vertical="center"/>
      <protection hidden="1"/>
    </xf>
    <xf numFmtId="0" fontId="72" fillId="13" borderId="100" xfId="0" applyFont="1" applyFill="1" applyBorder="1" applyAlignment="1" applyProtection="1">
      <alignment horizontal="left" vertical="center"/>
      <protection hidden="1"/>
    </xf>
    <xf numFmtId="0" fontId="72" fillId="13" borderId="0" xfId="0" applyFont="1" applyFill="1" applyAlignment="1" applyProtection="1">
      <alignment horizontal="left" vertical="center"/>
      <protection hidden="1"/>
    </xf>
    <xf numFmtId="0" fontId="72" fillId="13" borderId="90" xfId="0" applyFont="1" applyFill="1" applyBorder="1" applyAlignment="1">
      <alignment horizontal="left" vertical="center"/>
    </xf>
    <xf numFmtId="0" fontId="72" fillId="13" borderId="88" xfId="0" applyFont="1" applyFill="1" applyBorder="1" applyAlignment="1">
      <alignment horizontal="left" vertical="center"/>
    </xf>
    <xf numFmtId="0" fontId="67" fillId="13" borderId="86" xfId="0" applyFont="1" applyFill="1" applyBorder="1" applyAlignment="1" applyProtection="1">
      <alignment horizontal="center"/>
      <protection hidden="1"/>
    </xf>
    <xf numFmtId="0" fontId="74" fillId="13" borderId="226" xfId="0" applyFont="1" applyFill="1" applyBorder="1" applyAlignment="1" applyProtection="1">
      <alignment horizontal="center"/>
      <protection hidden="1"/>
    </xf>
    <xf numFmtId="0" fontId="67" fillId="13" borderId="0" xfId="0" applyFont="1" applyFill="1" applyAlignment="1" applyProtection="1">
      <alignment horizontal="center"/>
      <protection hidden="1"/>
    </xf>
    <xf numFmtId="167" fontId="11" fillId="0" borderId="195" xfId="0" applyNumberFormat="1" applyFont="1" applyBorder="1" applyAlignment="1" applyProtection="1">
      <alignment horizontal="center" vertical="center"/>
      <protection hidden="1"/>
    </xf>
    <xf numFmtId="0" fontId="11" fillId="0" borderId="206" xfId="0" applyFont="1" applyBorder="1" applyAlignment="1" applyProtection="1">
      <alignment horizontal="left" vertical="center"/>
      <protection hidden="1"/>
    </xf>
    <xf numFmtId="0" fontId="11" fillId="0" borderId="121" xfId="0" applyFont="1" applyBorder="1" applyAlignment="1" applyProtection="1">
      <alignment horizontal="left" vertical="center"/>
      <protection hidden="1"/>
    </xf>
    <xf numFmtId="0" fontId="71" fillId="13" borderId="151" xfId="0" applyFont="1" applyFill="1" applyBorder="1" applyAlignment="1" applyProtection="1">
      <alignment horizontal="left" vertical="center" wrapText="1"/>
      <protection hidden="1"/>
    </xf>
    <xf numFmtId="0" fontId="71" fillId="13" borderId="86" xfId="0" applyFont="1" applyFill="1" applyBorder="1" applyAlignment="1" applyProtection="1">
      <alignment horizontal="left" vertical="center" wrapText="1"/>
      <protection hidden="1"/>
    </xf>
    <xf numFmtId="0" fontId="71" fillId="13" borderId="90" xfId="0" applyFont="1" applyFill="1" applyBorder="1" applyAlignment="1" applyProtection="1">
      <alignment horizontal="left" vertical="center" wrapText="1"/>
      <protection hidden="1"/>
    </xf>
    <xf numFmtId="0" fontId="71" fillId="13" borderId="88" xfId="0" applyFont="1" applyFill="1" applyBorder="1" applyAlignment="1" applyProtection="1">
      <alignment horizontal="left" vertical="center" wrapText="1"/>
      <protection hidden="1"/>
    </xf>
    <xf numFmtId="0" fontId="67" fillId="13" borderId="120" xfId="0" applyFont="1" applyFill="1" applyBorder="1" applyAlignment="1" applyProtection="1">
      <alignment horizontal="center" vertical="center"/>
      <protection hidden="1"/>
    </xf>
    <xf numFmtId="0" fontId="67" fillId="13" borderId="119" xfId="0" applyFont="1" applyFill="1" applyBorder="1" applyAlignment="1" applyProtection="1">
      <alignment horizontal="center" vertical="center"/>
      <protection hidden="1"/>
    </xf>
    <xf numFmtId="0" fontId="11" fillId="0" borderId="224" xfId="0" applyFont="1" applyBorder="1" applyAlignment="1" applyProtection="1">
      <alignment horizontal="left" vertical="center"/>
      <protection hidden="1"/>
    </xf>
    <xf numFmtId="0" fontId="11" fillId="0" borderId="155" xfId="0" applyFont="1" applyBorder="1" applyAlignment="1" applyProtection="1">
      <alignment horizontal="left" vertical="center"/>
      <protection hidden="1"/>
    </xf>
    <xf numFmtId="0" fontId="11" fillId="0" borderId="192" xfId="0" applyFont="1" applyBorder="1" applyAlignment="1" applyProtection="1">
      <alignment horizontal="left" vertical="center"/>
      <protection hidden="1"/>
    </xf>
    <xf numFmtId="0" fontId="38" fillId="0" borderId="193" xfId="0" applyFont="1" applyBorder="1" applyAlignment="1" applyProtection="1">
      <alignment horizontal="left" vertical="center"/>
      <protection hidden="1"/>
    </xf>
    <xf numFmtId="0" fontId="38" fillId="0" borderId="194" xfId="0" applyFont="1" applyBorder="1" applyAlignment="1" applyProtection="1">
      <alignment horizontal="left" vertical="center"/>
      <protection hidden="1"/>
    </xf>
    <xf numFmtId="0" fontId="38" fillId="0" borderId="193" xfId="0" applyFont="1" applyBorder="1" applyAlignment="1" applyProtection="1">
      <alignment horizontal="center" vertical="center"/>
      <protection hidden="1"/>
    </xf>
    <xf numFmtId="0" fontId="38" fillId="0" borderId="194" xfId="0" applyFont="1" applyBorder="1" applyAlignment="1" applyProtection="1">
      <alignment horizontal="center" vertical="center"/>
      <protection hidden="1"/>
    </xf>
    <xf numFmtId="0" fontId="38" fillId="0" borderId="88" xfId="0" applyFont="1" applyBorder="1" applyAlignment="1" applyProtection="1">
      <alignment horizontal="center" vertical="center"/>
      <protection hidden="1"/>
    </xf>
    <xf numFmtId="0" fontId="38" fillId="0" borderId="89" xfId="0" applyFont="1" applyBorder="1" applyAlignment="1" applyProtection="1">
      <alignment horizontal="center" vertical="center"/>
      <protection hidden="1"/>
    </xf>
    <xf numFmtId="0" fontId="38" fillId="0" borderId="0" xfId="0" applyFont="1" applyAlignment="1" applyProtection="1">
      <alignment horizontal="center" vertical="center"/>
      <protection hidden="1"/>
    </xf>
    <xf numFmtId="0" fontId="38" fillId="0" borderId="126" xfId="0" applyFont="1" applyBorder="1" applyAlignment="1" applyProtection="1">
      <alignment horizontal="center" vertical="center"/>
      <protection hidden="1"/>
    </xf>
    <xf numFmtId="0" fontId="57" fillId="0" borderId="0" xfId="0" applyFont="1" applyAlignment="1">
      <alignment horizontal="left" vertical="center" readingOrder="1"/>
    </xf>
    <xf numFmtId="0" fontId="11" fillId="0" borderId="121" xfId="0" applyFont="1" applyBorder="1" applyAlignment="1" applyProtection="1">
      <alignment horizontal="left" vertical="center" wrapText="1"/>
      <protection hidden="1"/>
    </xf>
    <xf numFmtId="0" fontId="11" fillId="0" borderId="121" xfId="0" applyFont="1" applyBorder="1" applyAlignment="1">
      <alignment vertical="center"/>
    </xf>
    <xf numFmtId="0" fontId="11" fillId="0" borderId="193" xfId="0" applyFont="1" applyBorder="1" applyAlignment="1">
      <alignment vertical="center"/>
    </xf>
    <xf numFmtId="0" fontId="3" fillId="8" borderId="104" xfId="0" applyFont="1" applyFill="1" applyBorder="1" applyAlignment="1" applyProtection="1">
      <alignment horizontal="left" vertical="center" wrapText="1"/>
      <protection locked="0"/>
    </xf>
    <xf numFmtId="0" fontId="3" fillId="8" borderId="125" xfId="0" applyFont="1" applyFill="1" applyBorder="1" applyAlignment="1" applyProtection="1">
      <alignment horizontal="left" vertical="center" wrapText="1"/>
      <protection locked="0"/>
    </xf>
    <xf numFmtId="0" fontId="11" fillId="8" borderId="104" xfId="0" applyFont="1" applyFill="1" applyBorder="1" applyAlignment="1" applyProtection="1">
      <alignment horizontal="left" vertical="center"/>
      <protection locked="0"/>
    </xf>
    <xf numFmtId="0" fontId="11" fillId="8" borderId="125" xfId="0" applyFont="1" applyFill="1" applyBorder="1" applyAlignment="1" applyProtection="1">
      <alignment horizontal="left" vertical="center"/>
      <protection locked="0"/>
    </xf>
    <xf numFmtId="0" fontId="11" fillId="8" borderId="213" xfId="0" applyFont="1" applyFill="1" applyBorder="1" applyAlignment="1" applyProtection="1">
      <alignment horizontal="left" vertical="center"/>
      <protection locked="0"/>
    </xf>
    <xf numFmtId="0" fontId="11" fillId="8" borderId="211" xfId="0" applyFont="1" applyFill="1" applyBorder="1" applyAlignment="1" applyProtection="1">
      <alignment horizontal="left" vertical="center"/>
      <protection locked="0"/>
    </xf>
    <xf numFmtId="0" fontId="10" fillId="8" borderId="96" xfId="0" applyFont="1" applyFill="1" applyBorder="1" applyAlignment="1" applyProtection="1">
      <alignment horizontal="left" vertical="center"/>
      <protection locked="0"/>
    </xf>
    <xf numFmtId="0" fontId="10" fillId="8" borderId="95" xfId="0" applyFont="1" applyFill="1" applyBorder="1" applyAlignment="1" applyProtection="1">
      <alignment horizontal="left" vertical="center"/>
      <protection locked="0"/>
    </xf>
    <xf numFmtId="0" fontId="10" fillId="3" borderId="104" xfId="0" applyFont="1" applyFill="1" applyBorder="1" applyAlignment="1">
      <alignment horizontal="left" vertical="center"/>
    </xf>
    <xf numFmtId="0" fontId="10" fillId="3" borderId="179" xfId="0" applyFont="1" applyFill="1" applyBorder="1" applyAlignment="1">
      <alignment horizontal="left" vertical="center"/>
    </xf>
    <xf numFmtId="0" fontId="10" fillId="3" borderId="125" xfId="0" applyFont="1" applyFill="1" applyBorder="1" applyAlignment="1">
      <alignment horizontal="left" vertical="center"/>
    </xf>
    <xf numFmtId="0" fontId="11" fillId="8" borderId="90" xfId="0" applyFont="1" applyFill="1" applyBorder="1" applyAlignment="1" applyProtection="1">
      <alignment horizontal="left" vertical="center"/>
      <protection locked="0"/>
    </xf>
    <xf numFmtId="0" fontId="11" fillId="8" borderId="88" xfId="0" applyFont="1" applyFill="1" applyBorder="1" applyAlignment="1" applyProtection="1">
      <alignment horizontal="left" vertical="center"/>
      <protection locked="0"/>
    </xf>
    <xf numFmtId="0" fontId="11" fillId="8" borderId="179" xfId="0" applyFont="1" applyFill="1" applyBorder="1" applyAlignment="1" applyProtection="1">
      <alignment horizontal="left" vertical="center"/>
      <protection locked="0"/>
    </xf>
    <xf numFmtId="0" fontId="11" fillId="8" borderId="151" xfId="0" applyFont="1" applyFill="1" applyBorder="1" applyAlignment="1" applyProtection="1">
      <alignment horizontal="left" vertical="center"/>
      <protection locked="0"/>
    </xf>
    <xf numFmtId="0" fontId="11" fillId="8" borderId="86" xfId="0" applyFont="1" applyFill="1" applyBorder="1" applyAlignment="1" applyProtection="1">
      <alignment horizontal="left" vertical="center"/>
      <protection locked="0"/>
    </xf>
    <xf numFmtId="0" fontId="11" fillId="8" borderId="204" xfId="0" applyFont="1" applyFill="1" applyBorder="1" applyAlignment="1" applyProtection="1">
      <alignment horizontal="left" vertical="center"/>
      <protection locked="0"/>
    </xf>
    <xf numFmtId="0" fontId="11" fillId="8" borderId="205" xfId="0" applyFont="1" applyFill="1" applyBorder="1" applyAlignment="1" applyProtection="1">
      <alignment horizontal="left" vertical="center"/>
      <protection locked="0"/>
    </xf>
    <xf numFmtId="0" fontId="10" fillId="8" borderId="250" xfId="0" applyFont="1" applyFill="1" applyBorder="1" applyAlignment="1" applyProtection="1">
      <alignment horizontal="left" vertical="center"/>
      <protection locked="0"/>
    </xf>
    <xf numFmtId="0" fontId="10" fillId="8" borderId="251" xfId="0" applyFont="1" applyFill="1" applyBorder="1" applyAlignment="1" applyProtection="1">
      <alignment horizontal="left" vertical="center"/>
      <protection locked="0"/>
    </xf>
    <xf numFmtId="0" fontId="74" fillId="13" borderId="120" xfId="0" applyFont="1" applyFill="1" applyBorder="1" applyAlignment="1">
      <alignment horizontal="center" vertical="center"/>
    </xf>
    <xf numFmtId="0" fontId="74" fillId="13" borderId="231" xfId="0" applyFont="1" applyFill="1" applyBorder="1" applyAlignment="1">
      <alignment horizontal="center" vertical="center"/>
    </xf>
    <xf numFmtId="0" fontId="71" fillId="13" borderId="151" xfId="0" applyFont="1" applyFill="1" applyBorder="1" applyAlignment="1">
      <alignment horizontal="center" vertical="center" wrapText="1"/>
    </xf>
    <xf numFmtId="0" fontId="71" fillId="13" borderId="87" xfId="0" applyFont="1" applyFill="1" applyBorder="1" applyAlignment="1">
      <alignment horizontal="center" vertical="center" wrapText="1"/>
    </xf>
    <xf numFmtId="0" fontId="71" fillId="13" borderId="100" xfId="0" applyFont="1" applyFill="1" applyBorder="1" applyAlignment="1">
      <alignment horizontal="center" vertical="center" wrapText="1"/>
    </xf>
    <xf numFmtId="0" fontId="71" fillId="13" borderId="85" xfId="0" applyFont="1" applyFill="1" applyBorder="1" applyAlignment="1">
      <alignment horizontal="center" vertical="center" wrapText="1"/>
    </xf>
    <xf numFmtId="0" fontId="71" fillId="13" borderId="90" xfId="0" applyFont="1" applyFill="1" applyBorder="1" applyAlignment="1">
      <alignment horizontal="center" vertical="center" wrapText="1"/>
    </xf>
    <xf numFmtId="0" fontId="71" fillId="13" borderId="89" xfId="0" applyFont="1" applyFill="1" applyBorder="1" applyAlignment="1">
      <alignment horizontal="center" vertical="center" wrapText="1"/>
    </xf>
    <xf numFmtId="4" fontId="70" fillId="0" borderId="255" xfId="0" applyNumberFormat="1" applyFont="1" applyBorder="1" applyAlignment="1" applyProtection="1">
      <alignment horizontal="center" vertical="center"/>
      <protection hidden="1"/>
    </xf>
    <xf numFmtId="4" fontId="70" fillId="0" borderId="256" xfId="0" applyNumberFormat="1" applyFont="1" applyBorder="1" applyAlignment="1" applyProtection="1">
      <alignment horizontal="center" vertical="center"/>
      <protection hidden="1"/>
    </xf>
    <xf numFmtId="0" fontId="74" fillId="13" borderId="119" xfId="0" applyFont="1" applyFill="1" applyBorder="1" applyAlignment="1">
      <alignment horizontal="center" vertical="center"/>
    </xf>
    <xf numFmtId="0" fontId="74" fillId="13" borderId="207" xfId="0" applyFont="1" applyFill="1" applyBorder="1" applyAlignment="1">
      <alignment horizontal="center" vertical="center"/>
    </xf>
    <xf numFmtId="0" fontId="6" fillId="0" borderId="120"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119" xfId="0" applyFont="1" applyBorder="1" applyAlignment="1">
      <alignment horizontal="center" vertical="center" wrapText="1"/>
    </xf>
    <xf numFmtId="16" fontId="11" fillId="8" borderId="151" xfId="0" applyNumberFormat="1" applyFont="1" applyFill="1" applyBorder="1" applyAlignment="1" applyProtection="1">
      <alignment horizontal="left" vertical="center"/>
      <protection locked="0"/>
    </xf>
    <xf numFmtId="0" fontId="11" fillId="8" borderId="87" xfId="0" applyFont="1" applyFill="1" applyBorder="1" applyAlignment="1" applyProtection="1">
      <alignment horizontal="left" vertical="center"/>
      <protection locked="0"/>
    </xf>
    <xf numFmtId="16" fontId="11" fillId="8" borderId="104" xfId="0" applyNumberFormat="1" applyFont="1" applyFill="1" applyBorder="1" applyAlignment="1" applyProtection="1">
      <alignment horizontal="left" vertical="center"/>
      <protection locked="0"/>
    </xf>
    <xf numFmtId="0" fontId="11" fillId="8" borderId="186" xfId="0" applyFont="1" applyFill="1" applyBorder="1" applyAlignment="1" applyProtection="1">
      <alignment horizontal="left" vertical="center"/>
      <protection locked="0"/>
    </xf>
    <xf numFmtId="0" fontId="11" fillId="8" borderId="187" xfId="0" applyFont="1" applyFill="1" applyBorder="1" applyAlignment="1" applyProtection="1">
      <alignment horizontal="left" vertical="center"/>
      <protection locked="0"/>
    </xf>
    <xf numFmtId="0" fontId="10" fillId="8" borderId="104" xfId="0" applyFont="1" applyFill="1" applyBorder="1" applyAlignment="1" applyProtection="1">
      <alignment horizontal="left" vertical="center" wrapText="1"/>
      <protection locked="0"/>
    </xf>
    <xf numFmtId="0" fontId="10" fillId="8" borderId="179" xfId="0" applyFont="1" applyFill="1" applyBorder="1" applyAlignment="1" applyProtection="1">
      <alignment horizontal="left" vertical="center" wrapText="1"/>
      <protection locked="0"/>
    </xf>
    <xf numFmtId="0" fontId="10" fillId="0" borderId="244" xfId="0" applyFont="1" applyBorder="1" applyAlignment="1" applyProtection="1">
      <alignment horizontal="left" vertical="center"/>
      <protection hidden="1"/>
    </xf>
    <xf numFmtId="0" fontId="10" fillId="0" borderId="130" xfId="0" applyFont="1" applyBorder="1" applyAlignment="1" applyProtection="1">
      <alignment horizontal="left" vertical="center"/>
      <protection hidden="1"/>
    </xf>
    <xf numFmtId="14" fontId="10" fillId="0" borderId="0" xfId="0" applyNumberFormat="1" applyFont="1" applyAlignment="1" applyProtection="1">
      <alignment horizontal="left" vertical="center"/>
      <protection hidden="1"/>
    </xf>
    <xf numFmtId="0" fontId="48" fillId="0" borderId="121" xfId="0" applyFont="1" applyBorder="1" applyAlignment="1" applyProtection="1">
      <alignment horizontal="left" vertical="center" indent="1"/>
      <protection hidden="1"/>
    </xf>
    <xf numFmtId="0" fontId="11" fillId="0" borderId="233" xfId="0" applyFont="1" applyBorder="1" applyAlignment="1">
      <alignment horizontal="center"/>
    </xf>
    <xf numFmtId="0" fontId="11" fillId="0" borderId="193" xfId="0" applyFont="1" applyBorder="1" applyAlignment="1">
      <alignment horizontal="center"/>
    </xf>
    <xf numFmtId="0" fontId="38" fillId="0" borderId="240" xfId="0" applyFont="1" applyBorder="1" applyAlignment="1" applyProtection="1">
      <alignment horizontal="left" vertical="center"/>
      <protection hidden="1"/>
    </xf>
    <xf numFmtId="0" fontId="21" fillId="8" borderId="0" xfId="0" applyFont="1" applyFill="1" applyAlignment="1" applyProtection="1">
      <alignment horizontal="left" vertical="center"/>
      <protection hidden="1"/>
    </xf>
    <xf numFmtId="0" fontId="11" fillId="0" borderId="121" xfId="0" quotePrefix="1" applyFont="1" applyBorder="1" applyAlignment="1">
      <alignment vertical="center"/>
    </xf>
    <xf numFmtId="167" fontId="11" fillId="0" borderId="131" xfId="0" applyNumberFormat="1" applyFont="1" applyBorder="1" applyAlignment="1" applyProtection="1">
      <alignment horizontal="center" vertical="center"/>
      <protection hidden="1"/>
    </xf>
    <xf numFmtId="167" fontId="11" fillId="0" borderId="196" xfId="0" applyNumberFormat="1" applyFont="1" applyBorder="1" applyAlignment="1" applyProtection="1">
      <alignment horizontal="center" vertical="center"/>
      <protection hidden="1"/>
    </xf>
    <xf numFmtId="0" fontId="71" fillId="13" borderId="151" xfId="0" applyFont="1" applyFill="1" applyBorder="1" applyAlignment="1" applyProtection="1">
      <alignment horizontal="left" vertical="center" wrapText="1" indent="1"/>
      <protection hidden="1"/>
    </xf>
    <xf numFmtId="0" fontId="71" fillId="13" borderId="86" xfId="0" applyFont="1" applyFill="1" applyBorder="1" applyAlignment="1" applyProtection="1">
      <alignment horizontal="left" vertical="center" wrapText="1" indent="1"/>
      <protection hidden="1"/>
    </xf>
    <xf numFmtId="0" fontId="71" fillId="13" borderId="90" xfId="0" applyFont="1" applyFill="1" applyBorder="1" applyAlignment="1" applyProtection="1">
      <alignment horizontal="left" vertical="center" wrapText="1" indent="1"/>
      <protection hidden="1"/>
    </xf>
    <xf numFmtId="0" fontId="71" fillId="13" borderId="88" xfId="0" applyFont="1" applyFill="1" applyBorder="1" applyAlignment="1" applyProtection="1">
      <alignment horizontal="left" vertical="center" wrapText="1" indent="1"/>
      <protection hidden="1"/>
    </xf>
    <xf numFmtId="167" fontId="11" fillId="8" borderId="131" xfId="0" applyNumberFormat="1" applyFont="1" applyFill="1" applyBorder="1" applyAlignment="1" applyProtection="1">
      <alignment horizontal="center" vertical="center"/>
      <protection hidden="1"/>
    </xf>
    <xf numFmtId="167" fontId="11" fillId="8" borderId="196" xfId="0" applyNumberFormat="1" applyFont="1" applyFill="1" applyBorder="1" applyAlignment="1" applyProtection="1">
      <alignment horizontal="center" vertical="center"/>
      <protection hidden="1"/>
    </xf>
    <xf numFmtId="167" fontId="10" fillId="8" borderId="131" xfId="0" applyNumberFormat="1" applyFont="1" applyFill="1" applyBorder="1" applyAlignment="1" applyProtection="1">
      <alignment horizontal="center" vertical="center"/>
      <protection hidden="1"/>
    </xf>
    <xf numFmtId="167" fontId="10" fillId="8" borderId="196" xfId="0" applyNumberFormat="1" applyFont="1" applyFill="1" applyBorder="1" applyAlignment="1" applyProtection="1">
      <alignment horizontal="center" vertical="center"/>
      <protection hidden="1"/>
    </xf>
    <xf numFmtId="167" fontId="10" fillId="8" borderId="130" xfId="0" applyNumberFormat="1" applyFont="1" applyFill="1" applyBorder="1" applyAlignment="1" applyProtection="1">
      <alignment horizontal="center" vertical="center"/>
      <protection hidden="1"/>
    </xf>
    <xf numFmtId="0" fontId="10" fillId="0" borderId="100" xfId="0" applyFont="1" applyBorder="1" applyAlignment="1" applyProtection="1">
      <alignment horizontal="right" vertical="center"/>
      <protection hidden="1"/>
    </xf>
    <xf numFmtId="0" fontId="10" fillId="0" borderId="0" xfId="0" applyFont="1" applyAlignment="1" applyProtection="1">
      <alignment horizontal="right" vertical="center"/>
      <protection hidden="1"/>
    </xf>
    <xf numFmtId="167" fontId="10" fillId="0" borderId="0" xfId="0" applyNumberFormat="1" applyFont="1" applyAlignment="1" applyProtection="1">
      <alignment horizontal="center"/>
      <protection hidden="1"/>
    </xf>
    <xf numFmtId="167" fontId="10" fillId="8" borderId="126" xfId="0" applyNumberFormat="1" applyFont="1" applyFill="1" applyBorder="1" applyAlignment="1" applyProtection="1">
      <alignment horizontal="center"/>
      <protection hidden="1"/>
    </xf>
    <xf numFmtId="167" fontId="10" fillId="8" borderId="111" xfId="0" applyNumberFormat="1" applyFont="1" applyFill="1" applyBorder="1" applyAlignment="1" applyProtection="1">
      <alignment horizontal="center"/>
      <protection hidden="1"/>
    </xf>
    <xf numFmtId="167" fontId="5" fillId="8" borderId="131" xfId="0" applyNumberFormat="1" applyFont="1" applyFill="1" applyBorder="1" applyAlignment="1" applyProtection="1">
      <alignment horizontal="center"/>
      <protection hidden="1"/>
    </xf>
    <xf numFmtId="167" fontId="5" fillId="8" borderId="196" xfId="0" applyNumberFormat="1" applyFont="1" applyFill="1" applyBorder="1" applyAlignment="1" applyProtection="1">
      <alignment horizontal="center"/>
      <protection hidden="1"/>
    </xf>
    <xf numFmtId="167" fontId="5" fillId="0" borderId="121" xfId="0" applyNumberFormat="1" applyFont="1" applyBorder="1" applyAlignment="1" applyProtection="1">
      <alignment horizontal="center"/>
      <protection hidden="1"/>
    </xf>
    <xf numFmtId="167" fontId="2" fillId="8" borderId="131" xfId="0" applyNumberFormat="1" applyFont="1" applyFill="1" applyBorder="1" applyAlignment="1" applyProtection="1">
      <alignment horizontal="center"/>
      <protection hidden="1"/>
    </xf>
    <xf numFmtId="167" fontId="2" fillId="8" borderId="196" xfId="0" applyNumberFormat="1" applyFont="1" applyFill="1" applyBorder="1" applyAlignment="1" applyProtection="1">
      <alignment horizontal="center"/>
      <protection hidden="1"/>
    </xf>
    <xf numFmtId="167" fontId="2" fillId="0" borderId="121" xfId="0" applyNumberFormat="1" applyFont="1" applyBorder="1" applyAlignment="1" applyProtection="1">
      <alignment horizontal="center" vertical="center"/>
      <protection hidden="1"/>
    </xf>
    <xf numFmtId="167" fontId="2" fillId="8" borderId="131" xfId="0" applyNumberFormat="1" applyFont="1" applyFill="1" applyBorder="1" applyAlignment="1" applyProtection="1">
      <alignment horizontal="center" vertical="center"/>
      <protection hidden="1"/>
    </xf>
    <xf numFmtId="167" fontId="2" fillId="8" borderId="196" xfId="0" applyNumberFormat="1" applyFont="1" applyFill="1" applyBorder="1" applyAlignment="1" applyProtection="1">
      <alignment horizontal="center" vertical="center"/>
      <protection hidden="1"/>
    </xf>
    <xf numFmtId="167" fontId="53" fillId="8" borderId="131" xfId="0" applyNumberFormat="1" applyFont="1" applyFill="1" applyBorder="1" applyAlignment="1" applyProtection="1">
      <alignment horizontal="left" vertical="center"/>
      <protection hidden="1"/>
    </xf>
    <xf numFmtId="167" fontId="53" fillId="8" borderId="196" xfId="0" applyNumberFormat="1" applyFont="1" applyFill="1" applyBorder="1" applyAlignment="1" applyProtection="1">
      <alignment horizontal="left" vertical="center"/>
      <protection hidden="1"/>
    </xf>
    <xf numFmtId="167" fontId="53" fillId="8" borderId="131" xfId="0" applyNumberFormat="1" applyFont="1" applyFill="1" applyBorder="1" applyAlignment="1" applyProtection="1">
      <alignment horizontal="left"/>
      <protection hidden="1"/>
    </xf>
    <xf numFmtId="167" fontId="53" fillId="8" borderId="196" xfId="0" applyNumberFormat="1" applyFont="1" applyFill="1" applyBorder="1" applyAlignment="1" applyProtection="1">
      <alignment horizontal="left"/>
      <protection hidden="1"/>
    </xf>
    <xf numFmtId="167" fontId="10" fillId="8" borderId="131" xfId="0" applyNumberFormat="1" applyFont="1" applyFill="1" applyBorder="1" applyAlignment="1" applyProtection="1">
      <alignment horizontal="center"/>
      <protection hidden="1"/>
    </xf>
    <xf numFmtId="167" fontId="10" fillId="8" borderId="196" xfId="0" applyNumberFormat="1" applyFont="1" applyFill="1" applyBorder="1" applyAlignment="1" applyProtection="1">
      <alignment horizontal="center"/>
      <protection hidden="1"/>
    </xf>
    <xf numFmtId="167" fontId="11" fillId="8" borderId="131" xfId="0" applyNumberFormat="1" applyFont="1" applyFill="1" applyBorder="1" applyAlignment="1" applyProtection="1">
      <alignment horizontal="center"/>
      <protection hidden="1"/>
    </xf>
    <xf numFmtId="167" fontId="11" fillId="8" borderId="196" xfId="0" applyNumberFormat="1" applyFont="1" applyFill="1" applyBorder="1" applyAlignment="1" applyProtection="1">
      <alignment horizontal="center"/>
      <protection hidden="1"/>
    </xf>
    <xf numFmtId="167" fontId="11" fillId="0" borderId="121" xfId="0" applyNumberFormat="1" applyFont="1" applyBorder="1" applyAlignment="1" applyProtection="1">
      <alignment horizontal="center"/>
      <protection hidden="1"/>
    </xf>
    <xf numFmtId="167" fontId="11" fillId="0" borderId="179" xfId="0" applyNumberFormat="1" applyFont="1" applyBorder="1" applyAlignment="1" applyProtection="1">
      <alignment horizontal="center" vertical="center"/>
      <protection hidden="1"/>
    </xf>
    <xf numFmtId="3" fontId="11" fillId="0" borderId="179" xfId="0" applyNumberFormat="1" applyFont="1" applyBorder="1" applyAlignment="1" applyProtection="1">
      <alignment horizontal="center" vertical="center"/>
      <protection hidden="1"/>
    </xf>
    <xf numFmtId="0" fontId="8" fillId="0" borderId="0" xfId="0" applyFont="1" applyAlignment="1" applyProtection="1">
      <alignment horizontal="left" vertical="center" shrinkToFit="1"/>
      <protection hidden="1"/>
    </xf>
    <xf numFmtId="0" fontId="53" fillId="0" borderId="121" xfId="0" applyFont="1" applyBorder="1" applyAlignment="1" applyProtection="1">
      <alignment horizontal="left" vertical="center" indent="1"/>
      <protection hidden="1"/>
    </xf>
    <xf numFmtId="167" fontId="10" fillId="0" borderId="121" xfId="0" applyNumberFormat="1" applyFont="1" applyBorder="1" applyAlignment="1" applyProtection="1">
      <alignment horizontal="center"/>
      <protection hidden="1"/>
    </xf>
    <xf numFmtId="167" fontId="10" fillId="0" borderId="121" xfId="0" applyNumberFormat="1" applyFont="1" applyBorder="1" applyAlignment="1" applyProtection="1">
      <alignment horizontal="center" vertical="center"/>
      <protection hidden="1"/>
    </xf>
    <xf numFmtId="167" fontId="11" fillId="0" borderId="121" xfId="0" applyNumberFormat="1" applyFont="1" applyBorder="1" applyAlignment="1" applyProtection="1">
      <alignment horizontal="center" vertical="center"/>
      <protection hidden="1"/>
    </xf>
    <xf numFmtId="167" fontId="2" fillId="0" borderId="121" xfId="0" applyNumberFormat="1" applyFont="1" applyBorder="1" applyAlignment="1" applyProtection="1">
      <alignment horizontal="center"/>
      <protection hidden="1"/>
    </xf>
    <xf numFmtId="167" fontId="10" fillId="0" borderId="130" xfId="0" applyNumberFormat="1" applyFont="1" applyBorder="1" applyAlignment="1" applyProtection="1">
      <alignment horizontal="center" vertical="center"/>
      <protection hidden="1"/>
    </xf>
    <xf numFmtId="0" fontId="71" fillId="13" borderId="87" xfId="0" applyFont="1" applyFill="1" applyBorder="1" applyAlignment="1" applyProtection="1">
      <alignment horizontal="left" vertical="center" wrapText="1" indent="1"/>
      <protection hidden="1"/>
    </xf>
    <xf numFmtId="0" fontId="71" fillId="13" borderId="89" xfId="0" applyFont="1" applyFill="1" applyBorder="1" applyAlignment="1" applyProtection="1">
      <alignment horizontal="left" vertical="center" wrapText="1" indent="1"/>
      <protection hidden="1"/>
    </xf>
    <xf numFmtId="0" fontId="11" fillId="0" borderId="0" xfId="0" applyFont="1" applyAlignment="1">
      <alignment vertical="center"/>
    </xf>
    <xf numFmtId="3" fontId="10" fillId="0" borderId="0" xfId="0" applyNumberFormat="1" applyFont="1" applyAlignment="1" applyProtection="1">
      <alignment horizontal="left"/>
      <protection hidden="1"/>
    </xf>
    <xf numFmtId="0" fontId="11" fillId="0" borderId="121" xfId="0" applyFont="1" applyBorder="1" applyAlignment="1" applyProtection="1">
      <alignment vertical="center"/>
      <protection hidden="1"/>
    </xf>
    <xf numFmtId="167" fontId="10" fillId="0" borderId="236" xfId="0" applyNumberFormat="1" applyFont="1" applyBorder="1" applyAlignment="1" applyProtection="1">
      <alignment horizontal="center" vertical="center"/>
      <protection hidden="1"/>
    </xf>
    <xf numFmtId="167" fontId="10" fillId="0" borderId="228" xfId="0" applyNumberFormat="1" applyFont="1" applyBorder="1" applyAlignment="1" applyProtection="1">
      <alignment horizontal="center" vertical="center"/>
      <protection hidden="1"/>
    </xf>
    <xf numFmtId="167" fontId="10" fillId="8" borderId="236" xfId="0" applyNumberFormat="1" applyFont="1" applyFill="1" applyBorder="1" applyAlignment="1" applyProtection="1">
      <alignment horizontal="center" vertical="center"/>
      <protection hidden="1"/>
    </xf>
    <xf numFmtId="167" fontId="10" fillId="8" borderId="228" xfId="0" applyNumberFormat="1" applyFont="1" applyFill="1" applyBorder="1" applyAlignment="1" applyProtection="1">
      <alignment horizontal="center" vertical="center"/>
      <protection hidden="1"/>
    </xf>
    <xf numFmtId="14" fontId="10" fillId="0" borderId="88" xfId="0" applyNumberFormat="1" applyFont="1" applyBorder="1" applyAlignment="1" applyProtection="1">
      <alignment horizontal="left"/>
      <protection hidden="1"/>
    </xf>
    <xf numFmtId="0" fontId="6" fillId="0" borderId="0" xfId="0" applyFont="1" applyAlignment="1">
      <alignment horizontal="left"/>
    </xf>
    <xf numFmtId="0" fontId="6" fillId="0" borderId="0" xfId="0" applyFont="1" applyAlignment="1" applyProtection="1">
      <alignment horizontal="left"/>
      <protection hidden="1"/>
    </xf>
    <xf numFmtId="0" fontId="6" fillId="0" borderId="0" xfId="0" applyFont="1" applyAlignment="1" applyProtection="1">
      <alignment horizontal="right" shrinkToFit="1"/>
      <protection hidden="1"/>
    </xf>
    <xf numFmtId="3" fontId="6" fillId="0" borderId="0" xfId="0" applyNumberFormat="1" applyFont="1" applyAlignment="1" applyProtection="1">
      <alignment horizontal="right"/>
      <protection hidden="1"/>
    </xf>
    <xf numFmtId="167" fontId="6" fillId="0" borderId="0" xfId="0" applyNumberFormat="1" applyFont="1" applyAlignment="1" applyProtection="1">
      <alignment horizontal="right"/>
      <protection hidden="1"/>
    </xf>
    <xf numFmtId="167" fontId="6" fillId="0" borderId="0" xfId="0" applyNumberFormat="1" applyFont="1" applyAlignment="1" applyProtection="1">
      <alignment horizontal="right" vertical="center"/>
      <protection hidden="1"/>
    </xf>
    <xf numFmtId="6" fontId="67" fillId="13" borderId="120" xfId="0" applyNumberFormat="1" applyFont="1" applyFill="1" applyBorder="1" applyAlignment="1" applyProtection="1">
      <alignment horizontal="center" vertical="center"/>
      <protection hidden="1"/>
    </xf>
    <xf numFmtId="6" fontId="67" fillId="13" borderId="119" xfId="0" applyNumberFormat="1" applyFont="1" applyFill="1" applyBorder="1" applyAlignment="1" applyProtection="1">
      <alignment horizontal="center" vertical="center"/>
      <protection hidden="1"/>
    </xf>
    <xf numFmtId="167" fontId="48" fillId="0" borderId="104" xfId="0" applyNumberFormat="1" applyFont="1" applyBorder="1" applyAlignment="1" applyProtection="1">
      <alignment horizontal="center" vertical="center"/>
      <protection hidden="1"/>
    </xf>
    <xf numFmtId="167" fontId="48" fillId="0" borderId="125" xfId="0" applyNumberFormat="1" applyFont="1" applyBorder="1" applyAlignment="1" applyProtection="1">
      <alignment horizontal="center" vertical="center"/>
      <protection hidden="1"/>
    </xf>
    <xf numFmtId="0" fontId="10" fillId="3" borderId="16" xfId="0" applyFont="1" applyFill="1" applyBorder="1" applyAlignment="1">
      <alignment horizontal="left" vertical="center" wrapText="1" indent="1"/>
    </xf>
    <xf numFmtId="0" fontId="10" fillId="3" borderId="52" xfId="0" applyFont="1" applyFill="1" applyBorder="1" applyAlignment="1" applyProtection="1">
      <alignment horizontal="left" vertical="center" indent="1"/>
      <protection hidden="1"/>
    </xf>
    <xf numFmtId="0" fontId="10" fillId="0" borderId="5" xfId="0" applyFont="1" applyBorder="1" applyAlignment="1">
      <alignment horizontal="left" vertical="center" indent="1"/>
    </xf>
    <xf numFmtId="0" fontId="10" fillId="3" borderId="16" xfId="0" applyFont="1" applyFill="1" applyBorder="1" applyAlignment="1">
      <alignment horizontal="left" vertical="center" indent="1"/>
    </xf>
    <xf numFmtId="0" fontId="10" fillId="7" borderId="21" xfId="0" applyFont="1" applyFill="1" applyBorder="1" applyAlignment="1" applyProtection="1">
      <alignment vertical="center"/>
      <protection locked="0"/>
    </xf>
    <xf numFmtId="0" fontId="10" fillId="0" borderId="21" xfId="0" applyFont="1" applyBorder="1" applyAlignment="1">
      <alignment vertical="center"/>
    </xf>
    <xf numFmtId="16" fontId="10" fillId="0" borderId="21" xfId="0" applyNumberFormat="1" applyFont="1" applyBorder="1" applyAlignment="1">
      <alignment horizontal="left" vertical="center"/>
    </xf>
    <xf numFmtId="0" fontId="8" fillId="0" borderId="0" xfId="0" applyFont="1" applyBorder="1" applyAlignment="1">
      <alignment horizontal="left"/>
    </xf>
    <xf numFmtId="0" fontId="8" fillId="0" borderId="0" xfId="0" applyFont="1" applyBorder="1" applyAlignment="1">
      <alignment horizontal="left" vertical="center"/>
    </xf>
    <xf numFmtId="0" fontId="8" fillId="0" borderId="8" xfId="0" applyFont="1" applyBorder="1" applyAlignment="1">
      <alignment horizontal="left"/>
    </xf>
    <xf numFmtId="0" fontId="4" fillId="0" borderId="17" xfId="0" applyFont="1" applyBorder="1" applyAlignment="1" applyProtection="1">
      <alignment horizontal="left" vertical="center"/>
      <protection hidden="1"/>
    </xf>
    <xf numFmtId="0" fontId="8" fillId="0" borderId="26" xfId="0" applyFont="1" applyBorder="1" applyAlignment="1">
      <alignment horizontal="left" vertical="center" indent="1"/>
    </xf>
    <xf numFmtId="0" fontId="8" fillId="0" borderId="0" xfId="0" applyFont="1" applyBorder="1" applyAlignment="1">
      <alignment horizontal="left" vertical="center" indent="1"/>
    </xf>
    <xf numFmtId="0" fontId="0" fillId="0" borderId="24" xfId="0" applyBorder="1" applyAlignment="1">
      <alignment horizontal="left" vertical="center" indent="1"/>
    </xf>
    <xf numFmtId="0" fontId="0" fillId="0" borderId="17" xfId="0" applyBorder="1" applyAlignment="1">
      <alignment horizontal="left" vertical="center" indent="1"/>
    </xf>
    <xf numFmtId="0" fontId="8" fillId="0" borderId="19" xfId="0" applyFont="1" applyBorder="1" applyAlignment="1">
      <alignment horizontal="left" vertical="center" indent="1"/>
    </xf>
    <xf numFmtId="0" fontId="8" fillId="0" borderId="8" xfId="0" applyFont="1" applyBorder="1" applyAlignment="1">
      <alignment horizontal="left" vertical="center" indent="1"/>
    </xf>
    <xf numFmtId="1" fontId="4" fillId="0" borderId="24" xfId="0" applyNumberFormat="1" applyFont="1" applyBorder="1" applyAlignment="1">
      <alignment horizontal="left" vertical="center" indent="1"/>
    </xf>
    <xf numFmtId="1" fontId="4" fillId="0" borderId="17" xfId="0" applyNumberFormat="1" applyFont="1" applyBorder="1" applyAlignment="1">
      <alignment horizontal="left" vertical="center" indent="1"/>
    </xf>
    <xf numFmtId="0" fontId="0" fillId="0" borderId="24" xfId="0" applyBorder="1" applyAlignment="1" applyProtection="1">
      <alignment horizontal="left" vertical="center" indent="1"/>
      <protection hidden="1"/>
    </xf>
    <xf numFmtId="0" fontId="0" fillId="0" borderId="17" xfId="0" applyBorder="1" applyAlignment="1" applyProtection="1">
      <alignment horizontal="left" vertical="center" indent="1"/>
      <protection hidden="1"/>
    </xf>
    <xf numFmtId="1" fontId="4" fillId="0" borderId="24" xfId="0" applyNumberFormat="1" applyFont="1" applyBorder="1" applyAlignment="1" applyProtection="1">
      <alignment horizontal="left" vertical="center" indent="1"/>
      <protection hidden="1"/>
    </xf>
    <xf numFmtId="1" fontId="4" fillId="0" borderId="17" xfId="0" applyNumberFormat="1" applyFont="1" applyBorder="1" applyAlignment="1" applyProtection="1">
      <alignment horizontal="left" vertical="center" indent="1"/>
      <protection hidden="1"/>
    </xf>
    <xf numFmtId="0" fontId="8" fillId="0" borderId="0" xfId="0" applyFont="1" applyBorder="1" applyAlignment="1">
      <alignment vertical="center"/>
    </xf>
    <xf numFmtId="0" fontId="8" fillId="0" borderId="26" xfId="0" applyFont="1" applyBorder="1"/>
    <xf numFmtId="0" fontId="0" fillId="0" borderId="0" xfId="0" applyBorder="1" applyAlignment="1">
      <alignment vertical="center"/>
    </xf>
    <xf numFmtId="0" fontId="11" fillId="0" borderId="27" xfId="0" applyFont="1" applyBorder="1" applyAlignment="1" applyProtection="1">
      <alignment vertical="center"/>
    </xf>
    <xf numFmtId="0" fontId="11" fillId="0" borderId="0" xfId="0" applyFont="1" applyAlignment="1" applyProtection="1">
      <alignment vertical="center"/>
    </xf>
    <xf numFmtId="0" fontId="11" fillId="0" borderId="28" xfId="0" applyFont="1" applyBorder="1" applyAlignment="1" applyProtection="1">
      <alignment vertical="center"/>
    </xf>
    <xf numFmtId="0" fontId="11" fillId="0" borderId="14" xfId="0" applyFont="1" applyBorder="1" applyAlignment="1" applyProtection="1">
      <alignment vertical="center"/>
    </xf>
    <xf numFmtId="0" fontId="11" fillId="0" borderId="34" xfId="0" applyFont="1" applyBorder="1" applyAlignment="1" applyProtection="1">
      <alignment vertical="center"/>
    </xf>
    <xf numFmtId="0" fontId="11" fillId="0" borderId="68" xfId="0" applyFont="1" applyBorder="1" applyAlignment="1" applyProtection="1">
      <alignment vertical="center"/>
    </xf>
  </cellXfs>
  <cellStyles count="4">
    <cellStyle name="Hyperlinkki" xfId="3" builtinId="8"/>
    <cellStyle name="Normaali" xfId="0" builtinId="0"/>
    <cellStyle name="Normaali 13" xfId="1" xr:uid="{00000000-0005-0000-0000-000001000000}"/>
    <cellStyle name="Prosenttia" xfId="2" builtinId="5"/>
  </cellStyles>
  <dxfs count="33">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s>
  <tableStyles count="0" defaultTableStyle="TableStyleMedium9" defaultPivotStyle="PivotStyleLight16"/>
  <colors>
    <mruColors>
      <color rgb="FF0152A1"/>
      <color rgb="FF000066"/>
      <color rgb="FFFFFFCC"/>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848299861393731E-2"/>
          <c:y val="0.14765094021209452"/>
          <c:w val="0.91052680212726222"/>
          <c:h val="0.83372633131447971"/>
        </c:manualLayout>
      </c:layout>
      <c:barChart>
        <c:barDir val="col"/>
        <c:grouping val="clustered"/>
        <c:varyColors val="0"/>
        <c:ser>
          <c:idx val="0"/>
          <c:order val="0"/>
          <c:tx>
            <c:strRef>
              <c:f>'8. T5 KASSABUDGET'!$C$56</c:f>
              <c:strCache>
                <c:ptCount val="1"/>
                <c:pt idx="0">
                  <c:v> INTÄKTER - UTGIFTER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 T5 KASSABUDGET'!$G$10:$R$10</c:f>
              <c:strCache>
                <c:ptCount val="12"/>
                <c:pt idx="0">
                  <c:v>jan</c:v>
                </c:pt>
                <c:pt idx="1">
                  <c:v>feb</c:v>
                </c:pt>
                <c:pt idx="2">
                  <c:v>mars</c:v>
                </c:pt>
                <c:pt idx="3">
                  <c:v>april</c:v>
                </c:pt>
                <c:pt idx="4">
                  <c:v>maj</c:v>
                </c:pt>
                <c:pt idx="5">
                  <c:v>juni</c:v>
                </c:pt>
                <c:pt idx="6">
                  <c:v>juli</c:v>
                </c:pt>
                <c:pt idx="7">
                  <c:v>aug</c:v>
                </c:pt>
                <c:pt idx="8">
                  <c:v>sep</c:v>
                </c:pt>
                <c:pt idx="9">
                  <c:v>okt</c:v>
                </c:pt>
                <c:pt idx="10">
                  <c:v>nov</c:v>
                </c:pt>
                <c:pt idx="11">
                  <c:v>dec</c:v>
                </c:pt>
              </c:strCache>
            </c:strRef>
          </c:cat>
          <c:val>
            <c:numRef>
              <c:f>'8. T5 KASSABUDGET'!$G$56:$R$56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546-4835-825D-A8A2EDD48ECE}"/>
            </c:ext>
          </c:extLst>
        </c:ser>
        <c:ser>
          <c:idx val="1"/>
          <c:order val="1"/>
          <c:tx>
            <c:strRef>
              <c:f>'8. T5 KASSABUDGET'!$C$57</c:f>
              <c:strCache>
                <c:ptCount val="1"/>
                <c:pt idx="0">
                  <c:v> KUMALATIVT KASSA I SLUTET AV MÅNADEN</c:v>
                </c:pt>
              </c:strCache>
            </c:strRef>
          </c:tx>
          <c:spPr>
            <a:pattFill prst="ltUpDiag">
              <a:fgClr>
                <a:srgbClr val="C00000"/>
              </a:fgClr>
              <a:bgClr>
                <a:schemeClr val="bg1"/>
              </a:bgClr>
            </a:pattFill>
            <a:effectLst>
              <a:outerShdw blurRad="50800" dist="38100" dir="2700000" algn="tl" rotWithShape="0">
                <a:prstClr val="black">
                  <a:alpha val="40000"/>
                </a:prstClr>
              </a:outerShdw>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 T5 KASSABUDGET'!$G$10:$R$10</c:f>
              <c:strCache>
                <c:ptCount val="12"/>
                <c:pt idx="0">
                  <c:v>jan</c:v>
                </c:pt>
                <c:pt idx="1">
                  <c:v>feb</c:v>
                </c:pt>
                <c:pt idx="2">
                  <c:v>mars</c:v>
                </c:pt>
                <c:pt idx="3">
                  <c:v>april</c:v>
                </c:pt>
                <c:pt idx="4">
                  <c:v>maj</c:v>
                </c:pt>
                <c:pt idx="5">
                  <c:v>juni</c:v>
                </c:pt>
                <c:pt idx="6">
                  <c:v>juli</c:v>
                </c:pt>
                <c:pt idx="7">
                  <c:v>aug</c:v>
                </c:pt>
                <c:pt idx="8">
                  <c:v>sep</c:v>
                </c:pt>
                <c:pt idx="9">
                  <c:v>okt</c:v>
                </c:pt>
                <c:pt idx="10">
                  <c:v>nov</c:v>
                </c:pt>
                <c:pt idx="11">
                  <c:v>dec</c:v>
                </c:pt>
              </c:strCache>
            </c:strRef>
          </c:cat>
          <c:val>
            <c:numRef>
              <c:f>'8. T5 KASSABUDGET'!$G$57:$R$57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546-4835-825D-A8A2EDD48ECE}"/>
            </c:ext>
          </c:extLst>
        </c:ser>
        <c:dLbls>
          <c:showLegendKey val="0"/>
          <c:showVal val="0"/>
          <c:showCatName val="0"/>
          <c:showSerName val="0"/>
          <c:showPercent val="0"/>
          <c:showBubbleSize val="0"/>
        </c:dLbls>
        <c:gapWidth val="100"/>
        <c:axId val="-1386195232"/>
        <c:axId val="-1386188704"/>
      </c:barChart>
      <c:catAx>
        <c:axId val="-1386195232"/>
        <c:scaling>
          <c:orientation val="minMax"/>
        </c:scaling>
        <c:delete val="0"/>
        <c:axPos val="b"/>
        <c:numFmt formatCode="mmm\-yy"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88704"/>
        <c:crosses val="autoZero"/>
        <c:auto val="1"/>
        <c:lblAlgn val="ctr"/>
        <c:lblOffset val="100"/>
        <c:noMultiLvlLbl val="1"/>
      </c:catAx>
      <c:valAx>
        <c:axId val="-1386188704"/>
        <c:scaling>
          <c:orientation val="minMax"/>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95232"/>
        <c:crosses val="autoZero"/>
        <c:crossBetween val="between"/>
      </c:valAx>
    </c:plotArea>
    <c:legend>
      <c:legendPos val="r"/>
      <c:legendEntry>
        <c:idx val="0"/>
        <c:txPr>
          <a:bodyPr/>
          <a:lstStyle/>
          <a:p>
            <a:pPr>
              <a:defRPr sz="1000" b="0" i="0" u="none" strike="noStrike" baseline="0">
                <a:solidFill>
                  <a:srgbClr val="000000"/>
                </a:solidFill>
                <a:latin typeface="Arial"/>
                <a:ea typeface="Arial"/>
                <a:cs typeface="Arial"/>
              </a:defRPr>
            </a:pPr>
            <a:endParaRPr lang="fi-FI"/>
          </a:p>
        </c:txPr>
      </c:legendEntry>
      <c:legendEntry>
        <c:idx val="1"/>
        <c:txPr>
          <a:bodyPr/>
          <a:lstStyle/>
          <a:p>
            <a:pPr>
              <a:defRPr sz="1000" b="0" i="0" u="none" strike="noStrike" baseline="0">
                <a:solidFill>
                  <a:srgbClr val="000000"/>
                </a:solidFill>
                <a:latin typeface="Arial"/>
                <a:ea typeface="Arial"/>
                <a:cs typeface="Arial"/>
              </a:defRPr>
            </a:pPr>
            <a:endParaRPr lang="fi-FI"/>
          </a:p>
        </c:txPr>
      </c:legendEntry>
      <c:layout>
        <c:manualLayout>
          <c:xMode val="edge"/>
          <c:yMode val="edge"/>
          <c:x val="0.15539598312873548"/>
          <c:y val="1.101357417639519E-2"/>
          <c:w val="0.70509605950249377"/>
          <c:h val="9.9122167587556709E-2"/>
        </c:manualLayout>
      </c:layout>
      <c:overlay val="0"/>
      <c:txPr>
        <a:bodyPr/>
        <a:lstStyle/>
        <a:p>
          <a:pPr>
            <a:defRPr sz="290" b="0" i="0" u="none" strike="noStrike" baseline="0">
              <a:solidFill>
                <a:srgbClr val="000000"/>
              </a:solidFill>
              <a:latin typeface="Calibri"/>
              <a:ea typeface="Calibri"/>
              <a:cs typeface="Calibri"/>
            </a:defRPr>
          </a:pPr>
          <a:endParaRPr lang="fi-FI"/>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a:solidFill>
                  <a:schemeClr val="tx1"/>
                </a:solidFill>
              </a:rPr>
              <a:t>Affärsverksamhetens lönsamhet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3.1804267419632375E-2"/>
          <c:y val="0.17087737885975263"/>
          <c:w val="0.946177370030581"/>
          <c:h val="0.6667700711007799"/>
        </c:manualLayout>
      </c:layout>
      <c:barChart>
        <c:barDir val="col"/>
        <c:grouping val="clustered"/>
        <c:varyColors val="0"/>
        <c:ser>
          <c:idx val="0"/>
          <c:order val="0"/>
          <c:tx>
            <c:strRef>
              <c:f>Kaaviot!$B$27</c:f>
              <c:strCache>
                <c:ptCount val="1"/>
                <c:pt idx="0">
                  <c:v>Driftbidrags-%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2025</c:v>
                </c:pt>
                <c:pt idx="1">
                  <c:v>2026</c:v>
                </c:pt>
                <c:pt idx="2">
                  <c:v>2027</c:v>
                </c:pt>
                <c:pt idx="3">
                  <c:v>2028</c:v>
                </c:pt>
              </c:numCache>
            </c:numRef>
          </c:cat>
          <c:val>
            <c:numRef>
              <c:f>Kaaviot!$C$27:$F$27</c:f>
              <c:numCache>
                <c:formatCode>0.0\ %</c:formatCode>
                <c:ptCount val="4"/>
                <c:pt idx="0">
                  <c:v>0</c:v>
                </c:pt>
                <c:pt idx="1">
                  <c:v>0</c:v>
                </c:pt>
                <c:pt idx="2">
                  <c:v>0</c:v>
                </c:pt>
                <c:pt idx="3">
                  <c:v>0</c:v>
                </c:pt>
              </c:numCache>
            </c:numRef>
          </c:val>
          <c:extLst>
            <c:ext xmlns:c16="http://schemas.microsoft.com/office/drawing/2014/chart" uri="{C3380CC4-5D6E-409C-BE32-E72D297353CC}">
              <c16:uniqueId val="{00000000-49F2-4369-91DA-E962B9CF0AC3}"/>
            </c:ext>
          </c:extLst>
        </c:ser>
        <c:ser>
          <c:idx val="1"/>
          <c:order val="1"/>
          <c:tx>
            <c:strRef>
              <c:f>Kaaviot!$B$28</c:f>
              <c:strCache>
                <c:ptCount val="1"/>
                <c:pt idx="0">
                  <c:v> Periodens vinst-%</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2025</c:v>
                </c:pt>
                <c:pt idx="1">
                  <c:v>2026</c:v>
                </c:pt>
                <c:pt idx="2">
                  <c:v>2027</c:v>
                </c:pt>
                <c:pt idx="3">
                  <c:v>2028</c:v>
                </c:pt>
              </c:numCache>
            </c:numRef>
          </c:cat>
          <c:val>
            <c:numRef>
              <c:f>Kaaviot!$C$28:$F$28</c:f>
              <c:numCache>
                <c:formatCode>0.0\ %</c:formatCode>
                <c:ptCount val="4"/>
                <c:pt idx="0">
                  <c:v>0</c:v>
                </c:pt>
                <c:pt idx="1">
                  <c:v>0</c:v>
                </c:pt>
                <c:pt idx="2">
                  <c:v>0</c:v>
                </c:pt>
                <c:pt idx="3">
                  <c:v>0</c:v>
                </c:pt>
              </c:numCache>
            </c:numRef>
          </c:val>
          <c:extLst>
            <c:ext xmlns:c16="http://schemas.microsoft.com/office/drawing/2014/chart" uri="{C3380CC4-5D6E-409C-BE32-E72D297353CC}">
              <c16:uniqueId val="{00000001-49F2-4369-91DA-E962B9CF0AC3}"/>
            </c:ext>
          </c:extLst>
        </c:ser>
        <c:ser>
          <c:idx val="2"/>
          <c:order val="2"/>
          <c:tx>
            <c:strRef>
              <c:f>Kaaviot!$B$29</c:f>
              <c:strCache>
                <c:ptCount val="1"/>
                <c:pt idx="0">
                  <c:v> Avkastning på investerat kapital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2025</c:v>
                </c:pt>
                <c:pt idx="1">
                  <c:v>2026</c:v>
                </c:pt>
                <c:pt idx="2">
                  <c:v>2027</c:v>
                </c:pt>
                <c:pt idx="3">
                  <c:v>2028</c:v>
                </c:pt>
              </c:numCache>
            </c:numRef>
          </c:cat>
          <c:val>
            <c:numRef>
              <c:f>Kaaviot!$C$29:$F$29</c:f>
              <c:numCache>
                <c:formatCode>0.0\ %</c:formatCode>
                <c:ptCount val="4"/>
                <c:pt idx="0">
                  <c:v>0</c:v>
                </c:pt>
                <c:pt idx="1">
                  <c:v>0</c:v>
                </c:pt>
                <c:pt idx="2">
                  <c:v>0</c:v>
                </c:pt>
                <c:pt idx="3">
                  <c:v>0</c:v>
                </c:pt>
              </c:numCache>
            </c:numRef>
          </c:val>
          <c:extLst>
            <c:ext xmlns:c16="http://schemas.microsoft.com/office/drawing/2014/chart" uri="{C3380CC4-5D6E-409C-BE32-E72D297353CC}">
              <c16:uniqueId val="{00000002-49F2-4369-91DA-E962B9CF0AC3}"/>
            </c:ext>
          </c:extLst>
        </c:ser>
        <c:ser>
          <c:idx val="3"/>
          <c:order val="3"/>
          <c:tx>
            <c:v>Rörelseresultats-% EBIT </c:v>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Kaaviot!$C$30:$F$30</c:f>
              <c:numCache>
                <c:formatCode>0.0\ %</c:formatCode>
                <c:ptCount val="4"/>
                <c:pt idx="0">
                  <c:v>0</c:v>
                </c:pt>
                <c:pt idx="1">
                  <c:v>0</c:v>
                </c:pt>
                <c:pt idx="2">
                  <c:v>0</c:v>
                </c:pt>
                <c:pt idx="3">
                  <c:v>0</c:v>
                </c:pt>
              </c:numCache>
            </c:numRef>
          </c:val>
          <c:extLst>
            <c:ext xmlns:c16="http://schemas.microsoft.com/office/drawing/2014/chart" uri="{C3380CC4-5D6E-409C-BE32-E72D297353CC}">
              <c16:uniqueId val="{00000001-5C1A-422C-8D24-056842775452}"/>
            </c:ext>
          </c:extLst>
        </c:ser>
        <c:dLbls>
          <c:dLblPos val="ctr"/>
          <c:showLegendKey val="0"/>
          <c:showVal val="1"/>
          <c:showCatName val="0"/>
          <c:showSerName val="0"/>
          <c:showPercent val="0"/>
          <c:showBubbleSize val="0"/>
        </c:dLbls>
        <c:gapWidth val="100"/>
        <c:overlap val="-24"/>
        <c:axId val="1575814559"/>
        <c:axId val="1996122223"/>
      </c:barChart>
      <c:catAx>
        <c:axId val="1575814559"/>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i-FI"/>
          </a:p>
        </c:txPr>
        <c:crossAx val="1996122223"/>
        <c:crosses val="autoZero"/>
        <c:auto val="1"/>
        <c:lblAlgn val="ctr"/>
        <c:lblOffset val="100"/>
        <c:noMultiLvlLbl val="0"/>
      </c:catAx>
      <c:valAx>
        <c:axId val="1996122223"/>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58145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a:solidFill>
                  <a:schemeClr val="tx1"/>
                </a:solidFill>
              </a:rPr>
              <a:t>Nettoförmögenhet 1000 € </a:t>
            </a:r>
          </a:p>
        </c:rich>
      </c:tx>
      <c:layout>
        <c:manualLayout>
          <c:xMode val="edge"/>
          <c:yMode val="edge"/>
          <c:x val="0.34550311306375209"/>
          <c:y val="2.687505858642669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7.4734789507243798E-2"/>
          <c:y val="0.15007593014426726"/>
          <c:w val="0.90454957960763382"/>
          <c:h val="0.72121576186072245"/>
        </c:manualLayout>
      </c:layout>
      <c:barChart>
        <c:barDir val="col"/>
        <c:grouping val="clustered"/>
        <c:varyColors val="0"/>
        <c:ser>
          <c:idx val="0"/>
          <c:order val="0"/>
          <c:tx>
            <c:strRef>
              <c:f>Kaaviot!$B$50</c:f>
              <c:strCache>
                <c:ptCount val="1"/>
                <c:pt idx="0">
                  <c:v> Bolagstillgångar</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2025</c:v>
                </c:pt>
                <c:pt idx="1">
                  <c:v>2026</c:v>
                </c:pt>
                <c:pt idx="2">
                  <c:v>2027</c:v>
                </c:pt>
                <c:pt idx="3">
                  <c:v>2028</c:v>
                </c:pt>
              </c:numCache>
            </c:numRef>
          </c:cat>
          <c:val>
            <c:numRef>
              <c:f>Kaaviot!$C$50:$F$50</c:f>
              <c:numCache>
                <c:formatCode>#\ ##0.0</c:formatCode>
                <c:ptCount val="4"/>
                <c:pt idx="0">
                  <c:v>0</c:v>
                </c:pt>
                <c:pt idx="1">
                  <c:v>0</c:v>
                </c:pt>
                <c:pt idx="2">
                  <c:v>0</c:v>
                </c:pt>
                <c:pt idx="3">
                  <c:v>0</c:v>
                </c:pt>
              </c:numCache>
            </c:numRef>
          </c:val>
          <c:extLst>
            <c:ext xmlns:c16="http://schemas.microsoft.com/office/drawing/2014/chart" uri="{C3380CC4-5D6E-409C-BE32-E72D297353CC}">
              <c16:uniqueId val="{00000000-6CFD-4B93-B063-567837B737A9}"/>
            </c:ext>
          </c:extLst>
        </c:ser>
        <c:ser>
          <c:idx val="1"/>
          <c:order val="1"/>
          <c:tx>
            <c:strRef>
              <c:f>Kaaviot!$B$51</c:f>
              <c:strCache>
                <c:ptCount val="1"/>
                <c:pt idx="0">
                  <c:v> Skulder</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2025</c:v>
                </c:pt>
                <c:pt idx="1">
                  <c:v>2026</c:v>
                </c:pt>
                <c:pt idx="2">
                  <c:v>2027</c:v>
                </c:pt>
                <c:pt idx="3">
                  <c:v>2028</c:v>
                </c:pt>
              </c:numCache>
            </c:numRef>
          </c:cat>
          <c:val>
            <c:numRef>
              <c:f>Kaaviot!$C$51:$F$51</c:f>
              <c:numCache>
                <c:formatCode>#\ ##0.0</c:formatCode>
                <c:ptCount val="4"/>
                <c:pt idx="0">
                  <c:v>0</c:v>
                </c:pt>
                <c:pt idx="1">
                  <c:v>0</c:v>
                </c:pt>
                <c:pt idx="2">
                  <c:v>0</c:v>
                </c:pt>
                <c:pt idx="3">
                  <c:v>0</c:v>
                </c:pt>
              </c:numCache>
            </c:numRef>
          </c:val>
          <c:extLst>
            <c:ext xmlns:c16="http://schemas.microsoft.com/office/drawing/2014/chart" uri="{C3380CC4-5D6E-409C-BE32-E72D297353CC}">
              <c16:uniqueId val="{00000001-6CFD-4B93-B063-567837B737A9}"/>
            </c:ext>
          </c:extLst>
        </c:ser>
        <c:ser>
          <c:idx val="2"/>
          <c:order val="2"/>
          <c:tx>
            <c:strRef>
              <c:f>Kaaviot!$B$52</c:f>
              <c:strCache>
                <c:ptCount val="1"/>
                <c:pt idx="0">
                  <c:v> Nettoförmögenhet</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2025</c:v>
                </c:pt>
                <c:pt idx="1">
                  <c:v>2026</c:v>
                </c:pt>
                <c:pt idx="2">
                  <c:v>2027</c:v>
                </c:pt>
                <c:pt idx="3">
                  <c:v>2028</c:v>
                </c:pt>
              </c:numCache>
            </c:numRef>
          </c:cat>
          <c:val>
            <c:numRef>
              <c:f>Kaaviot!$C$52:$F$52</c:f>
              <c:numCache>
                <c:formatCode>#\ ##0.0</c:formatCode>
                <c:ptCount val="4"/>
                <c:pt idx="0">
                  <c:v>0</c:v>
                </c:pt>
                <c:pt idx="1">
                  <c:v>0</c:v>
                </c:pt>
                <c:pt idx="2">
                  <c:v>0</c:v>
                </c:pt>
                <c:pt idx="3">
                  <c:v>0</c:v>
                </c:pt>
              </c:numCache>
            </c:numRef>
          </c:val>
          <c:extLst>
            <c:ext xmlns:c16="http://schemas.microsoft.com/office/drawing/2014/chart" uri="{C3380CC4-5D6E-409C-BE32-E72D297353CC}">
              <c16:uniqueId val="{00000002-6CFD-4B93-B063-567837B737A9}"/>
            </c:ext>
          </c:extLst>
        </c:ser>
        <c:dLbls>
          <c:dLblPos val="inEnd"/>
          <c:showLegendKey val="0"/>
          <c:showVal val="1"/>
          <c:showCatName val="0"/>
          <c:showSerName val="0"/>
          <c:showPercent val="0"/>
          <c:showBubbleSize val="0"/>
        </c:dLbls>
        <c:gapWidth val="100"/>
        <c:overlap val="-24"/>
        <c:axId val="1576264383"/>
        <c:axId val="1689908399"/>
      </c:barChart>
      <c:catAx>
        <c:axId val="15762643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i-FI"/>
          </a:p>
        </c:txPr>
        <c:crossAx val="1689908399"/>
        <c:crosses val="autoZero"/>
        <c:auto val="1"/>
        <c:lblAlgn val="ctr"/>
        <c:lblOffset val="100"/>
        <c:noMultiLvlLbl val="0"/>
      </c:catAx>
      <c:valAx>
        <c:axId val="1689908399"/>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6264383"/>
        <c:crosses val="autoZero"/>
        <c:crossBetween val="between"/>
      </c:valAx>
      <c:spPr>
        <a:noFill/>
        <a:ln>
          <a:noFill/>
        </a:ln>
        <a:effectLst/>
      </c:spPr>
    </c:plotArea>
    <c:legend>
      <c:legendPos val="b"/>
      <c:layout>
        <c:manualLayout>
          <c:xMode val="edge"/>
          <c:yMode val="edge"/>
          <c:x val="0.27770408099933386"/>
          <c:y val="0.92651696529152294"/>
          <c:w val="0.44459183800133234"/>
          <c:h val="6.616506910291537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668970939104679E-2"/>
          <c:y val="0.13541666666666666"/>
          <c:w val="0.90982564940627753"/>
          <c:h val="0.69624643693731836"/>
        </c:manualLayout>
      </c:layout>
      <c:barChart>
        <c:barDir val="col"/>
        <c:grouping val="clustered"/>
        <c:varyColors val="0"/>
        <c:ser>
          <c:idx val="0"/>
          <c:order val="0"/>
          <c:tx>
            <c:strRef>
              <c:f>Kaaviot!$B$3</c:f>
              <c:strCache>
                <c:ptCount val="1"/>
                <c:pt idx="0">
                  <c:v>Omsättning</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2025</c:v>
                </c:pt>
                <c:pt idx="1">
                  <c:v>2026</c:v>
                </c:pt>
                <c:pt idx="2">
                  <c:v>2027</c:v>
                </c:pt>
                <c:pt idx="3">
                  <c:v>2028</c:v>
                </c:pt>
              </c:numCache>
            </c:numRef>
          </c:cat>
          <c:val>
            <c:numRef>
              <c:f>Kaaviot!$C$3:$F$3</c:f>
              <c:numCache>
                <c:formatCode>#\ ##0.0</c:formatCode>
                <c:ptCount val="4"/>
                <c:pt idx="0">
                  <c:v>0</c:v>
                </c:pt>
                <c:pt idx="1">
                  <c:v>0</c:v>
                </c:pt>
                <c:pt idx="2">
                  <c:v>0</c:v>
                </c:pt>
                <c:pt idx="3">
                  <c:v>0</c:v>
                </c:pt>
              </c:numCache>
            </c:numRef>
          </c:val>
          <c:extLst>
            <c:ext xmlns:c16="http://schemas.microsoft.com/office/drawing/2014/chart" uri="{C3380CC4-5D6E-409C-BE32-E72D297353CC}">
              <c16:uniqueId val="{00000000-FC64-4552-AC50-43EA98B1EAE6}"/>
            </c:ext>
          </c:extLst>
        </c:ser>
        <c:ser>
          <c:idx val="1"/>
          <c:order val="1"/>
          <c:tx>
            <c:strRef>
              <c:f>Kaaviot!$B$4</c:f>
              <c:strCache>
                <c:ptCount val="1"/>
                <c:pt idx="0">
                  <c:v>Balansen totalt</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3"/>
              <c:layout>
                <c:manualLayout>
                  <c:x val="1.4777463161932344E-3"/>
                  <c:y val="9.25925925925921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64-4552-AC50-43EA98B1EA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2025</c:v>
                </c:pt>
                <c:pt idx="1">
                  <c:v>2026</c:v>
                </c:pt>
                <c:pt idx="2">
                  <c:v>2027</c:v>
                </c:pt>
                <c:pt idx="3">
                  <c:v>2028</c:v>
                </c:pt>
              </c:numCache>
            </c:numRef>
          </c:cat>
          <c:val>
            <c:numRef>
              <c:f>Kaaviot!$C$4:$F$4</c:f>
              <c:numCache>
                <c:formatCode>#\ ##0.0</c:formatCode>
                <c:ptCount val="4"/>
                <c:pt idx="0">
                  <c:v>0</c:v>
                </c:pt>
                <c:pt idx="1">
                  <c:v>0</c:v>
                </c:pt>
                <c:pt idx="2">
                  <c:v>0</c:v>
                </c:pt>
                <c:pt idx="3">
                  <c:v>0</c:v>
                </c:pt>
              </c:numCache>
            </c:numRef>
          </c:val>
          <c:extLst>
            <c:ext xmlns:c16="http://schemas.microsoft.com/office/drawing/2014/chart" uri="{C3380CC4-5D6E-409C-BE32-E72D297353CC}">
              <c16:uniqueId val="{00000001-FC64-4552-AC50-43EA98B1EAE6}"/>
            </c:ext>
          </c:extLst>
        </c:ser>
        <c:ser>
          <c:idx val="2"/>
          <c:order val="2"/>
          <c:tx>
            <c:strRef>
              <c:f>Kaaviot!$B$5</c:f>
              <c:strCache>
                <c:ptCount val="1"/>
                <c:pt idx="0">
                  <c:v>Investerad kapital</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2025</c:v>
                </c:pt>
                <c:pt idx="1">
                  <c:v>2026</c:v>
                </c:pt>
                <c:pt idx="2">
                  <c:v>2027</c:v>
                </c:pt>
                <c:pt idx="3">
                  <c:v>2028</c:v>
                </c:pt>
              </c:numCache>
            </c:numRef>
          </c:cat>
          <c:val>
            <c:numRef>
              <c:f>Kaaviot!$C$5:$F$5</c:f>
              <c:numCache>
                <c:formatCode>#\ ##0.0</c:formatCode>
                <c:ptCount val="4"/>
                <c:pt idx="0">
                  <c:v>0</c:v>
                </c:pt>
                <c:pt idx="1">
                  <c:v>0</c:v>
                </c:pt>
                <c:pt idx="2">
                  <c:v>0</c:v>
                </c:pt>
                <c:pt idx="3">
                  <c:v>0</c:v>
                </c:pt>
              </c:numCache>
            </c:numRef>
          </c:val>
          <c:extLst>
            <c:ext xmlns:c16="http://schemas.microsoft.com/office/drawing/2014/chart" uri="{C3380CC4-5D6E-409C-BE32-E72D297353CC}">
              <c16:uniqueId val="{00000002-FC64-4552-AC50-43EA98B1EAE6}"/>
            </c:ext>
          </c:extLst>
        </c:ser>
        <c:dLbls>
          <c:showLegendKey val="0"/>
          <c:showVal val="1"/>
          <c:showCatName val="0"/>
          <c:showSerName val="0"/>
          <c:showPercent val="0"/>
          <c:showBubbleSize val="0"/>
        </c:dLbls>
        <c:gapWidth val="100"/>
        <c:overlap val="-24"/>
        <c:axId val="2004321391"/>
        <c:axId val="2107999615"/>
      </c:barChart>
      <c:catAx>
        <c:axId val="2004321391"/>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i-FI"/>
          </a:p>
        </c:txPr>
        <c:crossAx val="2107999615"/>
        <c:crosses val="autoZero"/>
        <c:auto val="1"/>
        <c:lblAlgn val="ctr"/>
        <c:lblOffset val="100"/>
        <c:noMultiLvlLbl val="0"/>
      </c:catAx>
      <c:valAx>
        <c:axId val="2107999615"/>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20043213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kumimoji="0" lang="fi-FI" sz="1800" b="1" i="0" u="none" strike="noStrike" kern="1200" cap="none" spc="0" normalizeH="0" baseline="0" noProof="0">
                <a:ln>
                  <a:noFill/>
                </a:ln>
                <a:solidFill>
                  <a:sysClr val="windowText" lastClr="000000">
                    <a:lumMod val="75000"/>
                    <a:lumOff val="25000"/>
                  </a:sysClr>
                </a:solidFill>
                <a:effectLst/>
                <a:uLnTx/>
                <a:uFillTx/>
                <a:latin typeface="Calibri"/>
              </a:rPr>
              <a:t>Affärsverksamhetens volym</a:t>
            </a:r>
          </a:p>
          <a:p>
            <a:pPr>
              <a:defRPr/>
            </a:pPr>
            <a:r>
              <a:rPr kumimoji="0" lang="fi-FI" sz="1800" b="1" i="0" u="none" strike="noStrike" kern="1200" cap="none" spc="0" normalizeH="0" baseline="0" noProof="0">
                <a:ln>
                  <a:noFill/>
                </a:ln>
                <a:solidFill>
                  <a:sysClr val="windowText" lastClr="000000">
                    <a:lumMod val="75000"/>
                    <a:lumOff val="25000"/>
                  </a:sysClr>
                </a:solidFill>
                <a:effectLst/>
                <a:uLnTx/>
                <a:uFillTx/>
                <a:latin typeface="Calibri"/>
              </a:rPr>
              <a:t>1000 €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i-FI"/>
        </a:p>
      </c:txPr>
    </c:title>
    <c:autoTitleDeleted val="0"/>
    <c:plotArea>
      <c:layout/>
      <c:lineChart>
        <c:grouping val="percentStacked"/>
        <c:varyColors val="0"/>
        <c:ser>
          <c:idx val="0"/>
          <c:order val="0"/>
          <c:tx>
            <c:strRef>
              <c:f>Kaaviot!$B$3</c:f>
              <c:strCache>
                <c:ptCount val="1"/>
                <c:pt idx="0">
                  <c:v>Omsättning</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Kaaviot!$C$2:$F$2</c:f>
              <c:numCache>
                <c:formatCode>0</c:formatCode>
                <c:ptCount val="4"/>
                <c:pt idx="0">
                  <c:v>2025</c:v>
                </c:pt>
                <c:pt idx="1">
                  <c:v>2026</c:v>
                </c:pt>
                <c:pt idx="2">
                  <c:v>2027</c:v>
                </c:pt>
                <c:pt idx="3">
                  <c:v>2028</c:v>
                </c:pt>
              </c:numCache>
            </c:numRef>
          </c:cat>
          <c:val>
            <c:numRef>
              <c:f>Kaaviot!$C$3:$F$3</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0-9675-4807-8BEB-0DDA864429D0}"/>
            </c:ext>
          </c:extLst>
        </c:ser>
        <c:ser>
          <c:idx val="1"/>
          <c:order val="1"/>
          <c:tx>
            <c:strRef>
              <c:f>Kaaviot!$B$4</c:f>
              <c:strCache>
                <c:ptCount val="1"/>
                <c:pt idx="0">
                  <c:v>Balansen totalt</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Kaaviot!$C$2:$F$2</c:f>
              <c:numCache>
                <c:formatCode>0</c:formatCode>
                <c:ptCount val="4"/>
                <c:pt idx="0">
                  <c:v>2025</c:v>
                </c:pt>
                <c:pt idx="1">
                  <c:v>2026</c:v>
                </c:pt>
                <c:pt idx="2">
                  <c:v>2027</c:v>
                </c:pt>
                <c:pt idx="3">
                  <c:v>2028</c:v>
                </c:pt>
              </c:numCache>
            </c:numRef>
          </c:cat>
          <c:val>
            <c:numRef>
              <c:f>Kaaviot!$C$4:$F$4</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1-9675-4807-8BEB-0DDA864429D0}"/>
            </c:ext>
          </c:extLst>
        </c:ser>
        <c:ser>
          <c:idx val="2"/>
          <c:order val="2"/>
          <c:tx>
            <c:strRef>
              <c:f>Kaaviot!$B$5</c:f>
              <c:strCache>
                <c:ptCount val="1"/>
                <c:pt idx="0">
                  <c:v>Investerad kapital</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Kaaviot!$C$2:$F$2</c:f>
              <c:numCache>
                <c:formatCode>0</c:formatCode>
                <c:ptCount val="4"/>
                <c:pt idx="0">
                  <c:v>2025</c:v>
                </c:pt>
                <c:pt idx="1">
                  <c:v>2026</c:v>
                </c:pt>
                <c:pt idx="2">
                  <c:v>2027</c:v>
                </c:pt>
                <c:pt idx="3">
                  <c:v>2028</c:v>
                </c:pt>
              </c:numCache>
            </c:numRef>
          </c:cat>
          <c:val>
            <c:numRef>
              <c:f>Kaaviot!$C$5:$F$5</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2-9675-4807-8BEB-0DDA864429D0}"/>
            </c:ext>
          </c:extLst>
        </c:ser>
        <c:dLbls>
          <c:showLegendKey val="0"/>
          <c:showVal val="1"/>
          <c:showCatName val="0"/>
          <c:showSerName val="0"/>
          <c:showPercent val="0"/>
          <c:showBubbleSize val="0"/>
        </c:dLbls>
        <c:marker val="1"/>
        <c:smooth val="0"/>
        <c:axId val="2004321391"/>
        <c:axId val="2107999615"/>
      </c:lineChart>
      <c:catAx>
        <c:axId val="2004321391"/>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fi-FI"/>
          </a:p>
        </c:txPr>
        <c:crossAx val="2107999615"/>
        <c:crosses val="autoZero"/>
        <c:auto val="1"/>
        <c:lblAlgn val="ctr"/>
        <c:lblOffset val="100"/>
        <c:noMultiLvlLbl val="0"/>
      </c:catAx>
      <c:valAx>
        <c:axId val="2107999615"/>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04321391"/>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i-FI"/>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fi-FI"/>
              <a:t>Liiketoiminnan kannattavuus </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fi-FI"/>
        </a:p>
      </c:txPr>
    </c:title>
    <c:autoTitleDeleted val="0"/>
    <c:plotArea>
      <c:layout/>
      <c:lineChart>
        <c:grouping val="standard"/>
        <c:varyColors val="0"/>
        <c:ser>
          <c:idx val="0"/>
          <c:order val="0"/>
          <c:tx>
            <c:strRef>
              <c:f>Kaaviot!$B$27</c:f>
              <c:strCache>
                <c:ptCount val="1"/>
                <c:pt idx="0">
                  <c:v>Driftbidrags-%</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Kaaviot!$C$26:$F$26</c:f>
              <c:numCache>
                <c:formatCode>0</c:formatCode>
                <c:ptCount val="4"/>
                <c:pt idx="0">
                  <c:v>2025</c:v>
                </c:pt>
                <c:pt idx="1">
                  <c:v>2026</c:v>
                </c:pt>
                <c:pt idx="2">
                  <c:v>2027</c:v>
                </c:pt>
                <c:pt idx="3">
                  <c:v>2028</c:v>
                </c:pt>
              </c:numCache>
            </c:numRef>
          </c:cat>
          <c:val>
            <c:numRef>
              <c:f>Kaaviot!$C$27:$F$27</c:f>
              <c:numCache>
                <c:formatCode>0.0\ %</c:formatCode>
                <c:ptCount val="4"/>
                <c:pt idx="0">
                  <c:v>0</c:v>
                </c:pt>
                <c:pt idx="1">
                  <c:v>0</c:v>
                </c:pt>
                <c:pt idx="2">
                  <c:v>0</c:v>
                </c:pt>
                <c:pt idx="3">
                  <c:v>0</c:v>
                </c:pt>
              </c:numCache>
            </c:numRef>
          </c:val>
          <c:smooth val="0"/>
          <c:extLst>
            <c:ext xmlns:c16="http://schemas.microsoft.com/office/drawing/2014/chart" uri="{C3380CC4-5D6E-409C-BE32-E72D297353CC}">
              <c16:uniqueId val="{00000000-6E9C-40D6-821C-685436C17CF5}"/>
            </c:ext>
          </c:extLst>
        </c:ser>
        <c:ser>
          <c:idx val="1"/>
          <c:order val="1"/>
          <c:tx>
            <c:strRef>
              <c:f>Kaaviot!$B$28</c:f>
              <c:strCache>
                <c:ptCount val="1"/>
                <c:pt idx="0">
                  <c:v> Periodens vinst-%</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Kaaviot!$C$26:$F$26</c:f>
              <c:numCache>
                <c:formatCode>0</c:formatCode>
                <c:ptCount val="4"/>
                <c:pt idx="0">
                  <c:v>2025</c:v>
                </c:pt>
                <c:pt idx="1">
                  <c:v>2026</c:v>
                </c:pt>
                <c:pt idx="2">
                  <c:v>2027</c:v>
                </c:pt>
                <c:pt idx="3">
                  <c:v>2028</c:v>
                </c:pt>
              </c:numCache>
            </c:numRef>
          </c:cat>
          <c:val>
            <c:numRef>
              <c:f>Kaaviot!$C$28:$F$28</c:f>
              <c:numCache>
                <c:formatCode>0.0\ %</c:formatCode>
                <c:ptCount val="4"/>
                <c:pt idx="0">
                  <c:v>0</c:v>
                </c:pt>
                <c:pt idx="1">
                  <c:v>0</c:v>
                </c:pt>
                <c:pt idx="2">
                  <c:v>0</c:v>
                </c:pt>
                <c:pt idx="3">
                  <c:v>0</c:v>
                </c:pt>
              </c:numCache>
            </c:numRef>
          </c:val>
          <c:smooth val="0"/>
          <c:extLst>
            <c:ext xmlns:c16="http://schemas.microsoft.com/office/drawing/2014/chart" uri="{C3380CC4-5D6E-409C-BE32-E72D297353CC}">
              <c16:uniqueId val="{00000001-6E9C-40D6-821C-685436C17CF5}"/>
            </c:ext>
          </c:extLst>
        </c:ser>
        <c:ser>
          <c:idx val="2"/>
          <c:order val="2"/>
          <c:tx>
            <c:strRef>
              <c:f>Kaaviot!$B$29</c:f>
              <c:strCache>
                <c:ptCount val="1"/>
                <c:pt idx="0">
                  <c:v> Avkastning på investerat kapital (%)</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Kaaviot!$C$26:$F$26</c:f>
              <c:numCache>
                <c:formatCode>0</c:formatCode>
                <c:ptCount val="4"/>
                <c:pt idx="0">
                  <c:v>2025</c:v>
                </c:pt>
                <c:pt idx="1">
                  <c:v>2026</c:v>
                </c:pt>
                <c:pt idx="2">
                  <c:v>2027</c:v>
                </c:pt>
                <c:pt idx="3">
                  <c:v>2028</c:v>
                </c:pt>
              </c:numCache>
            </c:numRef>
          </c:cat>
          <c:val>
            <c:numRef>
              <c:f>Kaaviot!$C$29:$F$29</c:f>
              <c:numCache>
                <c:formatCode>0.0\ %</c:formatCode>
                <c:ptCount val="4"/>
                <c:pt idx="0">
                  <c:v>0</c:v>
                </c:pt>
                <c:pt idx="1">
                  <c:v>0</c:v>
                </c:pt>
                <c:pt idx="2">
                  <c:v>0</c:v>
                </c:pt>
                <c:pt idx="3">
                  <c:v>0</c:v>
                </c:pt>
              </c:numCache>
            </c:numRef>
          </c:val>
          <c:smooth val="0"/>
          <c:extLst>
            <c:ext xmlns:c16="http://schemas.microsoft.com/office/drawing/2014/chart" uri="{C3380CC4-5D6E-409C-BE32-E72D297353CC}">
              <c16:uniqueId val="{00000002-6E9C-40D6-821C-685436C17CF5}"/>
            </c:ext>
          </c:extLst>
        </c:ser>
        <c:ser>
          <c:idx val="3"/>
          <c:order val="3"/>
          <c:tx>
            <c:strRef>
              <c:f>'5. T4 FINANSIERINGSB.'!$L$21:$O$21</c:f>
              <c:strCache>
                <c:ptCount val="4"/>
                <c:pt idx="0">
                  <c:v> Rörelseresultats-%</c:v>
                </c:pt>
              </c:strCache>
            </c:strRef>
          </c:tx>
          <c:spPr>
            <a:ln w="22225" cap="rnd">
              <a:solidFill>
                <a:schemeClr val="accent4"/>
              </a:solidFill>
              <a:round/>
            </a:ln>
            <a:effectLst/>
          </c:spPr>
          <c:marker>
            <c:symbol val="x"/>
            <c:size val="6"/>
            <c:spPr>
              <a:noFill/>
              <a:ln w="9525">
                <a:solidFill>
                  <a:schemeClr val="accent4"/>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Kaaviot!$C$26:$F$26</c:f>
              <c:numCache>
                <c:formatCode>0</c:formatCode>
                <c:ptCount val="4"/>
                <c:pt idx="0">
                  <c:v>2025</c:v>
                </c:pt>
                <c:pt idx="1">
                  <c:v>2026</c:v>
                </c:pt>
                <c:pt idx="2">
                  <c:v>2027</c:v>
                </c:pt>
                <c:pt idx="3">
                  <c:v>2028</c:v>
                </c:pt>
              </c:numCache>
            </c:numRef>
          </c:cat>
          <c:val>
            <c:numRef>
              <c:f>Kaaviot!$C$30:$F$30</c:f>
              <c:numCache>
                <c:formatCode>0.0\ %</c:formatCode>
                <c:ptCount val="4"/>
                <c:pt idx="0">
                  <c:v>0</c:v>
                </c:pt>
                <c:pt idx="1">
                  <c:v>0</c:v>
                </c:pt>
                <c:pt idx="2">
                  <c:v>0</c:v>
                </c:pt>
                <c:pt idx="3">
                  <c:v>0</c:v>
                </c:pt>
              </c:numCache>
            </c:numRef>
          </c:val>
          <c:smooth val="0"/>
          <c:extLst>
            <c:ext xmlns:c16="http://schemas.microsoft.com/office/drawing/2014/chart" uri="{C3380CC4-5D6E-409C-BE32-E72D297353CC}">
              <c16:uniqueId val="{00000001-2D54-49B0-B9AF-B762AACD65A5}"/>
            </c:ext>
          </c:extLst>
        </c:ser>
        <c:dLbls>
          <c:dLblPos val="ctr"/>
          <c:showLegendKey val="0"/>
          <c:showVal val="1"/>
          <c:showCatName val="0"/>
          <c:showSerName val="0"/>
          <c:showPercent val="0"/>
          <c:showBubbleSize val="0"/>
        </c:dLbls>
        <c:marker val="1"/>
        <c:smooth val="0"/>
        <c:axId val="1575814559"/>
        <c:axId val="1996122223"/>
      </c:lineChart>
      <c:catAx>
        <c:axId val="15758145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fi-FI"/>
          </a:p>
        </c:txPr>
        <c:crossAx val="1996122223"/>
        <c:crosses val="autoZero"/>
        <c:auto val="1"/>
        <c:lblAlgn val="ctr"/>
        <c:lblOffset val="100"/>
        <c:noMultiLvlLbl val="0"/>
      </c:catAx>
      <c:valAx>
        <c:axId val="1996122223"/>
        <c:scaling>
          <c:orientation val="minMax"/>
        </c:scaling>
        <c:delete val="0"/>
        <c:axPos val="l"/>
        <c:numFmt formatCode="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581455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Kaaviot!$B$50</c:f>
              <c:strCache>
                <c:ptCount val="1"/>
                <c:pt idx="0">
                  <c:v> Bolagstillgångar</c:v>
                </c:pt>
              </c:strCache>
            </c:strRef>
          </c:tx>
          <c:spPr>
            <a:solidFill>
              <a:schemeClr val="accent1"/>
            </a:solidFill>
            <a:ln>
              <a:noFill/>
            </a:ln>
            <a:effectLst/>
          </c:spPr>
          <c:invertIfNegative val="0"/>
          <c:cat>
            <c:numRef>
              <c:f>Kaaviot!$C$49:$F$49</c:f>
              <c:numCache>
                <c:formatCode>0</c:formatCode>
                <c:ptCount val="4"/>
                <c:pt idx="0">
                  <c:v>2025</c:v>
                </c:pt>
                <c:pt idx="1">
                  <c:v>2026</c:v>
                </c:pt>
                <c:pt idx="2">
                  <c:v>2027</c:v>
                </c:pt>
                <c:pt idx="3">
                  <c:v>2028</c:v>
                </c:pt>
              </c:numCache>
            </c:numRef>
          </c:cat>
          <c:val>
            <c:numRef>
              <c:f>Kaaviot!$C$50:$F$50</c:f>
              <c:numCache>
                <c:formatCode>#\ ##0.0</c:formatCode>
                <c:ptCount val="4"/>
                <c:pt idx="0">
                  <c:v>0</c:v>
                </c:pt>
                <c:pt idx="1">
                  <c:v>0</c:v>
                </c:pt>
                <c:pt idx="2">
                  <c:v>0</c:v>
                </c:pt>
                <c:pt idx="3">
                  <c:v>0</c:v>
                </c:pt>
              </c:numCache>
            </c:numRef>
          </c:val>
          <c:extLst>
            <c:ext xmlns:c16="http://schemas.microsoft.com/office/drawing/2014/chart" uri="{C3380CC4-5D6E-409C-BE32-E72D297353CC}">
              <c16:uniqueId val="{00000000-4E60-4C93-9508-80A3514FE627}"/>
            </c:ext>
          </c:extLst>
        </c:ser>
        <c:ser>
          <c:idx val="1"/>
          <c:order val="1"/>
          <c:tx>
            <c:strRef>
              <c:f>Kaaviot!$B$51</c:f>
              <c:strCache>
                <c:ptCount val="1"/>
                <c:pt idx="0">
                  <c:v> Skulder</c:v>
                </c:pt>
              </c:strCache>
            </c:strRef>
          </c:tx>
          <c:spPr>
            <a:solidFill>
              <a:schemeClr val="accent2"/>
            </a:solidFill>
            <a:ln>
              <a:noFill/>
            </a:ln>
            <a:effectLst/>
          </c:spPr>
          <c:invertIfNegative val="0"/>
          <c:cat>
            <c:numRef>
              <c:f>Kaaviot!$C$49:$F$49</c:f>
              <c:numCache>
                <c:formatCode>0</c:formatCode>
                <c:ptCount val="4"/>
                <c:pt idx="0">
                  <c:v>2025</c:v>
                </c:pt>
                <c:pt idx="1">
                  <c:v>2026</c:v>
                </c:pt>
                <c:pt idx="2">
                  <c:v>2027</c:v>
                </c:pt>
                <c:pt idx="3">
                  <c:v>2028</c:v>
                </c:pt>
              </c:numCache>
            </c:numRef>
          </c:cat>
          <c:val>
            <c:numRef>
              <c:f>Kaaviot!$C$51:$F$51</c:f>
              <c:numCache>
                <c:formatCode>#\ ##0.0</c:formatCode>
                <c:ptCount val="4"/>
                <c:pt idx="0">
                  <c:v>0</c:v>
                </c:pt>
                <c:pt idx="1">
                  <c:v>0</c:v>
                </c:pt>
                <c:pt idx="2">
                  <c:v>0</c:v>
                </c:pt>
                <c:pt idx="3">
                  <c:v>0</c:v>
                </c:pt>
              </c:numCache>
            </c:numRef>
          </c:val>
          <c:extLst>
            <c:ext xmlns:c16="http://schemas.microsoft.com/office/drawing/2014/chart" uri="{C3380CC4-5D6E-409C-BE32-E72D297353CC}">
              <c16:uniqueId val="{00000001-4E60-4C93-9508-80A3514FE627}"/>
            </c:ext>
          </c:extLst>
        </c:ser>
        <c:ser>
          <c:idx val="2"/>
          <c:order val="2"/>
          <c:tx>
            <c:strRef>
              <c:f>Kaaviot!$B$52</c:f>
              <c:strCache>
                <c:ptCount val="1"/>
                <c:pt idx="0">
                  <c:v> Nettoförmögenhet</c:v>
                </c:pt>
              </c:strCache>
            </c:strRef>
          </c:tx>
          <c:spPr>
            <a:solidFill>
              <a:schemeClr val="accent3"/>
            </a:solidFill>
            <a:ln>
              <a:noFill/>
            </a:ln>
            <a:effectLst/>
          </c:spPr>
          <c:invertIfNegative val="0"/>
          <c:cat>
            <c:numRef>
              <c:f>Kaaviot!$C$49:$F$49</c:f>
              <c:numCache>
                <c:formatCode>0</c:formatCode>
                <c:ptCount val="4"/>
                <c:pt idx="0">
                  <c:v>2025</c:v>
                </c:pt>
                <c:pt idx="1">
                  <c:v>2026</c:v>
                </c:pt>
                <c:pt idx="2">
                  <c:v>2027</c:v>
                </c:pt>
                <c:pt idx="3">
                  <c:v>2028</c:v>
                </c:pt>
              </c:numCache>
            </c:numRef>
          </c:cat>
          <c:val>
            <c:numRef>
              <c:f>Kaaviot!$C$52:$F$52</c:f>
              <c:numCache>
                <c:formatCode>#\ ##0.0</c:formatCode>
                <c:ptCount val="4"/>
                <c:pt idx="0">
                  <c:v>0</c:v>
                </c:pt>
                <c:pt idx="1">
                  <c:v>0</c:v>
                </c:pt>
                <c:pt idx="2">
                  <c:v>0</c:v>
                </c:pt>
                <c:pt idx="3">
                  <c:v>0</c:v>
                </c:pt>
              </c:numCache>
            </c:numRef>
          </c:val>
          <c:extLst>
            <c:ext xmlns:c16="http://schemas.microsoft.com/office/drawing/2014/chart" uri="{C3380CC4-5D6E-409C-BE32-E72D297353CC}">
              <c16:uniqueId val="{00000002-4E60-4C93-9508-80A3514FE627}"/>
            </c:ext>
          </c:extLst>
        </c:ser>
        <c:dLbls>
          <c:showLegendKey val="0"/>
          <c:showVal val="0"/>
          <c:showCatName val="0"/>
          <c:showSerName val="0"/>
          <c:showPercent val="0"/>
          <c:showBubbleSize val="0"/>
        </c:dLbls>
        <c:gapWidth val="219"/>
        <c:overlap val="-27"/>
        <c:axId val="1576264383"/>
        <c:axId val="1689908399"/>
      </c:barChart>
      <c:catAx>
        <c:axId val="1576264383"/>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89908399"/>
        <c:crosses val="autoZero"/>
        <c:auto val="1"/>
        <c:lblAlgn val="ctr"/>
        <c:lblOffset val="100"/>
        <c:noMultiLvlLbl val="0"/>
      </c:catAx>
      <c:valAx>
        <c:axId val="1689908399"/>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6264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4. E2 OMS&#196;TTNING'!A1"/><Relationship Id="rId13" Type="http://schemas.openxmlformats.org/officeDocument/2006/relationships/image" Target="../media/image4.png"/><Relationship Id="rId18" Type="http://schemas.openxmlformats.org/officeDocument/2006/relationships/image" Target="../media/image9.png"/><Relationship Id="rId3" Type="http://schemas.openxmlformats.org/officeDocument/2006/relationships/hyperlink" Target="#'2. T7 L&#197;N'!A1"/><Relationship Id="rId21" Type="http://schemas.openxmlformats.org/officeDocument/2006/relationships/image" Target="../media/image12.jpeg"/><Relationship Id="rId7" Type="http://schemas.openxmlformats.org/officeDocument/2006/relationships/hyperlink" Target="#'3. E1 KOSTNADER'!A1"/><Relationship Id="rId12" Type="http://schemas.openxmlformats.org/officeDocument/2006/relationships/image" Target="../media/image3.png"/><Relationship Id="rId17" Type="http://schemas.openxmlformats.org/officeDocument/2006/relationships/image" Target="../media/image8.png"/><Relationship Id="rId2" Type="http://schemas.openxmlformats.org/officeDocument/2006/relationships/hyperlink" Target="#'1. T1 INVESTERINGSP.'!A1"/><Relationship Id="rId16" Type="http://schemas.openxmlformats.org/officeDocument/2006/relationships/image" Target="../media/image7.png"/><Relationship Id="rId20" Type="http://schemas.openxmlformats.org/officeDocument/2006/relationships/image" Target="../media/image11.svg"/><Relationship Id="rId1" Type="http://schemas.openxmlformats.org/officeDocument/2006/relationships/image" Target="../media/image1.jpg"/><Relationship Id="rId6" Type="http://schemas.openxmlformats.org/officeDocument/2006/relationships/hyperlink" Target="#'7. T2 RESULTATB.'!A1"/><Relationship Id="rId11" Type="http://schemas.openxmlformats.org/officeDocument/2006/relationships/image" Target="../media/image2.png"/><Relationship Id="rId5" Type="http://schemas.openxmlformats.org/officeDocument/2006/relationships/hyperlink" Target="#'8. T5 KASSABUDGET'!A1"/><Relationship Id="rId15" Type="http://schemas.openxmlformats.org/officeDocument/2006/relationships/image" Target="../media/image6.png"/><Relationship Id="rId23" Type="http://schemas.openxmlformats.org/officeDocument/2006/relationships/image" Target="../media/image14.jpeg"/><Relationship Id="rId10" Type="http://schemas.openxmlformats.org/officeDocument/2006/relationships/hyperlink" Target="#UTSKRIVNING!A1"/><Relationship Id="rId19" Type="http://schemas.openxmlformats.org/officeDocument/2006/relationships/image" Target="../media/image10.png"/><Relationship Id="rId4" Type="http://schemas.openxmlformats.org/officeDocument/2006/relationships/hyperlink" Target="#'5. T4 FINANSIERINGSB.'!A1"/><Relationship Id="rId9" Type="http://schemas.openxmlformats.org/officeDocument/2006/relationships/hyperlink" Target="#'6. T3 BALANS'!A1"/><Relationship Id="rId14" Type="http://schemas.openxmlformats.org/officeDocument/2006/relationships/image" Target="../media/image5.png"/><Relationship Id="rId22"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3.png"/><Relationship Id="rId5" Type="http://schemas.openxmlformats.org/officeDocument/2006/relationships/image" Target="../media/image56.png"/><Relationship Id="rId4" Type="http://schemas.openxmlformats.org/officeDocument/2006/relationships/image" Target="../media/image55.jpe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8" Type="http://schemas.openxmlformats.org/officeDocument/2006/relationships/hyperlink" Target="#'7. T2 RESULTATB.'!A1"/><Relationship Id="rId13" Type="http://schemas.openxmlformats.org/officeDocument/2006/relationships/image" Target="../media/image21.png"/><Relationship Id="rId18" Type="http://schemas.openxmlformats.org/officeDocument/2006/relationships/image" Target="../media/image11.svg"/><Relationship Id="rId3" Type="http://schemas.openxmlformats.org/officeDocument/2006/relationships/image" Target="../media/image16.png"/><Relationship Id="rId7" Type="http://schemas.openxmlformats.org/officeDocument/2006/relationships/image" Target="../media/image18.png"/><Relationship Id="rId12" Type="http://schemas.openxmlformats.org/officeDocument/2006/relationships/hyperlink" Target="#'4. E2 OMS&#196;TTNING'!A1"/><Relationship Id="rId17" Type="http://schemas.openxmlformats.org/officeDocument/2006/relationships/image" Target="../media/image10.png"/><Relationship Id="rId2" Type="http://schemas.openxmlformats.org/officeDocument/2006/relationships/hyperlink" Target="#'2. T7 L&#197;N'!A1"/><Relationship Id="rId16" Type="http://schemas.openxmlformats.org/officeDocument/2006/relationships/hyperlink" Target="#UTSKRIVNING!A1"/><Relationship Id="rId1" Type="http://schemas.openxmlformats.org/officeDocument/2006/relationships/image" Target="../media/image15.png"/><Relationship Id="rId6" Type="http://schemas.openxmlformats.org/officeDocument/2006/relationships/hyperlink" Target="#'8. T5 KASSABUDGET'!A1"/><Relationship Id="rId11" Type="http://schemas.openxmlformats.org/officeDocument/2006/relationships/image" Target="../media/image20.png"/><Relationship Id="rId5" Type="http://schemas.openxmlformats.org/officeDocument/2006/relationships/image" Target="../media/image17.png"/><Relationship Id="rId15" Type="http://schemas.openxmlformats.org/officeDocument/2006/relationships/image" Target="../media/image22.png"/><Relationship Id="rId10" Type="http://schemas.openxmlformats.org/officeDocument/2006/relationships/hyperlink" Target="#'5. T4 FINANSIERINGSB.'!A1"/><Relationship Id="rId19" Type="http://schemas.openxmlformats.org/officeDocument/2006/relationships/image" Target="../media/image23.png"/><Relationship Id="rId4" Type="http://schemas.openxmlformats.org/officeDocument/2006/relationships/hyperlink" Target="#'3. E1 KOSTNADER'!A1"/><Relationship Id="rId9" Type="http://schemas.openxmlformats.org/officeDocument/2006/relationships/image" Target="../media/image19.png"/><Relationship Id="rId14" Type="http://schemas.openxmlformats.org/officeDocument/2006/relationships/hyperlink" Target="#'6. T3 BALANS'!A1"/></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hyperlink" Target="#'1. T1 INVESTERINGSP.'!A1"/><Relationship Id="rId18" Type="http://schemas.openxmlformats.org/officeDocument/2006/relationships/image" Target="../media/image11.svg"/><Relationship Id="rId3" Type="http://schemas.openxmlformats.org/officeDocument/2006/relationships/hyperlink" Target="#'8. T5 KASSABUDGET'!A1"/><Relationship Id="rId7" Type="http://schemas.openxmlformats.org/officeDocument/2006/relationships/hyperlink" Target="#'5. T4 FINANSIERINGSB.'!A1"/><Relationship Id="rId12" Type="http://schemas.openxmlformats.org/officeDocument/2006/relationships/image" Target="../media/image29.png"/><Relationship Id="rId17" Type="http://schemas.openxmlformats.org/officeDocument/2006/relationships/image" Target="../media/image10.png"/><Relationship Id="rId2" Type="http://schemas.openxmlformats.org/officeDocument/2006/relationships/image" Target="../media/image24.png"/><Relationship Id="rId16" Type="http://schemas.openxmlformats.org/officeDocument/2006/relationships/hyperlink" Target="#UTSKRIVNING!A1"/><Relationship Id="rId1" Type="http://schemas.openxmlformats.org/officeDocument/2006/relationships/hyperlink" Target="#'3. E1 KOSTNADER'!A1"/><Relationship Id="rId6" Type="http://schemas.openxmlformats.org/officeDocument/2006/relationships/image" Target="../media/image26.png"/><Relationship Id="rId11" Type="http://schemas.openxmlformats.org/officeDocument/2006/relationships/hyperlink" Target="#'6. T3 BALANS'!A1"/><Relationship Id="rId5" Type="http://schemas.openxmlformats.org/officeDocument/2006/relationships/hyperlink" Target="#'7. T2 RESULTATB.'!A1"/><Relationship Id="rId15" Type="http://schemas.openxmlformats.org/officeDocument/2006/relationships/image" Target="../media/image31.png"/><Relationship Id="rId10" Type="http://schemas.openxmlformats.org/officeDocument/2006/relationships/image" Target="../media/image28.png"/><Relationship Id="rId19" Type="http://schemas.openxmlformats.org/officeDocument/2006/relationships/image" Target="../media/image23.png"/><Relationship Id="rId4" Type="http://schemas.openxmlformats.org/officeDocument/2006/relationships/image" Target="../media/image25.png"/><Relationship Id="rId9" Type="http://schemas.openxmlformats.org/officeDocument/2006/relationships/hyperlink" Target="#'4. E2 OMS&#196;TTNING'!A1"/><Relationship Id="rId14" Type="http://schemas.openxmlformats.org/officeDocument/2006/relationships/image" Target="../media/image30.png"/></Relationships>
</file>

<file path=xl/drawings/_rels/drawing4.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hyperlink" Target="#'1. T1 INVESTERINGSP.'!A1"/><Relationship Id="rId18" Type="http://schemas.openxmlformats.org/officeDocument/2006/relationships/image" Target="../media/image11.svg"/><Relationship Id="rId3" Type="http://schemas.openxmlformats.org/officeDocument/2006/relationships/hyperlink" Target="#'8. T5 KASSABUDGET'!A1"/><Relationship Id="rId7" Type="http://schemas.openxmlformats.org/officeDocument/2006/relationships/hyperlink" Target="#'5. T4 FINANSIERINGSB.'!A1"/><Relationship Id="rId12" Type="http://schemas.openxmlformats.org/officeDocument/2006/relationships/image" Target="../media/image22.png"/><Relationship Id="rId17" Type="http://schemas.openxmlformats.org/officeDocument/2006/relationships/image" Target="../media/image10.png"/><Relationship Id="rId2" Type="http://schemas.openxmlformats.org/officeDocument/2006/relationships/image" Target="../media/image32.png"/><Relationship Id="rId16" Type="http://schemas.openxmlformats.org/officeDocument/2006/relationships/hyperlink" Target="#UTSKRIVNING!A1"/><Relationship Id="rId1" Type="http://schemas.openxmlformats.org/officeDocument/2006/relationships/hyperlink" Target="#'2. T7 L&#197;N'!A1"/><Relationship Id="rId6" Type="http://schemas.openxmlformats.org/officeDocument/2006/relationships/image" Target="../media/image19.png"/><Relationship Id="rId11" Type="http://schemas.openxmlformats.org/officeDocument/2006/relationships/hyperlink" Target="#'6. T3 BALANS'!A1"/><Relationship Id="rId5" Type="http://schemas.openxmlformats.org/officeDocument/2006/relationships/hyperlink" Target="#'7. T2 RESULTATB.'!A1"/><Relationship Id="rId15" Type="http://schemas.openxmlformats.org/officeDocument/2006/relationships/image" Target="../media/image37.png"/><Relationship Id="rId10" Type="http://schemas.openxmlformats.org/officeDocument/2006/relationships/image" Target="../media/image35.png"/><Relationship Id="rId19" Type="http://schemas.openxmlformats.org/officeDocument/2006/relationships/image" Target="../media/image23.png"/><Relationship Id="rId4" Type="http://schemas.openxmlformats.org/officeDocument/2006/relationships/image" Target="../media/image33.png"/><Relationship Id="rId9" Type="http://schemas.openxmlformats.org/officeDocument/2006/relationships/hyperlink" Target="#'4. E2 OMS&#196;TTNING'!A1"/><Relationship Id="rId14" Type="http://schemas.openxmlformats.org/officeDocument/2006/relationships/image" Target="../media/image3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39.png"/><Relationship Id="rId18" Type="http://schemas.openxmlformats.org/officeDocument/2006/relationships/image" Target="../media/image11.svg"/><Relationship Id="rId3" Type="http://schemas.openxmlformats.org/officeDocument/2006/relationships/hyperlink" Target="#'3. E1 KOSTNADER'!A1"/><Relationship Id="rId7" Type="http://schemas.openxmlformats.org/officeDocument/2006/relationships/hyperlink" Target="#'7. T2 RESULTATB.'!A1"/><Relationship Id="rId12" Type="http://schemas.openxmlformats.org/officeDocument/2006/relationships/image" Target="../media/image22.png"/><Relationship Id="rId17" Type="http://schemas.openxmlformats.org/officeDocument/2006/relationships/image" Target="../media/image10.png"/><Relationship Id="rId2" Type="http://schemas.openxmlformats.org/officeDocument/2006/relationships/image" Target="../media/image32.png"/><Relationship Id="rId16" Type="http://schemas.openxmlformats.org/officeDocument/2006/relationships/hyperlink" Target="#UTSKRIVNING!A1"/><Relationship Id="rId1" Type="http://schemas.openxmlformats.org/officeDocument/2006/relationships/hyperlink" Target="#'2. T7 L&#197;N'!A1"/><Relationship Id="rId6" Type="http://schemas.openxmlformats.org/officeDocument/2006/relationships/image" Target="../media/image33.png"/><Relationship Id="rId11" Type="http://schemas.openxmlformats.org/officeDocument/2006/relationships/hyperlink" Target="#'6. T3 BALANS'!A1"/><Relationship Id="rId5" Type="http://schemas.openxmlformats.org/officeDocument/2006/relationships/hyperlink" Target="#'8. T5 KASSABUDGET'!A1"/><Relationship Id="rId15" Type="http://schemas.openxmlformats.org/officeDocument/2006/relationships/image" Target="../media/image40.png"/><Relationship Id="rId10" Type="http://schemas.openxmlformats.org/officeDocument/2006/relationships/image" Target="../media/image34.png"/><Relationship Id="rId19" Type="http://schemas.openxmlformats.org/officeDocument/2006/relationships/image" Target="../media/image23.png"/><Relationship Id="rId4" Type="http://schemas.openxmlformats.org/officeDocument/2006/relationships/image" Target="../media/image38.png"/><Relationship Id="rId9" Type="http://schemas.openxmlformats.org/officeDocument/2006/relationships/hyperlink" Target="#'5. T4 FINANSIERINGSB.'!A1"/><Relationship Id="rId14" Type="http://schemas.openxmlformats.org/officeDocument/2006/relationships/hyperlink" Target="#'1. T1 INVESTERINGSP.'!A1"/></Relationships>
</file>

<file path=xl/drawings/_rels/drawing6.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42.png"/><Relationship Id="rId18" Type="http://schemas.openxmlformats.org/officeDocument/2006/relationships/image" Target="../media/image11.svg"/><Relationship Id="rId3" Type="http://schemas.openxmlformats.org/officeDocument/2006/relationships/hyperlink" Target="#'3. E1 KOSTNADER'!A1"/><Relationship Id="rId7" Type="http://schemas.openxmlformats.org/officeDocument/2006/relationships/hyperlink" Target="#'7. T2 RESULTATB.'!A1"/><Relationship Id="rId12" Type="http://schemas.openxmlformats.org/officeDocument/2006/relationships/image" Target="../media/image22.png"/><Relationship Id="rId17" Type="http://schemas.openxmlformats.org/officeDocument/2006/relationships/image" Target="../media/image10.png"/><Relationship Id="rId2" Type="http://schemas.openxmlformats.org/officeDocument/2006/relationships/image" Target="../media/image41.png"/><Relationship Id="rId16" Type="http://schemas.openxmlformats.org/officeDocument/2006/relationships/hyperlink" Target="#UTSKRIVNING!A1"/><Relationship Id="rId1" Type="http://schemas.openxmlformats.org/officeDocument/2006/relationships/hyperlink" Target="#'2. T7 L&#197;N'!A1"/><Relationship Id="rId6" Type="http://schemas.openxmlformats.org/officeDocument/2006/relationships/image" Target="../media/image33.png"/><Relationship Id="rId11" Type="http://schemas.openxmlformats.org/officeDocument/2006/relationships/hyperlink" Target="#'6. T3 BALANS'!A1"/><Relationship Id="rId5" Type="http://schemas.openxmlformats.org/officeDocument/2006/relationships/hyperlink" Target="#'8. T5 KASSABUDGET'!A1"/><Relationship Id="rId15" Type="http://schemas.openxmlformats.org/officeDocument/2006/relationships/image" Target="../media/image43.png"/><Relationship Id="rId10" Type="http://schemas.openxmlformats.org/officeDocument/2006/relationships/image" Target="../media/image35.png"/><Relationship Id="rId19" Type="http://schemas.openxmlformats.org/officeDocument/2006/relationships/image" Target="../media/image23.png"/><Relationship Id="rId4" Type="http://schemas.openxmlformats.org/officeDocument/2006/relationships/image" Target="../media/image38.png"/><Relationship Id="rId9" Type="http://schemas.openxmlformats.org/officeDocument/2006/relationships/hyperlink" Target="#'4. E2 OMS&#196;TTNING'!A1"/><Relationship Id="rId14" Type="http://schemas.openxmlformats.org/officeDocument/2006/relationships/hyperlink" Target="#'1. T1 INVESTERINGSP.'!A1"/></Relationships>
</file>

<file path=xl/drawings/_rels/drawing7.xml.rels><?xml version="1.0" encoding="UTF-8" standalone="yes"?>
<Relationships xmlns="http://schemas.openxmlformats.org/package/2006/relationships"><Relationship Id="rId8" Type="http://schemas.openxmlformats.org/officeDocument/2006/relationships/hyperlink" Target="#'7. T2 RESULTATB.'!A1"/><Relationship Id="rId13" Type="http://schemas.openxmlformats.org/officeDocument/2006/relationships/image" Target="../media/image43.png"/><Relationship Id="rId18" Type="http://schemas.openxmlformats.org/officeDocument/2006/relationships/image" Target="../media/image10.png"/><Relationship Id="rId3" Type="http://schemas.openxmlformats.org/officeDocument/2006/relationships/image" Target="../media/image41.png"/><Relationship Id="rId7" Type="http://schemas.openxmlformats.org/officeDocument/2006/relationships/image" Target="../media/image33.png"/><Relationship Id="rId12" Type="http://schemas.openxmlformats.org/officeDocument/2006/relationships/hyperlink" Target="#'1. T1 INVESTERINGSP.'!A1"/><Relationship Id="rId17" Type="http://schemas.openxmlformats.org/officeDocument/2006/relationships/hyperlink" Target="#UTSKRIVNING!A1"/><Relationship Id="rId2" Type="http://schemas.openxmlformats.org/officeDocument/2006/relationships/hyperlink" Target="#'2. T7 L&#197;N'!A1"/><Relationship Id="rId16" Type="http://schemas.openxmlformats.org/officeDocument/2006/relationships/image" Target="../media/image45.png"/><Relationship Id="rId1" Type="http://schemas.openxmlformats.org/officeDocument/2006/relationships/image" Target="../media/image44.jpeg"/><Relationship Id="rId6" Type="http://schemas.openxmlformats.org/officeDocument/2006/relationships/hyperlink" Target="#'8. T5 KASSABUDGET'!A1"/><Relationship Id="rId11" Type="http://schemas.openxmlformats.org/officeDocument/2006/relationships/image" Target="../media/image35.png"/><Relationship Id="rId5" Type="http://schemas.openxmlformats.org/officeDocument/2006/relationships/image" Target="../media/image38.png"/><Relationship Id="rId15" Type="http://schemas.openxmlformats.org/officeDocument/2006/relationships/image" Target="../media/image34.png"/><Relationship Id="rId10" Type="http://schemas.openxmlformats.org/officeDocument/2006/relationships/hyperlink" Target="#'4. E2 OMS&#196;TTNING'!A1"/><Relationship Id="rId19" Type="http://schemas.openxmlformats.org/officeDocument/2006/relationships/image" Target="../media/image11.svg"/><Relationship Id="rId4" Type="http://schemas.openxmlformats.org/officeDocument/2006/relationships/hyperlink" Target="#'3. E1 KOSTNADER'!A1"/><Relationship Id="rId9" Type="http://schemas.openxmlformats.org/officeDocument/2006/relationships/image" Target="../media/image19.png"/><Relationship Id="rId14" Type="http://schemas.openxmlformats.org/officeDocument/2006/relationships/hyperlink" Target="#'5. T4 FINANSIERINGSB.'!A1"/></Relationships>
</file>

<file path=xl/drawings/_rels/drawing8.xml.rels><?xml version="1.0" encoding="UTF-8" standalone="yes"?>
<Relationships xmlns="http://schemas.openxmlformats.org/package/2006/relationships"><Relationship Id="rId8" Type="http://schemas.openxmlformats.org/officeDocument/2006/relationships/hyperlink" Target="#'5. T4 FINANSIERINGSB.'!A1"/><Relationship Id="rId13" Type="http://schemas.openxmlformats.org/officeDocument/2006/relationships/image" Target="../media/image22.png"/><Relationship Id="rId18" Type="http://schemas.openxmlformats.org/officeDocument/2006/relationships/image" Target="../media/image10.png"/><Relationship Id="rId3" Type="http://schemas.openxmlformats.org/officeDocument/2006/relationships/image" Target="../media/image32.png"/><Relationship Id="rId7" Type="http://schemas.openxmlformats.org/officeDocument/2006/relationships/image" Target="../media/image33.png"/><Relationship Id="rId12" Type="http://schemas.openxmlformats.org/officeDocument/2006/relationships/hyperlink" Target="#'6. T3 BALANS'!A1"/><Relationship Id="rId17" Type="http://schemas.openxmlformats.org/officeDocument/2006/relationships/hyperlink" Target="#UTSKRIVNING!A1"/><Relationship Id="rId2" Type="http://schemas.openxmlformats.org/officeDocument/2006/relationships/hyperlink" Target="#'2. T7 L&#197;N'!A1"/><Relationship Id="rId16" Type="http://schemas.openxmlformats.org/officeDocument/2006/relationships/image" Target="../media/image48.png"/><Relationship Id="rId20" Type="http://schemas.openxmlformats.org/officeDocument/2006/relationships/image" Target="../media/image23.png"/><Relationship Id="rId1" Type="http://schemas.openxmlformats.org/officeDocument/2006/relationships/image" Target="../media/image46.jpeg"/><Relationship Id="rId6" Type="http://schemas.openxmlformats.org/officeDocument/2006/relationships/hyperlink" Target="#'8. T5 KASSABUDGET'!A1"/><Relationship Id="rId11" Type="http://schemas.openxmlformats.org/officeDocument/2006/relationships/image" Target="../media/image35.png"/><Relationship Id="rId5" Type="http://schemas.openxmlformats.org/officeDocument/2006/relationships/image" Target="../media/image38.png"/><Relationship Id="rId15" Type="http://schemas.openxmlformats.org/officeDocument/2006/relationships/hyperlink" Target="#'1. T1 INVESTERINGSP.'!A1"/><Relationship Id="rId10" Type="http://schemas.openxmlformats.org/officeDocument/2006/relationships/hyperlink" Target="#'4. E2 OMS&#196;TTNING'!A1"/><Relationship Id="rId19" Type="http://schemas.openxmlformats.org/officeDocument/2006/relationships/image" Target="../media/image11.svg"/><Relationship Id="rId4" Type="http://schemas.openxmlformats.org/officeDocument/2006/relationships/hyperlink" Target="#'3. E1 KOSTNADER'!A1"/><Relationship Id="rId9" Type="http://schemas.openxmlformats.org/officeDocument/2006/relationships/image" Target="../media/image34.png"/><Relationship Id="rId14" Type="http://schemas.openxmlformats.org/officeDocument/2006/relationships/image" Target="../media/image47.png"/></Relationships>
</file>

<file path=xl/drawings/_rels/drawing9.xml.rels><?xml version="1.0" encoding="UTF-8" standalone="yes"?>
<Relationships xmlns="http://schemas.openxmlformats.org/package/2006/relationships"><Relationship Id="rId8" Type="http://schemas.openxmlformats.org/officeDocument/2006/relationships/image" Target="../media/image50.png"/><Relationship Id="rId13" Type="http://schemas.openxmlformats.org/officeDocument/2006/relationships/hyperlink" Target="#'5. T4 FINANSIERINGSB.'!A1"/><Relationship Id="rId18" Type="http://schemas.openxmlformats.org/officeDocument/2006/relationships/image" Target="../media/image22.png"/><Relationship Id="rId3" Type="http://schemas.openxmlformats.org/officeDocument/2006/relationships/image" Target="../media/image49.emf"/><Relationship Id="rId21" Type="http://schemas.openxmlformats.org/officeDocument/2006/relationships/image" Target="../media/image54.png"/><Relationship Id="rId7" Type="http://schemas.openxmlformats.org/officeDocument/2006/relationships/hyperlink" Target="#'2. T7 L&#197;N'!A1"/><Relationship Id="rId12" Type="http://schemas.openxmlformats.org/officeDocument/2006/relationships/image" Target="../media/image19.png"/><Relationship Id="rId17" Type="http://schemas.openxmlformats.org/officeDocument/2006/relationships/hyperlink" Target="#'6. T3 BALANS'!A1"/><Relationship Id="rId2" Type="http://schemas.openxmlformats.org/officeDocument/2006/relationships/hyperlink" Target="#'T1 INVESTERINGSP.'!A1"/><Relationship Id="rId16" Type="http://schemas.openxmlformats.org/officeDocument/2006/relationships/image" Target="../media/image52.png"/><Relationship Id="rId20" Type="http://schemas.openxmlformats.org/officeDocument/2006/relationships/image" Target="../media/image53.png"/><Relationship Id="rId1" Type="http://schemas.openxmlformats.org/officeDocument/2006/relationships/chart" Target="../charts/chart1.xml"/><Relationship Id="rId6" Type="http://schemas.openxmlformats.org/officeDocument/2006/relationships/image" Target="../media/image11.svg"/><Relationship Id="rId11" Type="http://schemas.openxmlformats.org/officeDocument/2006/relationships/hyperlink" Target="#'7. T2 RESULTATB.'!A1"/><Relationship Id="rId5" Type="http://schemas.openxmlformats.org/officeDocument/2006/relationships/image" Target="../media/image10.png"/><Relationship Id="rId15" Type="http://schemas.openxmlformats.org/officeDocument/2006/relationships/hyperlink" Target="#'4. E2 OMS&#196;TTNING'!A1"/><Relationship Id="rId10" Type="http://schemas.openxmlformats.org/officeDocument/2006/relationships/image" Target="../media/image38.png"/><Relationship Id="rId19" Type="http://schemas.openxmlformats.org/officeDocument/2006/relationships/hyperlink" Target="#'1. T1 INVESTERINGSP.'!A1"/><Relationship Id="rId4" Type="http://schemas.openxmlformats.org/officeDocument/2006/relationships/hyperlink" Target="#UTSKRIVNING!A1"/><Relationship Id="rId9" Type="http://schemas.openxmlformats.org/officeDocument/2006/relationships/hyperlink" Target="#'3. E1 KOSTNADER'!A1"/><Relationship Id="rId14" Type="http://schemas.openxmlformats.org/officeDocument/2006/relationships/image" Target="../media/image51.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38098</xdr:rowOff>
    </xdr:from>
    <xdr:to>
      <xdr:col>8</xdr:col>
      <xdr:colOff>185057</xdr:colOff>
      <xdr:row>28</xdr:row>
      <xdr:rowOff>19810</xdr:rowOff>
    </xdr:to>
    <xdr:pic>
      <xdr:nvPicPr>
        <xdr:cNvPr id="8" name="Picture 7">
          <a:extLst>
            <a:ext uri="{FF2B5EF4-FFF2-40B4-BE49-F238E27FC236}">
              <a16:creationId xmlns:a16="http://schemas.microsoft.com/office/drawing/2014/main" id="{12EBADA7-B816-4AD3-86BC-831EA7FCC863}"/>
            </a:ext>
          </a:extLst>
        </xdr:cNvPr>
        <xdr:cNvPicPr>
          <a:picLocks noChangeAspect="1"/>
        </xdr:cNvPicPr>
      </xdr:nvPicPr>
      <xdr:blipFill>
        <a:blip xmlns:r="http://schemas.openxmlformats.org/officeDocument/2006/relationships" r:embed="rId1">
          <a:alphaModFix/>
          <a:extLst>
            <a:ext uri="{28A0092B-C50C-407E-A947-70E740481C1C}">
              <a14:useLocalDpi xmlns:a14="http://schemas.microsoft.com/office/drawing/2010/main" val="0"/>
            </a:ext>
          </a:extLst>
        </a:blip>
        <a:stretch>
          <a:fillRect/>
        </a:stretch>
      </xdr:blipFill>
      <xdr:spPr>
        <a:xfrm>
          <a:off x="0" y="3047998"/>
          <a:ext cx="9258300" cy="3726398"/>
        </a:xfrm>
        <a:prstGeom prst="rect">
          <a:avLst/>
        </a:prstGeom>
      </xdr:spPr>
    </xdr:pic>
    <xdr:clientData/>
  </xdr:twoCellAnchor>
  <xdr:twoCellAnchor>
    <xdr:from>
      <xdr:col>4</xdr:col>
      <xdr:colOff>2927243</xdr:colOff>
      <xdr:row>12</xdr:row>
      <xdr:rowOff>262884</xdr:rowOff>
    </xdr:from>
    <xdr:to>
      <xdr:col>8</xdr:col>
      <xdr:colOff>12922</xdr:colOff>
      <xdr:row>20</xdr:row>
      <xdr:rowOff>70756</xdr:rowOff>
    </xdr:to>
    <xdr:sp macro="" textlink="">
      <xdr:nvSpPr>
        <xdr:cNvPr id="37" name="AutoShape 308">
          <a:extLst>
            <a:ext uri="{FF2B5EF4-FFF2-40B4-BE49-F238E27FC236}">
              <a16:creationId xmlns:a16="http://schemas.microsoft.com/office/drawing/2014/main" id="{00000000-0008-0000-0000-000025000000}"/>
            </a:ext>
          </a:extLst>
        </xdr:cNvPr>
        <xdr:cNvSpPr>
          <a:spLocks noChangeArrowheads="1"/>
        </xdr:cNvSpPr>
      </xdr:nvSpPr>
      <xdr:spPr bwMode="auto">
        <a:xfrm>
          <a:off x="6122200" y="2733941"/>
          <a:ext cx="2963965" cy="2295258"/>
        </a:xfrm>
        <a:prstGeom prst="foldedCorner">
          <a:avLst>
            <a:gd name="adj" fmla="val 12500"/>
          </a:avLst>
        </a:prstGeom>
        <a:solidFill>
          <a:srgbClr val="FFC000"/>
        </a:solidFill>
        <a:ln w="15875">
          <a:noFill/>
          <a:round/>
          <a:headEnd/>
          <a:tailEnd/>
        </a:ln>
      </xdr:spPr>
      <xdr:txBody>
        <a:bodyPr vertOverflow="clip" wrap="square" lIns="108000" tIns="108000" rIns="36000" bIns="108000" anchor="t" upright="1"/>
        <a:lstStyle/>
        <a:p>
          <a:pPr rtl="0" eaLnBrk="1" fontAlgn="auto" latinLnBrk="0" hangingPunct="1">
            <a:lnSpc>
              <a:spcPts val="1300"/>
            </a:lnSpc>
          </a:pPr>
          <a:r>
            <a:rPr lang="fi-FI" sz="1000" b="1" i="0" baseline="0">
              <a:latin typeface="Arial" pitchFamily="34" charset="0"/>
              <a:ea typeface="+mn-ea"/>
              <a:cs typeface="Arial" pitchFamily="34" charset="0"/>
            </a:rPr>
            <a:t>Användningsändamål</a:t>
          </a:r>
        </a:p>
        <a:p>
          <a:pPr marL="0" indent="0" rtl="0" eaLnBrk="1" fontAlgn="auto" latinLnBrk="0" hangingPunct="1">
            <a:lnSpc>
              <a:spcPts val="1300"/>
            </a:lnSpc>
            <a:spcBef>
              <a:spcPts val="200"/>
            </a:spcBef>
            <a:spcAft>
              <a:spcPts val="200"/>
            </a:spcAft>
            <a:buFont typeface="Arial" panose="020B0604020202020204" pitchFamily="34" charset="0"/>
            <a:buChar char="•"/>
          </a:pPr>
          <a:r>
            <a:rPr lang="fi-FI" sz="1000" b="0" i="0" baseline="0">
              <a:latin typeface="Arial" pitchFamily="34" charset="0"/>
              <a:ea typeface="+mn-ea"/>
              <a:cs typeface="Arial" pitchFamily="34" charset="0"/>
            </a:rPr>
            <a:t> För ekonomiplanering till nya företaget</a:t>
          </a:r>
        </a:p>
        <a:p>
          <a:pPr marL="0" indent="0" rtl="0" eaLnBrk="1" fontAlgn="auto" latinLnBrk="0" hangingPunct="1">
            <a:lnSpc>
              <a:spcPts val="1300"/>
            </a:lnSpc>
            <a:spcBef>
              <a:spcPts val="200"/>
            </a:spcBef>
            <a:spcAft>
              <a:spcPts val="200"/>
            </a:spcAft>
            <a:buFont typeface="Arial" panose="020B0604020202020204" pitchFamily="34" charset="0"/>
            <a:buChar char="•"/>
          </a:pPr>
          <a:r>
            <a:rPr lang="fi-FI" sz="1000" b="0" i="0" baseline="0">
              <a:latin typeface="Arial" pitchFamily="34" charset="0"/>
              <a:ea typeface="+mn-ea"/>
              <a:cs typeface="Arial" pitchFamily="34" charset="0"/>
            </a:rPr>
            <a:t> För utarbetande av bilagor till alla</a:t>
          </a:r>
          <a:br>
            <a:rPr lang="fi-FI" sz="1000" b="0" i="0" baseline="0">
              <a:latin typeface="Arial" pitchFamily="34" charset="0"/>
              <a:ea typeface="+mn-ea"/>
              <a:cs typeface="Arial" pitchFamily="34" charset="0"/>
            </a:rPr>
          </a:br>
          <a:r>
            <a:rPr lang="fi-FI" sz="1000" b="0" i="0" baseline="0">
              <a:latin typeface="Arial" pitchFamily="34" charset="0"/>
              <a:ea typeface="+mn-ea"/>
              <a:cs typeface="Arial" pitchFamily="34" charset="0"/>
            </a:rPr>
            <a:t>  finansieringsansökningar</a:t>
          </a:r>
          <a:br>
            <a:rPr lang="fi-FI" sz="1000" b="1" i="1" baseline="0">
              <a:latin typeface="Arial" pitchFamily="34" charset="0"/>
              <a:ea typeface="+mn-ea"/>
              <a:cs typeface="Arial" pitchFamily="34" charset="0"/>
            </a:rPr>
          </a:br>
          <a:endParaRPr lang="fi-FI" sz="1000" b="1" i="1" baseline="0">
            <a:latin typeface="Arial" pitchFamily="34" charset="0"/>
            <a:ea typeface="+mn-ea"/>
            <a:cs typeface="Arial" pitchFamily="34" charset="0"/>
          </a:endParaRPr>
        </a:p>
        <a:p>
          <a:pPr marL="0" marR="0" indent="0" defTabSz="914400" rtl="0" eaLnBrk="1" fontAlgn="auto" latinLnBrk="0" hangingPunct="1">
            <a:lnSpc>
              <a:spcPts val="1300"/>
            </a:lnSpc>
            <a:spcBef>
              <a:spcPts val="0"/>
            </a:spcBef>
            <a:spcAft>
              <a:spcPts val="0"/>
            </a:spcAft>
            <a:buClrTx/>
            <a:buSzTx/>
            <a:buFontTx/>
            <a:buNone/>
            <a:tabLst/>
            <a:defRPr/>
          </a:pPr>
          <a:r>
            <a:rPr lang="fi-FI" sz="1000" b="1" i="0" baseline="0">
              <a:effectLst/>
              <a:latin typeface="Arial" panose="020B0604020202020204" pitchFamily="34" charset="0"/>
              <a:ea typeface="+mn-ea"/>
              <a:cs typeface="Arial" panose="020B0604020202020204" pitchFamily="34" charset="0"/>
            </a:rPr>
            <a:t>IFYLLNADSDIREKTIV</a:t>
          </a:r>
          <a:endParaRPr lang="fi-FI" sz="1000" b="0" i="0" baseline="0">
            <a:latin typeface="Arial" pitchFamily="34" charset="0"/>
            <a:ea typeface="+mn-ea"/>
            <a:cs typeface="Arial" pitchFamily="34" charset="0"/>
          </a:endParaRPr>
        </a:p>
        <a:p>
          <a:pPr marL="0" marR="0" indent="0" algn="l" defTabSz="914400" rtl="0" eaLnBrk="1" fontAlgn="auto" latinLnBrk="0" hangingPunct="1">
            <a:lnSpc>
              <a:spcPts val="1300"/>
            </a:lnSpc>
            <a:spcBef>
              <a:spcPts val="200"/>
            </a:spcBef>
            <a:spcAft>
              <a:spcPts val="200"/>
            </a:spcAft>
            <a:buClrTx/>
            <a:buSzTx/>
            <a:buFont typeface="Arial" panose="020B0604020202020204" pitchFamily="34" charset="0"/>
            <a:buChar char="•"/>
            <a:tabLst/>
            <a:defRPr sz="1000"/>
          </a:pPr>
          <a:r>
            <a:rPr lang="fi-FI" sz="1000" b="0" i="0" baseline="0">
              <a:latin typeface="Arial" pitchFamily="34" charset="0"/>
              <a:ea typeface="+mn-ea"/>
              <a:cs typeface="Arial" pitchFamily="34" charset="0"/>
            </a:rPr>
            <a:t> Programmets arbetsskeden går framåt enligt</a:t>
          </a:r>
          <a:br>
            <a:rPr lang="fi-FI" sz="1000" b="0" i="0" baseline="0">
              <a:latin typeface="Arial" pitchFamily="34" charset="0"/>
              <a:ea typeface="+mn-ea"/>
              <a:cs typeface="Arial" pitchFamily="34" charset="0"/>
            </a:rPr>
          </a:br>
          <a:r>
            <a:rPr lang="fi-FI" sz="1000" b="0" i="0" baseline="0">
              <a:latin typeface="Arial" pitchFamily="34" charset="0"/>
              <a:ea typeface="+mn-ea"/>
              <a:cs typeface="Arial" pitchFamily="34" charset="0"/>
            </a:rPr>
            <a:t>  siffrorna i rutorna vänster an </a:t>
          </a:r>
        </a:p>
        <a:p>
          <a:pPr marL="0" marR="0" indent="0" algn="l" defTabSz="914400" rtl="0" eaLnBrk="1" fontAlgn="auto" latinLnBrk="0" hangingPunct="1">
            <a:lnSpc>
              <a:spcPts val="1300"/>
            </a:lnSpc>
            <a:spcBef>
              <a:spcPts val="200"/>
            </a:spcBef>
            <a:spcAft>
              <a:spcPts val="200"/>
            </a:spcAft>
            <a:buClrTx/>
            <a:buSzTx/>
            <a:buFont typeface="Arial" panose="020B0604020202020204" pitchFamily="34" charset="0"/>
            <a:buChar char="•"/>
            <a:tabLst/>
            <a:defRPr sz="1000"/>
          </a:pPr>
          <a:r>
            <a:rPr lang="fi-FI" sz="1000" b="0" i="0" baseline="0">
              <a:latin typeface="Arial" pitchFamily="34" charset="0"/>
              <a:ea typeface="+mn-ea"/>
              <a:cs typeface="Arial" pitchFamily="34" charset="0"/>
            </a:rPr>
            <a:t> Mera information från Företagstolken </a:t>
          </a:r>
        </a:p>
      </xdr:txBody>
    </xdr:sp>
    <xdr:clientData fPrintsWithSheet="0"/>
  </xdr:twoCellAnchor>
  <xdr:twoCellAnchor>
    <xdr:from>
      <xdr:col>3</xdr:col>
      <xdr:colOff>76197</xdr:colOff>
      <xdr:row>6</xdr:row>
      <xdr:rowOff>10027</xdr:rowOff>
    </xdr:from>
    <xdr:to>
      <xdr:col>4</xdr:col>
      <xdr:colOff>2634254</xdr:colOff>
      <xdr:row>6</xdr:row>
      <xdr:rowOff>528638</xdr:rowOff>
    </xdr:to>
    <xdr:sp macro="" textlink="">
      <xdr:nvSpPr>
        <xdr:cNvPr id="2" name="Pyöristetty suorakulmio 1">
          <a:hlinkClick xmlns:r="http://schemas.openxmlformats.org/officeDocument/2006/relationships" r:id="rId2"/>
          <a:extLst>
            <a:ext uri="{FF2B5EF4-FFF2-40B4-BE49-F238E27FC236}">
              <a16:creationId xmlns:a16="http://schemas.microsoft.com/office/drawing/2014/main" id="{00000000-0008-0000-0000-000002000000}"/>
            </a:ext>
          </a:extLst>
        </xdr:cNvPr>
        <xdr:cNvSpPr/>
      </xdr:nvSpPr>
      <xdr:spPr>
        <a:xfrm>
          <a:off x="789211" y="739370"/>
          <a:ext cx="5040000" cy="518611"/>
        </a:xfrm>
        <a:prstGeom prst="roundRect">
          <a:avLst/>
        </a:prstGeom>
        <a:solidFill>
          <a:schemeClr val="accent1">
            <a:lumMod val="20000"/>
            <a:lumOff val="80000"/>
            <a:alpha val="70000"/>
          </a:schemeClr>
        </a:solidFill>
        <a:ln>
          <a:noFill/>
        </a:ln>
        <a:effectLst/>
        <a:scene3d>
          <a:camera prst="orthographicFront">
            <a:rot lat="0" lon="0" rev="0"/>
          </a:camera>
          <a:lightRig rig="soft" dir="t">
            <a:rot lat="0" lon="0" rev="0"/>
          </a:lightRig>
        </a:scene3d>
        <a:sp3d prstMaterial="matte">
          <a:bevelT w="12700" h="127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i-FI" sz="1100" b="1">
              <a:solidFill>
                <a:schemeClr val="tx2"/>
              </a:solidFill>
            </a:rPr>
            <a:t>T1</a:t>
          </a:r>
          <a:r>
            <a:rPr lang="fi-FI" sz="1100" b="1" baseline="0">
              <a:solidFill>
                <a:schemeClr val="tx2"/>
              </a:solidFill>
            </a:rPr>
            <a:t> INVESTERINGSPLAN</a:t>
          </a:r>
          <a:br>
            <a:rPr lang="fi-FI" sz="1100" b="1" baseline="0">
              <a:solidFill>
                <a:schemeClr val="tx2"/>
              </a:solidFill>
            </a:rPr>
          </a:br>
          <a:r>
            <a:rPr lang="fi-FI" sz="1100" b="0" baseline="0">
              <a:solidFill>
                <a:schemeClr val="tx1"/>
              </a:solidFill>
            </a:rPr>
            <a:t>Projektens grundinformation, uträknande av penningbehovet och finansieringen. </a:t>
          </a:r>
          <a:endParaRPr lang="fi-FI" sz="1100" b="0">
            <a:solidFill>
              <a:schemeClr val="tx1"/>
            </a:solidFill>
          </a:endParaRPr>
        </a:p>
      </xdr:txBody>
    </xdr:sp>
    <xdr:clientData/>
  </xdr:twoCellAnchor>
  <xdr:twoCellAnchor>
    <xdr:from>
      <xdr:col>3</xdr:col>
      <xdr:colOff>59870</xdr:colOff>
      <xdr:row>7</xdr:row>
      <xdr:rowOff>25245</xdr:rowOff>
    </xdr:from>
    <xdr:to>
      <xdr:col>4</xdr:col>
      <xdr:colOff>2617927</xdr:colOff>
      <xdr:row>9</xdr:row>
      <xdr:rowOff>76880</xdr:rowOff>
    </xdr:to>
    <xdr:sp macro="" textlink="">
      <xdr:nvSpPr>
        <xdr:cNvPr id="44" name="Pyöristetty suorakulmio 43">
          <a:hlinkClick xmlns:r="http://schemas.openxmlformats.org/officeDocument/2006/relationships" r:id="rId3"/>
          <a:extLst>
            <a:ext uri="{FF2B5EF4-FFF2-40B4-BE49-F238E27FC236}">
              <a16:creationId xmlns:a16="http://schemas.microsoft.com/office/drawing/2014/main" id="{00000000-0008-0000-0000-00002C000000}"/>
            </a:ext>
          </a:extLst>
        </xdr:cNvPr>
        <xdr:cNvSpPr/>
      </xdr:nvSpPr>
      <xdr:spPr>
        <a:xfrm>
          <a:off x="772884" y="1326088"/>
          <a:ext cx="5040000" cy="525163"/>
        </a:xfrm>
        <a:prstGeom prst="roundRect">
          <a:avLst/>
        </a:prstGeom>
        <a:solidFill>
          <a:schemeClr val="accent1">
            <a:lumMod val="20000"/>
            <a:lumOff val="80000"/>
            <a:alpha val="70000"/>
          </a:schemeClr>
        </a:solidFill>
        <a:ln>
          <a:noFill/>
        </a:ln>
        <a:effectLst/>
        <a:scene3d>
          <a:camera prst="orthographicFront">
            <a:rot lat="0" lon="0" rev="0"/>
          </a:camera>
          <a:lightRig rig="soft" dir="t">
            <a:rot lat="0" lon="0" rev="0"/>
          </a:lightRig>
        </a:scene3d>
        <a:sp3d prstMaterial="matte">
          <a:bevelT w="12700" h="127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i-FI" sz="1100" b="1">
              <a:solidFill>
                <a:schemeClr val="tx2"/>
              </a:solidFill>
            </a:rPr>
            <a:t>T7 LÅN</a:t>
          </a:r>
          <a:br>
            <a:rPr lang="fi-FI" sz="1100" b="1">
              <a:solidFill>
                <a:schemeClr val="tx2"/>
              </a:solidFill>
            </a:rPr>
          </a:br>
          <a:r>
            <a:rPr lang="fi-FI" sz="1100" b="0">
              <a:solidFill>
                <a:schemeClr val="tx1"/>
              </a:solidFill>
            </a:rPr>
            <a:t>Fyll i finansieringskällorna</a:t>
          </a:r>
          <a:r>
            <a:rPr lang="fi-FI" sz="1100" b="0">
              <a:solidFill>
                <a:schemeClr val="tx2"/>
              </a:solidFill>
            </a:rPr>
            <a:t>.</a:t>
          </a:r>
        </a:p>
      </xdr:txBody>
    </xdr:sp>
    <xdr:clientData/>
  </xdr:twoCellAnchor>
  <xdr:twoCellAnchor>
    <xdr:from>
      <xdr:col>3</xdr:col>
      <xdr:colOff>59871</xdr:colOff>
      <xdr:row>14</xdr:row>
      <xdr:rowOff>85724</xdr:rowOff>
    </xdr:from>
    <xdr:to>
      <xdr:col>4</xdr:col>
      <xdr:colOff>2617928</xdr:colOff>
      <xdr:row>15</xdr:row>
      <xdr:rowOff>47624</xdr:rowOff>
    </xdr:to>
    <xdr:sp macro="" textlink="">
      <xdr:nvSpPr>
        <xdr:cNvPr id="46" name="Pyöristetty suorakulmio 45">
          <a:hlinkClick xmlns:r="http://schemas.openxmlformats.org/officeDocument/2006/relationships" r:id="rId4"/>
          <a:extLst>
            <a:ext uri="{FF2B5EF4-FFF2-40B4-BE49-F238E27FC236}">
              <a16:creationId xmlns:a16="http://schemas.microsoft.com/office/drawing/2014/main" id="{00000000-0008-0000-0000-00002E000000}"/>
            </a:ext>
          </a:extLst>
        </xdr:cNvPr>
        <xdr:cNvSpPr/>
      </xdr:nvSpPr>
      <xdr:spPr>
        <a:xfrm>
          <a:off x="772885" y="3095624"/>
          <a:ext cx="5040000" cy="674914"/>
        </a:xfrm>
        <a:prstGeom prst="roundRect">
          <a:avLst/>
        </a:prstGeom>
        <a:solidFill>
          <a:schemeClr val="accent1">
            <a:lumMod val="20000"/>
            <a:lumOff val="80000"/>
            <a:alpha val="70000"/>
          </a:schemeClr>
        </a:solidFill>
        <a:ln>
          <a:noFill/>
        </a:ln>
        <a:effectLst/>
        <a:scene3d>
          <a:camera prst="orthographicFront">
            <a:rot lat="0" lon="0" rev="0"/>
          </a:camera>
          <a:lightRig rig="soft" dir="t">
            <a:rot lat="0" lon="0" rev="0"/>
          </a:lightRig>
        </a:scene3d>
        <a:sp3d prstMaterial="matte">
          <a:bevelT w="12700" h="127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i-FI" sz="1100" b="1">
              <a:solidFill>
                <a:schemeClr val="tx2"/>
              </a:solidFill>
            </a:rPr>
            <a:t>T4</a:t>
          </a:r>
          <a:r>
            <a:rPr lang="fi-FI" sz="1100" b="1" baseline="0">
              <a:solidFill>
                <a:schemeClr val="tx2"/>
              </a:solidFill>
            </a:rPr>
            <a:t> FINANSIERINGSBUDGET</a:t>
          </a:r>
          <a:br>
            <a:rPr lang="fi-FI" sz="1100" b="1" baseline="0">
              <a:solidFill>
                <a:schemeClr val="tx2"/>
              </a:solidFill>
            </a:rPr>
          </a:br>
          <a:r>
            <a:rPr lang="fi-FI" sz="1100" b="0" baseline="0">
              <a:solidFill>
                <a:schemeClr val="tx1"/>
              </a:solidFill>
            </a:rPr>
            <a:t>Ge omloppstiderna för omsättningstillgångar, kundfordringar</a:t>
          </a:r>
          <a:br>
            <a:rPr lang="fi-FI" sz="1100" b="0" baseline="0">
              <a:solidFill>
                <a:schemeClr val="tx1"/>
              </a:solidFill>
            </a:rPr>
          </a:br>
          <a:r>
            <a:rPr lang="fi-FI" sz="1100" b="0" baseline="0">
              <a:solidFill>
                <a:schemeClr val="tx1"/>
              </a:solidFill>
            </a:rPr>
            <a:t>och leverantörsskulder. Planera dividender/privata uttag. </a:t>
          </a:r>
          <a:endParaRPr lang="fi-FI" sz="1100" b="0">
            <a:solidFill>
              <a:schemeClr val="tx1"/>
            </a:solidFill>
          </a:endParaRPr>
        </a:p>
      </xdr:txBody>
    </xdr:sp>
    <xdr:clientData/>
  </xdr:twoCellAnchor>
  <xdr:twoCellAnchor>
    <xdr:from>
      <xdr:col>3</xdr:col>
      <xdr:colOff>65315</xdr:colOff>
      <xdr:row>20</xdr:row>
      <xdr:rowOff>241284</xdr:rowOff>
    </xdr:from>
    <xdr:to>
      <xdr:col>4</xdr:col>
      <xdr:colOff>2623372</xdr:colOff>
      <xdr:row>22</xdr:row>
      <xdr:rowOff>392450</xdr:rowOff>
    </xdr:to>
    <xdr:sp macro="" textlink="">
      <xdr:nvSpPr>
        <xdr:cNvPr id="47" name="Pyöristetty suorakulmio 46">
          <a:hlinkClick xmlns:r="http://schemas.openxmlformats.org/officeDocument/2006/relationships" r:id="rId5"/>
          <a:extLst>
            <a:ext uri="{FF2B5EF4-FFF2-40B4-BE49-F238E27FC236}">
              <a16:creationId xmlns:a16="http://schemas.microsoft.com/office/drawing/2014/main" id="{00000000-0008-0000-0000-00002F000000}"/>
            </a:ext>
          </a:extLst>
        </xdr:cNvPr>
        <xdr:cNvSpPr/>
      </xdr:nvSpPr>
      <xdr:spPr>
        <a:xfrm>
          <a:off x="778329" y="5199727"/>
          <a:ext cx="5040000" cy="733552"/>
        </a:xfrm>
        <a:prstGeom prst="roundRect">
          <a:avLst/>
        </a:prstGeom>
        <a:solidFill>
          <a:schemeClr val="accent1">
            <a:lumMod val="20000"/>
            <a:lumOff val="80000"/>
            <a:alpha val="70000"/>
          </a:schemeClr>
        </a:solidFill>
        <a:ln>
          <a:noFill/>
        </a:ln>
        <a:effectLst/>
        <a:scene3d>
          <a:camera prst="orthographicFront">
            <a:rot lat="0" lon="0" rev="0"/>
          </a:camera>
          <a:lightRig rig="soft" dir="t">
            <a:rot lat="0" lon="0" rev="0"/>
          </a:lightRig>
        </a:scene3d>
        <a:sp3d prstMaterial="matte">
          <a:bevelT w="12700" h="127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i-FI" sz="1100" b="1">
              <a:solidFill>
                <a:schemeClr val="tx2"/>
              </a:solidFill>
            </a:rPr>
            <a:t>T5 KASSABUDGET</a:t>
          </a:r>
          <a:br>
            <a:rPr lang="fi-FI" sz="1100" b="1">
              <a:solidFill>
                <a:schemeClr val="tx2"/>
              </a:solidFill>
            </a:rPr>
          </a:br>
          <a:r>
            <a:rPr lang="fi-FI" sz="1100" b="0">
              <a:solidFill>
                <a:schemeClr val="tx1"/>
              </a:solidFill>
            </a:rPr>
            <a:t>Programmet gör ett budgetförslag, men månatlig fördelning av utgifter och</a:t>
          </a:r>
          <a:br>
            <a:rPr lang="fi-FI" sz="1100" b="0">
              <a:solidFill>
                <a:schemeClr val="tx1"/>
              </a:solidFill>
            </a:rPr>
          </a:br>
          <a:r>
            <a:rPr lang="fi-FI" sz="1100" b="0">
              <a:solidFill>
                <a:schemeClr val="tx1"/>
              </a:solidFill>
            </a:rPr>
            <a:t> inkomster bör justeras.</a:t>
          </a:r>
        </a:p>
      </xdr:txBody>
    </xdr:sp>
    <xdr:clientData/>
  </xdr:twoCellAnchor>
  <xdr:twoCellAnchor>
    <xdr:from>
      <xdr:col>3</xdr:col>
      <xdr:colOff>59870</xdr:colOff>
      <xdr:row>18</xdr:row>
      <xdr:rowOff>205660</xdr:rowOff>
    </xdr:from>
    <xdr:to>
      <xdr:col>4</xdr:col>
      <xdr:colOff>2617927</xdr:colOff>
      <xdr:row>20</xdr:row>
      <xdr:rowOff>167061</xdr:rowOff>
    </xdr:to>
    <xdr:sp macro="" textlink="">
      <xdr:nvSpPr>
        <xdr:cNvPr id="29" name="Pyöristetty suorakulmio 28">
          <a:hlinkClick xmlns:r="http://schemas.openxmlformats.org/officeDocument/2006/relationships" r:id="rId6"/>
          <a:extLst>
            <a:ext uri="{FF2B5EF4-FFF2-40B4-BE49-F238E27FC236}">
              <a16:creationId xmlns:a16="http://schemas.microsoft.com/office/drawing/2014/main" id="{00000000-0008-0000-0000-00001D000000}"/>
            </a:ext>
          </a:extLst>
        </xdr:cNvPr>
        <xdr:cNvSpPr/>
      </xdr:nvSpPr>
      <xdr:spPr>
        <a:xfrm>
          <a:off x="772884" y="4625260"/>
          <a:ext cx="5040000" cy="500244"/>
        </a:xfrm>
        <a:prstGeom prst="roundRect">
          <a:avLst/>
        </a:prstGeom>
        <a:solidFill>
          <a:schemeClr val="accent1">
            <a:lumMod val="20000"/>
            <a:lumOff val="80000"/>
            <a:alpha val="70000"/>
          </a:schemeClr>
        </a:solidFill>
        <a:ln>
          <a:noFill/>
        </a:ln>
        <a:effectLst/>
        <a:scene3d>
          <a:camera prst="orthographicFront">
            <a:rot lat="0" lon="0" rev="0"/>
          </a:camera>
          <a:lightRig rig="soft" dir="t">
            <a:rot lat="0" lon="0" rev="0"/>
          </a:lightRig>
        </a:scene3d>
        <a:sp3d prstMaterial="matte">
          <a:bevelT w="12700" h="127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i-FI" sz="1100" b="1">
              <a:solidFill>
                <a:schemeClr val="tx2"/>
              </a:solidFill>
            </a:rPr>
            <a:t>T2</a:t>
          </a:r>
          <a:r>
            <a:rPr lang="fi-FI" sz="1100" b="1" baseline="0">
              <a:solidFill>
                <a:schemeClr val="tx2"/>
              </a:solidFill>
            </a:rPr>
            <a:t> RESULTATBUDGET</a:t>
          </a:r>
          <a:br>
            <a:rPr lang="fi-FI" sz="1100" b="1" baseline="0">
              <a:solidFill>
                <a:schemeClr val="tx2"/>
              </a:solidFill>
            </a:rPr>
          </a:br>
          <a:r>
            <a:rPr lang="fi-FI" sz="1100" b="0" baseline="0">
              <a:solidFill>
                <a:schemeClr val="tx1"/>
              </a:solidFill>
            </a:rPr>
            <a:t>Antecknas rörliga intäkter och tillverkning för eget bruk.</a:t>
          </a:r>
          <a:endParaRPr lang="fi-FI" sz="1100" b="0">
            <a:solidFill>
              <a:schemeClr val="tx1"/>
            </a:solidFill>
          </a:endParaRPr>
        </a:p>
      </xdr:txBody>
    </xdr:sp>
    <xdr:clientData/>
  </xdr:twoCellAnchor>
  <xdr:twoCellAnchor>
    <xdr:from>
      <xdr:col>3</xdr:col>
      <xdr:colOff>70757</xdr:colOff>
      <xdr:row>9</xdr:row>
      <xdr:rowOff>148568</xdr:rowOff>
    </xdr:from>
    <xdr:to>
      <xdr:col>4</xdr:col>
      <xdr:colOff>2628814</xdr:colOff>
      <xdr:row>11</xdr:row>
      <xdr:rowOff>129268</xdr:rowOff>
    </xdr:to>
    <xdr:sp macro="" textlink="">
      <xdr:nvSpPr>
        <xdr:cNvPr id="33" name="Pyöristetty suorakulmio 32">
          <a:hlinkClick xmlns:r="http://schemas.openxmlformats.org/officeDocument/2006/relationships" r:id="rId7"/>
          <a:extLst>
            <a:ext uri="{FF2B5EF4-FFF2-40B4-BE49-F238E27FC236}">
              <a16:creationId xmlns:a16="http://schemas.microsoft.com/office/drawing/2014/main" id="{00000000-0008-0000-0000-000021000000}"/>
            </a:ext>
          </a:extLst>
        </xdr:cNvPr>
        <xdr:cNvSpPr/>
      </xdr:nvSpPr>
      <xdr:spPr>
        <a:xfrm>
          <a:off x="783771" y="1922939"/>
          <a:ext cx="5040000" cy="519543"/>
        </a:xfrm>
        <a:prstGeom prst="roundRect">
          <a:avLst/>
        </a:prstGeom>
        <a:solidFill>
          <a:schemeClr val="accent1">
            <a:lumMod val="20000"/>
            <a:lumOff val="80000"/>
            <a:alpha val="70000"/>
          </a:schemeClr>
        </a:solidFill>
        <a:ln>
          <a:noFill/>
        </a:ln>
        <a:effectLst/>
        <a:scene3d>
          <a:camera prst="orthographicFront">
            <a:rot lat="0" lon="0" rev="0"/>
          </a:camera>
          <a:lightRig rig="soft" dir="t">
            <a:rot lat="0" lon="0" rev="0"/>
          </a:lightRig>
        </a:scene3d>
        <a:sp3d prstMaterial="matte">
          <a:bevelT w="12700" h="127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i-FI" sz="1100" b="1">
              <a:solidFill>
                <a:schemeClr val="tx2"/>
              </a:solidFill>
              <a:effectLst/>
              <a:latin typeface="+mn-lt"/>
              <a:ea typeface="+mn-ea"/>
              <a:cs typeface="+mn-cs"/>
            </a:rPr>
            <a:t>E1</a:t>
          </a:r>
          <a:r>
            <a:rPr lang="fi-FI" sz="1100" b="1" baseline="0">
              <a:solidFill>
                <a:schemeClr val="tx2"/>
              </a:solidFill>
              <a:effectLst/>
              <a:latin typeface="+mn-lt"/>
              <a:ea typeface="+mn-ea"/>
              <a:cs typeface="+mn-cs"/>
            </a:rPr>
            <a:t> VERKSAMHETSKOSTNADER</a:t>
          </a:r>
          <a:br>
            <a:rPr lang="fi-FI" sz="1100" b="1" baseline="0">
              <a:solidFill>
                <a:schemeClr val="tx2"/>
              </a:solidFill>
              <a:effectLst/>
              <a:latin typeface="+mn-lt"/>
              <a:ea typeface="+mn-ea"/>
              <a:cs typeface="+mn-cs"/>
            </a:rPr>
          </a:br>
          <a:r>
            <a:rPr lang="fi-FI" sz="1100" b="0" baseline="0">
              <a:solidFill>
                <a:schemeClr val="tx1"/>
              </a:solidFill>
              <a:effectLst/>
              <a:latin typeface="+mn-lt"/>
              <a:ea typeface="+mn-ea"/>
              <a:cs typeface="+mn-cs"/>
            </a:rPr>
            <a:t>Uträknande av verksamhetskostnaderna.</a:t>
          </a:r>
          <a:endParaRPr lang="fi-FI" b="0">
            <a:solidFill>
              <a:schemeClr val="tx1"/>
            </a:solidFill>
            <a:effectLst/>
          </a:endParaRPr>
        </a:p>
      </xdr:txBody>
    </xdr:sp>
    <xdr:clientData/>
  </xdr:twoCellAnchor>
  <xdr:twoCellAnchor>
    <xdr:from>
      <xdr:col>3</xdr:col>
      <xdr:colOff>65316</xdr:colOff>
      <xdr:row>12</xdr:row>
      <xdr:rowOff>31882</xdr:rowOff>
    </xdr:from>
    <xdr:to>
      <xdr:col>4</xdr:col>
      <xdr:colOff>2623373</xdr:colOff>
      <xdr:row>14</xdr:row>
      <xdr:rowOff>29257</xdr:rowOff>
    </xdr:to>
    <xdr:sp macro="" textlink="">
      <xdr:nvSpPr>
        <xdr:cNvPr id="34" name="Pyöristetty suorakulmio 33">
          <a:hlinkClick xmlns:r="http://schemas.openxmlformats.org/officeDocument/2006/relationships" r:id="rId8"/>
          <a:extLst>
            <a:ext uri="{FF2B5EF4-FFF2-40B4-BE49-F238E27FC236}">
              <a16:creationId xmlns:a16="http://schemas.microsoft.com/office/drawing/2014/main" id="{00000000-0008-0000-0000-000022000000}"/>
            </a:ext>
          </a:extLst>
        </xdr:cNvPr>
        <xdr:cNvSpPr/>
      </xdr:nvSpPr>
      <xdr:spPr>
        <a:xfrm>
          <a:off x="778330" y="2502939"/>
          <a:ext cx="5040000" cy="536218"/>
        </a:xfrm>
        <a:prstGeom prst="roundRect">
          <a:avLst/>
        </a:prstGeom>
        <a:solidFill>
          <a:schemeClr val="accent1">
            <a:lumMod val="20000"/>
            <a:lumOff val="80000"/>
            <a:alpha val="70000"/>
          </a:schemeClr>
        </a:solidFill>
        <a:ln>
          <a:noFill/>
        </a:ln>
        <a:effectLst/>
        <a:scene3d>
          <a:camera prst="orthographicFront">
            <a:rot lat="0" lon="0" rev="0"/>
          </a:camera>
          <a:lightRig rig="soft" dir="t">
            <a:rot lat="0" lon="0" rev="0"/>
          </a:lightRig>
        </a:scene3d>
        <a:sp3d prstMaterial="matte">
          <a:bevelT w="12700" h="127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i-FI" sz="1100" b="1">
              <a:solidFill>
                <a:schemeClr val="tx2"/>
              </a:solidFill>
            </a:rPr>
            <a:t>E2 OMSÄTTNING</a:t>
          </a:r>
          <a:br>
            <a:rPr lang="fi-FI" sz="1100" b="1">
              <a:solidFill>
                <a:schemeClr val="tx2"/>
              </a:solidFill>
            </a:rPr>
          </a:br>
          <a:r>
            <a:rPr lang="fi-FI" sz="1100" b="0">
              <a:solidFill>
                <a:schemeClr val="tx1"/>
              </a:solidFill>
            </a:rPr>
            <a:t>Utgörande av försäljningsprognosen.</a:t>
          </a:r>
        </a:p>
      </xdr:txBody>
    </xdr:sp>
    <xdr:clientData/>
  </xdr:twoCellAnchor>
  <xdr:twoCellAnchor>
    <xdr:from>
      <xdr:col>3</xdr:col>
      <xdr:colOff>70758</xdr:colOff>
      <xdr:row>15</xdr:row>
      <xdr:rowOff>106769</xdr:rowOff>
    </xdr:from>
    <xdr:to>
      <xdr:col>4</xdr:col>
      <xdr:colOff>2628815</xdr:colOff>
      <xdr:row>18</xdr:row>
      <xdr:rowOff>140107</xdr:rowOff>
    </xdr:to>
    <xdr:sp macro="" textlink="">
      <xdr:nvSpPr>
        <xdr:cNvPr id="30" name="Pyöristetty suorakulmio 29">
          <a:hlinkClick xmlns:r="http://schemas.openxmlformats.org/officeDocument/2006/relationships" r:id="rId9"/>
          <a:extLst>
            <a:ext uri="{FF2B5EF4-FFF2-40B4-BE49-F238E27FC236}">
              <a16:creationId xmlns:a16="http://schemas.microsoft.com/office/drawing/2014/main" id="{00000000-0008-0000-0000-00001E000000}"/>
            </a:ext>
          </a:extLst>
        </xdr:cNvPr>
        <xdr:cNvSpPr/>
      </xdr:nvSpPr>
      <xdr:spPr>
        <a:xfrm>
          <a:off x="783772" y="3829683"/>
          <a:ext cx="5040000" cy="730024"/>
        </a:xfrm>
        <a:prstGeom prst="roundRect">
          <a:avLst/>
        </a:prstGeom>
        <a:solidFill>
          <a:schemeClr val="accent1">
            <a:lumMod val="20000"/>
            <a:lumOff val="80000"/>
            <a:alpha val="70000"/>
          </a:schemeClr>
        </a:solidFill>
        <a:ln>
          <a:noFill/>
        </a:ln>
        <a:effectLst/>
        <a:scene3d>
          <a:camera prst="orthographicFront">
            <a:rot lat="0" lon="0" rev="0"/>
          </a:camera>
          <a:lightRig rig="soft" dir="t">
            <a:rot lat="0" lon="0" rev="0"/>
          </a:lightRig>
        </a:scene3d>
        <a:sp3d prstMaterial="matte">
          <a:bevelT w="12700" h="127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i-FI" sz="1100" b="1" baseline="0">
              <a:solidFill>
                <a:schemeClr val="tx2"/>
              </a:solidFill>
            </a:rPr>
            <a:t>T3 BALANS</a:t>
          </a:r>
          <a:br>
            <a:rPr lang="fi-FI" sz="1100" b="1" baseline="0">
              <a:solidFill>
                <a:schemeClr val="tx2"/>
              </a:solidFill>
            </a:rPr>
          </a:br>
          <a:r>
            <a:rPr lang="fi-FI" sz="1100" b="0" baseline="0">
              <a:solidFill>
                <a:schemeClr val="tx1"/>
              </a:solidFill>
            </a:rPr>
            <a:t>Kontrollera punkterna i ifyllnadsdirektivet och att</a:t>
          </a:r>
          <a:br>
            <a:rPr lang="fi-FI" sz="1100" b="0" baseline="0">
              <a:solidFill>
                <a:schemeClr val="tx1"/>
              </a:solidFill>
            </a:rPr>
          </a:br>
          <a:r>
            <a:rPr lang="fi-FI" sz="1100" b="0" baseline="0">
              <a:solidFill>
                <a:schemeClr val="tx1"/>
              </a:solidFill>
            </a:rPr>
            <a:t> balansens AKTIVA och PASSIVA stämmer.</a:t>
          </a:r>
          <a:endParaRPr lang="fi-FI" sz="1100" b="0">
            <a:solidFill>
              <a:schemeClr val="tx1"/>
            </a:solidFill>
          </a:endParaRPr>
        </a:p>
      </xdr:txBody>
    </xdr:sp>
    <xdr:clientData/>
  </xdr:twoCellAnchor>
  <xdr:twoCellAnchor>
    <xdr:from>
      <xdr:col>3</xdr:col>
      <xdr:colOff>57689</xdr:colOff>
      <xdr:row>23</xdr:row>
      <xdr:rowOff>34489</xdr:rowOff>
    </xdr:from>
    <xdr:to>
      <xdr:col>4</xdr:col>
      <xdr:colOff>2615746</xdr:colOff>
      <xdr:row>27</xdr:row>
      <xdr:rowOff>102007</xdr:rowOff>
    </xdr:to>
    <xdr:sp macro="" textlink="">
      <xdr:nvSpPr>
        <xdr:cNvPr id="32" name="Pyöristetty suorakulmio 46">
          <a:hlinkClick xmlns:r="http://schemas.openxmlformats.org/officeDocument/2006/relationships" r:id="rId10"/>
          <a:extLst>
            <a:ext uri="{FF2B5EF4-FFF2-40B4-BE49-F238E27FC236}">
              <a16:creationId xmlns:a16="http://schemas.microsoft.com/office/drawing/2014/main" id="{137247DE-0D33-44D3-B096-5EF8BFB1CB02}"/>
            </a:ext>
          </a:extLst>
        </xdr:cNvPr>
        <xdr:cNvSpPr/>
      </xdr:nvSpPr>
      <xdr:spPr>
        <a:xfrm>
          <a:off x="770703" y="5999860"/>
          <a:ext cx="5040000" cy="698890"/>
        </a:xfrm>
        <a:prstGeom prst="roundRect">
          <a:avLst/>
        </a:prstGeom>
        <a:solidFill>
          <a:schemeClr val="accent1">
            <a:lumMod val="20000"/>
            <a:lumOff val="80000"/>
            <a:alpha val="70000"/>
          </a:schemeClr>
        </a:solidFill>
        <a:ln>
          <a:noFill/>
        </a:ln>
        <a:effectLst/>
        <a:scene3d>
          <a:camera prst="orthographicFront">
            <a:rot lat="0" lon="0" rev="0"/>
          </a:camera>
          <a:lightRig rig="soft" dir="t">
            <a:rot lat="0" lon="0" rev="0"/>
          </a:lightRig>
        </a:scene3d>
        <a:sp3d prstMaterial="matte">
          <a:bevelT w="12700" h="127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i-FI" sz="1100" b="1">
              <a:solidFill>
                <a:schemeClr val="tx2"/>
              </a:solidFill>
            </a:rPr>
            <a:t>UTSKRIVNING</a:t>
          </a:r>
          <a:br>
            <a:rPr lang="fi-FI" sz="1100" b="1">
              <a:solidFill>
                <a:schemeClr val="tx2"/>
              </a:solidFill>
            </a:rPr>
          </a:br>
          <a:r>
            <a:rPr lang="fi-FI" sz="1100" b="0">
              <a:solidFill>
                <a:schemeClr val="tx1"/>
              </a:solidFill>
            </a:rPr>
            <a:t>Till slut utskrivas sammandrag av resultatplan.</a:t>
          </a:r>
        </a:p>
        <a:p>
          <a:pPr algn="ctr"/>
          <a:r>
            <a:rPr lang="fi-FI" sz="1100" b="0">
              <a:solidFill>
                <a:schemeClr val="tx1"/>
              </a:solidFill>
            </a:rPr>
            <a:t>Spara till din dator denna sidan i PDF-form.</a:t>
          </a:r>
        </a:p>
      </xdr:txBody>
    </xdr:sp>
    <xdr:clientData/>
  </xdr:twoCellAnchor>
  <xdr:twoCellAnchor editAs="oneCell">
    <xdr:from>
      <xdr:col>1</xdr:col>
      <xdr:colOff>133350</xdr:colOff>
      <xdr:row>6</xdr:row>
      <xdr:rowOff>83683</xdr:rowOff>
    </xdr:from>
    <xdr:to>
      <xdr:col>3</xdr:col>
      <xdr:colOff>11382</xdr:colOff>
      <xdr:row>6</xdr:row>
      <xdr:rowOff>479683</xdr:rowOff>
    </xdr:to>
    <xdr:pic>
      <xdr:nvPicPr>
        <xdr:cNvPr id="48" name="Kuva 47">
          <a:hlinkClick xmlns:r="http://schemas.openxmlformats.org/officeDocument/2006/relationships" r:id="rId2"/>
          <a:extLst>
            <a:ext uri="{FF2B5EF4-FFF2-40B4-BE49-F238E27FC236}">
              <a16:creationId xmlns:a16="http://schemas.microsoft.com/office/drawing/2014/main" id="{67BF69B8-780A-4066-8825-9A6BC86B22D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7521" y="813026"/>
          <a:ext cx="416875" cy="396000"/>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142876</xdr:colOff>
      <xdr:row>8</xdr:row>
      <xdr:rowOff>4762</xdr:rowOff>
    </xdr:from>
    <xdr:to>
      <xdr:col>2</xdr:col>
      <xdr:colOff>173341</xdr:colOff>
      <xdr:row>9</xdr:row>
      <xdr:rowOff>18258</xdr:rowOff>
    </xdr:to>
    <xdr:pic>
      <xdr:nvPicPr>
        <xdr:cNvPr id="49" name="Kuva 48">
          <a:hlinkClick xmlns:r="http://schemas.openxmlformats.org/officeDocument/2006/relationships" r:id="rId3"/>
          <a:extLst>
            <a:ext uri="{FF2B5EF4-FFF2-40B4-BE49-F238E27FC236}">
              <a16:creationId xmlns:a16="http://schemas.microsoft.com/office/drawing/2014/main" id="{5E58510A-9042-4DA5-857C-8A9102FFF9E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19089" y="1414462"/>
          <a:ext cx="406702" cy="394496"/>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123826</xdr:colOff>
      <xdr:row>10</xdr:row>
      <xdr:rowOff>57150</xdr:rowOff>
    </xdr:from>
    <xdr:to>
      <xdr:col>2</xdr:col>
      <xdr:colOff>154292</xdr:colOff>
      <xdr:row>11</xdr:row>
      <xdr:rowOff>70646</xdr:rowOff>
    </xdr:to>
    <xdr:pic>
      <xdr:nvPicPr>
        <xdr:cNvPr id="50" name="Kuva 49">
          <a:hlinkClick xmlns:r="http://schemas.openxmlformats.org/officeDocument/2006/relationships" r:id="rId7"/>
          <a:extLst>
            <a:ext uri="{FF2B5EF4-FFF2-40B4-BE49-F238E27FC236}">
              <a16:creationId xmlns:a16="http://schemas.microsoft.com/office/drawing/2014/main" id="{7FB850CA-E2BA-4EBB-A777-12F8954FCAB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00039" y="2009775"/>
          <a:ext cx="406703" cy="394496"/>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138112</xdr:colOff>
      <xdr:row>12</xdr:row>
      <xdr:rowOff>100013</xdr:rowOff>
    </xdr:from>
    <xdr:to>
      <xdr:col>2</xdr:col>
      <xdr:colOff>168577</xdr:colOff>
      <xdr:row>13</xdr:row>
      <xdr:rowOff>113509</xdr:rowOff>
    </xdr:to>
    <xdr:pic>
      <xdr:nvPicPr>
        <xdr:cNvPr id="52" name="Kuva 51">
          <a:hlinkClick xmlns:r="http://schemas.openxmlformats.org/officeDocument/2006/relationships" r:id="rId8"/>
          <a:extLst>
            <a:ext uri="{FF2B5EF4-FFF2-40B4-BE49-F238E27FC236}">
              <a16:creationId xmlns:a16="http://schemas.microsoft.com/office/drawing/2014/main" id="{02400FCD-EF48-489C-B987-D5ADBD51FEB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14325" y="2595563"/>
          <a:ext cx="406702" cy="394496"/>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133350</xdr:colOff>
      <xdr:row>14</xdr:row>
      <xdr:rowOff>242888</xdr:rowOff>
    </xdr:from>
    <xdr:to>
      <xdr:col>2</xdr:col>
      <xdr:colOff>163815</xdr:colOff>
      <xdr:row>14</xdr:row>
      <xdr:rowOff>638888</xdr:rowOff>
    </xdr:to>
    <xdr:pic>
      <xdr:nvPicPr>
        <xdr:cNvPr id="53" name="Kuva 52">
          <a:hlinkClick xmlns:r="http://schemas.openxmlformats.org/officeDocument/2006/relationships" r:id="rId4"/>
          <a:extLst>
            <a:ext uri="{FF2B5EF4-FFF2-40B4-BE49-F238E27FC236}">
              <a16:creationId xmlns:a16="http://schemas.microsoft.com/office/drawing/2014/main" id="{12F252F4-4B7D-461C-89B6-18913C435A3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07521" y="3252788"/>
          <a:ext cx="389694" cy="396000"/>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142876</xdr:colOff>
      <xdr:row>16</xdr:row>
      <xdr:rowOff>104775</xdr:rowOff>
    </xdr:from>
    <xdr:to>
      <xdr:col>2</xdr:col>
      <xdr:colOff>173341</xdr:colOff>
      <xdr:row>17</xdr:row>
      <xdr:rowOff>121278</xdr:rowOff>
    </xdr:to>
    <xdr:pic>
      <xdr:nvPicPr>
        <xdr:cNvPr id="54" name="Kuva 53">
          <a:hlinkClick xmlns:r="http://schemas.openxmlformats.org/officeDocument/2006/relationships" r:id="rId9"/>
          <a:extLst>
            <a:ext uri="{FF2B5EF4-FFF2-40B4-BE49-F238E27FC236}">
              <a16:creationId xmlns:a16="http://schemas.microsoft.com/office/drawing/2014/main" id="{EF9A86C6-22DA-4845-AA40-B98B794FC41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19089" y="4019550"/>
          <a:ext cx="406702" cy="397503"/>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138114</xdr:colOff>
      <xdr:row>18</xdr:row>
      <xdr:rowOff>261938</xdr:rowOff>
    </xdr:from>
    <xdr:to>
      <xdr:col>2</xdr:col>
      <xdr:colOff>168579</xdr:colOff>
      <xdr:row>20</xdr:row>
      <xdr:rowOff>115745</xdr:rowOff>
    </xdr:to>
    <xdr:pic>
      <xdr:nvPicPr>
        <xdr:cNvPr id="56" name="Kuva 55">
          <a:hlinkClick xmlns:r="http://schemas.openxmlformats.org/officeDocument/2006/relationships" r:id="rId6"/>
          <a:extLst>
            <a:ext uri="{FF2B5EF4-FFF2-40B4-BE49-F238E27FC236}">
              <a16:creationId xmlns:a16="http://schemas.microsoft.com/office/drawing/2014/main" id="{55ED80DD-2AD5-47CE-95CE-F7F4C82FD07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14327" y="4719638"/>
          <a:ext cx="406702" cy="396732"/>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131215</xdr:colOff>
      <xdr:row>20</xdr:row>
      <xdr:rowOff>400543</xdr:rowOff>
    </xdr:from>
    <xdr:to>
      <xdr:col>2</xdr:col>
      <xdr:colOff>161681</xdr:colOff>
      <xdr:row>22</xdr:row>
      <xdr:rowOff>200020</xdr:rowOff>
    </xdr:to>
    <xdr:pic>
      <xdr:nvPicPr>
        <xdr:cNvPr id="57" name="Kuva 56">
          <a:hlinkClick xmlns:r="http://schemas.openxmlformats.org/officeDocument/2006/relationships" r:id="rId5"/>
          <a:extLst>
            <a:ext uri="{FF2B5EF4-FFF2-40B4-BE49-F238E27FC236}">
              <a16:creationId xmlns:a16="http://schemas.microsoft.com/office/drawing/2014/main" id="{672D5C4C-8A69-4079-B449-8601314E06C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08577" y="5392957"/>
          <a:ext cx="408182" cy="384115"/>
        </a:xfrm>
        <a:prstGeom prst="rect">
          <a:avLst/>
        </a:prstGeom>
      </xdr:spPr>
    </xdr:pic>
    <xdr:clientData/>
  </xdr:twoCellAnchor>
  <xdr:twoCellAnchor editAs="oneCell">
    <xdr:from>
      <xdr:col>1</xdr:col>
      <xdr:colOff>161925</xdr:colOff>
      <xdr:row>23</xdr:row>
      <xdr:rowOff>123825</xdr:rowOff>
    </xdr:from>
    <xdr:to>
      <xdr:col>2</xdr:col>
      <xdr:colOff>147638</xdr:colOff>
      <xdr:row>26</xdr:row>
      <xdr:rowOff>1</xdr:rowOff>
    </xdr:to>
    <xdr:pic>
      <xdr:nvPicPr>
        <xdr:cNvPr id="58" name="Kuva 57" descr="Tulostin">
          <a:hlinkClick xmlns:r="http://schemas.openxmlformats.org/officeDocument/2006/relationships" r:id="rId10"/>
          <a:extLst>
            <a:ext uri="{FF2B5EF4-FFF2-40B4-BE49-F238E27FC236}">
              <a16:creationId xmlns:a16="http://schemas.microsoft.com/office/drawing/2014/main" id="{4323B73B-CD3E-4352-AAFD-50015605A10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38138" y="6134100"/>
          <a:ext cx="361950" cy="361951"/>
        </a:xfrm>
        <a:prstGeom prst="rect">
          <a:avLst/>
        </a:prstGeom>
      </xdr:spPr>
    </xdr:pic>
    <xdr:clientData/>
  </xdr:twoCellAnchor>
  <xdr:twoCellAnchor editAs="oneCell">
    <xdr:from>
      <xdr:col>1</xdr:col>
      <xdr:colOff>61912</xdr:colOff>
      <xdr:row>0</xdr:row>
      <xdr:rowOff>90488</xdr:rowOff>
    </xdr:from>
    <xdr:to>
      <xdr:col>8</xdr:col>
      <xdr:colOff>357187</xdr:colOff>
      <xdr:row>5</xdr:row>
      <xdr:rowOff>55156</xdr:rowOff>
    </xdr:to>
    <xdr:pic>
      <xdr:nvPicPr>
        <xdr:cNvPr id="6" name="Kuva 5">
          <a:extLst>
            <a:ext uri="{FF2B5EF4-FFF2-40B4-BE49-F238E27FC236}">
              <a16:creationId xmlns:a16="http://schemas.microsoft.com/office/drawing/2014/main" id="{A4D5AB70-8349-4E02-A893-89BA009870D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38125" y="90488"/>
          <a:ext cx="9291637" cy="545693"/>
        </a:xfrm>
        <a:prstGeom prst="rect">
          <a:avLst/>
        </a:prstGeom>
      </xdr:spPr>
    </xdr:pic>
    <xdr:clientData/>
  </xdr:twoCellAnchor>
  <xdr:twoCellAnchor>
    <xdr:from>
      <xdr:col>3</xdr:col>
      <xdr:colOff>476250</xdr:colOff>
      <xdr:row>2</xdr:row>
      <xdr:rowOff>47625</xdr:rowOff>
    </xdr:from>
    <xdr:to>
      <xdr:col>5</xdr:col>
      <xdr:colOff>23811</xdr:colOff>
      <xdr:row>4</xdr:row>
      <xdr:rowOff>266701</xdr:rowOff>
    </xdr:to>
    <xdr:sp macro="" textlink="">
      <xdr:nvSpPr>
        <xdr:cNvPr id="7" name="Tekstiruutu 6">
          <a:extLst>
            <a:ext uri="{FF2B5EF4-FFF2-40B4-BE49-F238E27FC236}">
              <a16:creationId xmlns:a16="http://schemas.microsoft.com/office/drawing/2014/main" id="{DA10E151-F202-4C70-A197-A49FBF8E8AAA}"/>
            </a:ext>
          </a:extLst>
        </xdr:cNvPr>
        <xdr:cNvSpPr txBox="1"/>
      </xdr:nvSpPr>
      <xdr:spPr>
        <a:xfrm>
          <a:off x="1209675" y="209550"/>
          <a:ext cx="5219699" cy="285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400" b="1">
              <a:solidFill>
                <a:schemeClr val="bg1"/>
              </a:solidFill>
              <a:latin typeface="Verdana" panose="020B0604030504040204" pitchFamily="34" charset="0"/>
              <a:ea typeface="Verdana" panose="020B0604030504040204" pitchFamily="34" charset="0"/>
            </a:rPr>
            <a:t>FT6 DET NYA FÖRETAGETS RESULTATPLAN </a:t>
          </a:r>
        </a:p>
      </xdr:txBody>
    </xdr:sp>
    <xdr:clientData/>
  </xdr:twoCellAnchor>
  <xdr:twoCellAnchor editAs="oneCell">
    <xdr:from>
      <xdr:col>6</xdr:col>
      <xdr:colOff>728663</xdr:colOff>
      <xdr:row>1</xdr:row>
      <xdr:rowOff>33338</xdr:rowOff>
    </xdr:from>
    <xdr:to>
      <xdr:col>6</xdr:col>
      <xdr:colOff>1917958</xdr:colOff>
      <xdr:row>4</xdr:row>
      <xdr:rowOff>333375</xdr:rowOff>
    </xdr:to>
    <xdr:pic>
      <xdr:nvPicPr>
        <xdr:cNvPr id="9" name="Kuva 8">
          <a:extLst>
            <a:ext uri="{FF2B5EF4-FFF2-40B4-BE49-F238E27FC236}">
              <a16:creationId xmlns:a16="http://schemas.microsoft.com/office/drawing/2014/main" id="{DF9B1532-0F94-4A90-9B23-B251E0BD2A1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158038" y="128588"/>
          <a:ext cx="1189295" cy="433387"/>
        </a:xfrm>
        <a:prstGeom prst="rect">
          <a:avLst/>
        </a:prstGeom>
      </xdr:spPr>
    </xdr:pic>
    <xdr:clientData/>
  </xdr:twoCellAnchor>
  <xdr:twoCellAnchor>
    <xdr:from>
      <xdr:col>6</xdr:col>
      <xdr:colOff>762000</xdr:colOff>
      <xdr:row>6</xdr:row>
      <xdr:rowOff>228600</xdr:rowOff>
    </xdr:from>
    <xdr:to>
      <xdr:col>7</xdr:col>
      <xdr:colOff>239485</xdr:colOff>
      <xdr:row>6</xdr:row>
      <xdr:rowOff>511628</xdr:rowOff>
    </xdr:to>
    <xdr:sp macro="" textlink="">
      <xdr:nvSpPr>
        <xdr:cNvPr id="10" name="TextBox 9">
          <a:extLst>
            <a:ext uri="{FF2B5EF4-FFF2-40B4-BE49-F238E27FC236}">
              <a16:creationId xmlns:a16="http://schemas.microsoft.com/office/drawing/2014/main" id="{726509FA-4283-4570-8DCD-71D3E8F2C994}"/>
            </a:ext>
          </a:extLst>
        </xdr:cNvPr>
        <xdr:cNvSpPr txBox="1"/>
      </xdr:nvSpPr>
      <xdr:spPr>
        <a:xfrm>
          <a:off x="7108371" y="957943"/>
          <a:ext cx="1551214" cy="283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900" b="1">
              <a:solidFill>
                <a:schemeClr val="dk1"/>
              </a:solidFill>
            </a:rPr>
            <a:t>Tjänsten erbjuds av</a:t>
          </a:r>
        </a:p>
      </xdr:txBody>
    </xdr:sp>
    <xdr:clientData/>
  </xdr:twoCellAnchor>
  <xdr:twoCellAnchor editAs="oneCell">
    <xdr:from>
      <xdr:col>6</xdr:col>
      <xdr:colOff>587829</xdr:colOff>
      <xdr:row>6</xdr:row>
      <xdr:rowOff>500742</xdr:rowOff>
    </xdr:from>
    <xdr:to>
      <xdr:col>7</xdr:col>
      <xdr:colOff>315468</xdr:colOff>
      <xdr:row>10</xdr:row>
      <xdr:rowOff>334191</xdr:rowOff>
    </xdr:to>
    <xdr:pic>
      <xdr:nvPicPr>
        <xdr:cNvPr id="4" name="Kuva 3">
          <a:extLst>
            <a:ext uri="{FF2B5EF4-FFF2-40B4-BE49-F238E27FC236}">
              <a16:creationId xmlns:a16="http://schemas.microsoft.com/office/drawing/2014/main" id="{99A1B583-8F70-BC56-2F9B-9A408F5FD2C2}"/>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934200" y="1230085"/>
          <a:ext cx="1801368" cy="10363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22858</xdr:colOff>
      <xdr:row>274</xdr:row>
      <xdr:rowOff>34290</xdr:rowOff>
    </xdr:from>
    <xdr:to>
      <xdr:col>17</xdr:col>
      <xdr:colOff>167640</xdr:colOff>
      <xdr:row>296</xdr:row>
      <xdr:rowOff>0</xdr:rowOff>
    </xdr:to>
    <xdr:graphicFrame macro="">
      <xdr:nvGraphicFramePr>
        <xdr:cNvPr id="11" name="Kaavio 10">
          <a:extLst>
            <a:ext uri="{FF2B5EF4-FFF2-40B4-BE49-F238E27FC236}">
              <a16:creationId xmlns:a16="http://schemas.microsoft.com/office/drawing/2014/main" id="{70607819-A0D0-412E-A0E3-A69B26578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17145</xdr:colOff>
      <xdr:row>296</xdr:row>
      <xdr:rowOff>102870</xdr:rowOff>
    </xdr:from>
    <xdr:to>
      <xdr:col>17</xdr:col>
      <xdr:colOff>158115</xdr:colOff>
      <xdr:row>317</xdr:row>
      <xdr:rowOff>53340</xdr:rowOff>
    </xdr:to>
    <xdr:graphicFrame macro="">
      <xdr:nvGraphicFramePr>
        <xdr:cNvPr id="12" name="Kaavio 11">
          <a:extLst>
            <a:ext uri="{FF2B5EF4-FFF2-40B4-BE49-F238E27FC236}">
              <a16:creationId xmlns:a16="http://schemas.microsoft.com/office/drawing/2014/main" id="{1B7AFD0A-97C0-42BD-BE19-8A395E832D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19050</xdr:colOff>
      <xdr:row>252</xdr:row>
      <xdr:rowOff>53340</xdr:rowOff>
    </xdr:from>
    <xdr:to>
      <xdr:col>17</xdr:col>
      <xdr:colOff>171450</xdr:colOff>
      <xdr:row>273</xdr:row>
      <xdr:rowOff>95250</xdr:rowOff>
    </xdr:to>
    <xdr:graphicFrame macro="">
      <xdr:nvGraphicFramePr>
        <xdr:cNvPr id="8" name="Kaavio 7">
          <a:extLst>
            <a:ext uri="{FF2B5EF4-FFF2-40B4-BE49-F238E27FC236}">
              <a16:creationId xmlns:a16="http://schemas.microsoft.com/office/drawing/2014/main" id="{B508192F-629C-4A6D-B28F-A6F52E7228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142875</xdr:colOff>
      <xdr:row>253</xdr:row>
      <xdr:rowOff>816</xdr:rowOff>
    </xdr:from>
    <xdr:to>
      <xdr:col>12</xdr:col>
      <xdr:colOff>114300</xdr:colOff>
      <xdr:row>254</xdr:row>
      <xdr:rowOff>142875</xdr:rowOff>
    </xdr:to>
    <xdr:sp macro="" textlink="">
      <xdr:nvSpPr>
        <xdr:cNvPr id="2" name="Tekstiruutu 1">
          <a:extLst>
            <a:ext uri="{FF2B5EF4-FFF2-40B4-BE49-F238E27FC236}">
              <a16:creationId xmlns:a16="http://schemas.microsoft.com/office/drawing/2014/main" id="{ECEB0046-5CA5-4D2A-8630-12F407BF31D4}"/>
            </a:ext>
          </a:extLst>
        </xdr:cNvPr>
        <xdr:cNvSpPr txBox="1"/>
      </xdr:nvSpPr>
      <xdr:spPr>
        <a:xfrm>
          <a:off x="3005818" y="37910316"/>
          <a:ext cx="3280682" cy="299902"/>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600" b="1"/>
            <a:t>Affärsverksamhetens</a:t>
          </a:r>
          <a:r>
            <a:rPr lang="fi-FI" sz="1600" b="1" baseline="0"/>
            <a:t> volym 1000 €</a:t>
          </a:r>
          <a:endParaRPr lang="fi-FI" sz="1600" b="1"/>
        </a:p>
      </xdr:txBody>
    </xdr:sp>
    <xdr:clientData/>
  </xdr:twoCellAnchor>
  <xdr:twoCellAnchor editAs="oneCell">
    <xdr:from>
      <xdr:col>15</xdr:col>
      <xdr:colOff>383043</xdr:colOff>
      <xdr:row>248</xdr:row>
      <xdr:rowOff>55793</xdr:rowOff>
    </xdr:from>
    <xdr:to>
      <xdr:col>17</xdr:col>
      <xdr:colOff>383728</xdr:colOff>
      <xdr:row>250</xdr:row>
      <xdr:rowOff>14658</xdr:rowOff>
    </xdr:to>
    <xdr:pic>
      <xdr:nvPicPr>
        <xdr:cNvPr id="14" name="Kuva 13">
          <a:extLst>
            <a:ext uri="{FF2B5EF4-FFF2-40B4-BE49-F238E27FC236}">
              <a16:creationId xmlns:a16="http://schemas.microsoft.com/office/drawing/2014/main" id="{FFBB5AC1-4AAC-4341-A9ED-2E9A601D1EC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96214" y="37176079"/>
          <a:ext cx="828000" cy="274551"/>
        </a:xfrm>
        <a:prstGeom prst="rect">
          <a:avLst/>
        </a:prstGeom>
      </xdr:spPr>
    </xdr:pic>
    <xdr:clientData/>
  </xdr:twoCellAnchor>
  <xdr:twoCellAnchor editAs="oneCell">
    <xdr:from>
      <xdr:col>15</xdr:col>
      <xdr:colOff>342901</xdr:colOff>
      <xdr:row>1</xdr:row>
      <xdr:rowOff>21773</xdr:rowOff>
    </xdr:from>
    <xdr:to>
      <xdr:col>18</xdr:col>
      <xdr:colOff>1929</xdr:colOff>
      <xdr:row>3</xdr:row>
      <xdr:rowOff>13817</xdr:rowOff>
    </xdr:to>
    <xdr:pic>
      <xdr:nvPicPr>
        <xdr:cNvPr id="5" name="Picture 4">
          <a:extLst>
            <a:ext uri="{FF2B5EF4-FFF2-40B4-BE49-F238E27FC236}">
              <a16:creationId xmlns:a16="http://schemas.microsoft.com/office/drawing/2014/main" id="{320D9288-C513-460F-A157-CA053958FD0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756072" y="179616"/>
          <a:ext cx="900000" cy="302287"/>
        </a:xfrm>
        <a:prstGeom prst="rect">
          <a:avLst/>
        </a:prstGeom>
      </xdr:spPr>
    </xdr:pic>
    <xdr:clientData/>
  </xdr:twoCellAnchor>
  <xdr:twoCellAnchor editAs="oneCell">
    <xdr:from>
      <xdr:col>15</xdr:col>
      <xdr:colOff>381001</xdr:colOff>
      <xdr:row>82</xdr:row>
      <xdr:rowOff>59876</xdr:rowOff>
    </xdr:from>
    <xdr:to>
      <xdr:col>17</xdr:col>
      <xdr:colOff>381686</xdr:colOff>
      <xdr:row>84</xdr:row>
      <xdr:rowOff>120266</xdr:rowOff>
    </xdr:to>
    <xdr:pic>
      <xdr:nvPicPr>
        <xdr:cNvPr id="9" name="Picture 8">
          <a:extLst>
            <a:ext uri="{FF2B5EF4-FFF2-40B4-BE49-F238E27FC236}">
              <a16:creationId xmlns:a16="http://schemas.microsoft.com/office/drawing/2014/main" id="{1F5BDC6A-90E7-481D-B89F-A1639D850CA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94172" y="12377062"/>
          <a:ext cx="828000" cy="278105"/>
        </a:xfrm>
        <a:prstGeom prst="rect">
          <a:avLst/>
        </a:prstGeom>
      </xdr:spPr>
    </xdr:pic>
    <xdr:clientData/>
  </xdr:twoCellAnchor>
  <xdr:twoCellAnchor editAs="oneCell">
    <xdr:from>
      <xdr:col>16</xdr:col>
      <xdr:colOff>21969</xdr:colOff>
      <xdr:row>164</xdr:row>
      <xdr:rowOff>32657</xdr:rowOff>
    </xdr:from>
    <xdr:to>
      <xdr:col>18</xdr:col>
      <xdr:colOff>22655</xdr:colOff>
      <xdr:row>166</xdr:row>
      <xdr:rowOff>60389</xdr:rowOff>
    </xdr:to>
    <xdr:pic>
      <xdr:nvPicPr>
        <xdr:cNvPr id="15" name="Picture 14">
          <a:extLst>
            <a:ext uri="{FF2B5EF4-FFF2-40B4-BE49-F238E27FC236}">
              <a16:creationId xmlns:a16="http://schemas.microsoft.com/office/drawing/2014/main" id="{FC3D2E5E-D07A-4895-B5CA-B3F803B1E28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848798" y="24705128"/>
          <a:ext cx="828000" cy="2781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504825</xdr:colOff>
      <xdr:row>5</xdr:row>
      <xdr:rowOff>152400</xdr:rowOff>
    </xdr:from>
    <xdr:to>
      <xdr:col>6</xdr:col>
      <xdr:colOff>333375</xdr:colOff>
      <xdr:row>22</xdr:row>
      <xdr:rowOff>142875</xdr:rowOff>
    </xdr:to>
    <xdr:graphicFrame macro="">
      <xdr:nvGraphicFramePr>
        <xdr:cNvPr id="4" name="Kaavio 3">
          <a:extLst>
            <a:ext uri="{FF2B5EF4-FFF2-40B4-BE49-F238E27FC236}">
              <a16:creationId xmlns:a16="http://schemas.microsoft.com/office/drawing/2014/main" id="{695C0891-A2F1-4335-B854-AA8EEEB91D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601027</xdr:colOff>
      <xdr:row>31</xdr:row>
      <xdr:rowOff>76200</xdr:rowOff>
    </xdr:from>
    <xdr:to>
      <xdr:col>6</xdr:col>
      <xdr:colOff>441007</xdr:colOff>
      <xdr:row>46</xdr:row>
      <xdr:rowOff>95250</xdr:rowOff>
    </xdr:to>
    <xdr:graphicFrame macro="">
      <xdr:nvGraphicFramePr>
        <xdr:cNvPr id="5" name="Kaavio 4">
          <a:extLst>
            <a:ext uri="{FF2B5EF4-FFF2-40B4-BE49-F238E27FC236}">
              <a16:creationId xmlns:a16="http://schemas.microsoft.com/office/drawing/2014/main" id="{ACA051F4-8E73-4AAC-8FA3-4EF8C164C9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52</xdr:row>
      <xdr:rowOff>95250</xdr:rowOff>
    </xdr:from>
    <xdr:to>
      <xdr:col>6</xdr:col>
      <xdr:colOff>457200</xdr:colOff>
      <xdr:row>69</xdr:row>
      <xdr:rowOff>85725</xdr:rowOff>
    </xdr:to>
    <xdr:graphicFrame macro="">
      <xdr:nvGraphicFramePr>
        <xdr:cNvPr id="6" name="Kaavio 5">
          <a:extLst>
            <a:ext uri="{FF2B5EF4-FFF2-40B4-BE49-F238E27FC236}">
              <a16:creationId xmlns:a16="http://schemas.microsoft.com/office/drawing/2014/main" id="{520CE664-D88B-4C85-A9A6-9E099C5147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174989</xdr:colOff>
      <xdr:row>15</xdr:row>
      <xdr:rowOff>63136</xdr:rowOff>
    </xdr:from>
    <xdr:to>
      <xdr:col>0</xdr:col>
      <xdr:colOff>581692</xdr:colOff>
      <xdr:row>17</xdr:row>
      <xdr:rowOff>121951</xdr:rowOff>
    </xdr:to>
    <xdr:pic>
      <xdr:nvPicPr>
        <xdr:cNvPr id="25" name="Kuva 24">
          <a:extLst>
            <a:ext uri="{FF2B5EF4-FFF2-40B4-BE49-F238E27FC236}">
              <a16:creationId xmlns:a16="http://schemas.microsoft.com/office/drawing/2014/main" id="{3DE7E753-92B2-4943-95A0-7822A2D1B9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989" y="2471056"/>
          <a:ext cx="406703" cy="394095"/>
        </a:xfrm>
        <a:prstGeom prst="rect">
          <a:avLst/>
        </a:prstGeom>
      </xdr:spPr>
    </xdr:pic>
    <xdr:clientData/>
  </xdr:twoCellAnchor>
  <xdr:twoCellAnchor editAs="oneCell">
    <xdr:from>
      <xdr:col>0</xdr:col>
      <xdr:colOff>165497</xdr:colOff>
      <xdr:row>17</xdr:row>
      <xdr:rowOff>144488</xdr:rowOff>
    </xdr:from>
    <xdr:to>
      <xdr:col>0</xdr:col>
      <xdr:colOff>572200</xdr:colOff>
      <xdr:row>20</xdr:row>
      <xdr:rowOff>29948</xdr:rowOff>
    </xdr:to>
    <xdr:pic>
      <xdr:nvPicPr>
        <xdr:cNvPr id="26" name="Kuva 25">
          <a:hlinkClick xmlns:r="http://schemas.openxmlformats.org/officeDocument/2006/relationships" r:id="rId2"/>
          <a:extLst>
            <a:ext uri="{FF2B5EF4-FFF2-40B4-BE49-F238E27FC236}">
              <a16:creationId xmlns:a16="http://schemas.microsoft.com/office/drawing/2014/main" id="{1BD034D8-FEF8-48EE-B8C4-C766CAE687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5497" y="2887688"/>
          <a:ext cx="406703" cy="388380"/>
        </a:xfrm>
        <a:prstGeom prst="rect">
          <a:avLst/>
        </a:prstGeom>
      </xdr:spPr>
    </xdr:pic>
    <xdr:clientData/>
  </xdr:twoCellAnchor>
  <xdr:twoCellAnchor editAs="oneCell">
    <xdr:from>
      <xdr:col>0</xdr:col>
      <xdr:colOff>160565</xdr:colOff>
      <xdr:row>20</xdr:row>
      <xdr:rowOff>58797</xdr:rowOff>
    </xdr:from>
    <xdr:to>
      <xdr:col>0</xdr:col>
      <xdr:colOff>555838</xdr:colOff>
      <xdr:row>22</xdr:row>
      <xdr:rowOff>111897</xdr:rowOff>
    </xdr:to>
    <xdr:pic>
      <xdr:nvPicPr>
        <xdr:cNvPr id="27" name="Kuva 26">
          <a:hlinkClick xmlns:r="http://schemas.openxmlformats.org/officeDocument/2006/relationships" r:id="rId4"/>
          <a:extLst>
            <a:ext uri="{FF2B5EF4-FFF2-40B4-BE49-F238E27FC236}">
              <a16:creationId xmlns:a16="http://schemas.microsoft.com/office/drawing/2014/main" id="{43793BC3-59FF-4A7A-9179-9B260B02C3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0565" y="7135872"/>
          <a:ext cx="406703" cy="396000"/>
        </a:xfrm>
        <a:prstGeom prst="rect">
          <a:avLst/>
        </a:prstGeom>
      </xdr:spPr>
    </xdr:pic>
    <xdr:clientData/>
  </xdr:twoCellAnchor>
  <xdr:twoCellAnchor editAs="oneCell">
    <xdr:from>
      <xdr:col>0</xdr:col>
      <xdr:colOff>162246</xdr:colOff>
      <xdr:row>32</xdr:row>
      <xdr:rowOff>57999</xdr:rowOff>
    </xdr:from>
    <xdr:to>
      <xdr:col>0</xdr:col>
      <xdr:colOff>568949</xdr:colOff>
      <xdr:row>34</xdr:row>
      <xdr:rowOff>114909</xdr:rowOff>
    </xdr:to>
    <xdr:pic>
      <xdr:nvPicPr>
        <xdr:cNvPr id="28" name="Kuva 27">
          <a:hlinkClick xmlns:r="http://schemas.openxmlformats.org/officeDocument/2006/relationships" r:id="rId6"/>
          <a:extLst>
            <a:ext uri="{FF2B5EF4-FFF2-40B4-BE49-F238E27FC236}">
              <a16:creationId xmlns:a16="http://schemas.microsoft.com/office/drawing/2014/main" id="{B82CD71D-ABC3-41F3-AAFD-283940EC25E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2246" y="9192474"/>
          <a:ext cx="406703" cy="396000"/>
        </a:xfrm>
        <a:prstGeom prst="rect">
          <a:avLst/>
        </a:prstGeom>
      </xdr:spPr>
    </xdr:pic>
    <xdr:clientData/>
  </xdr:twoCellAnchor>
  <xdr:twoCellAnchor editAs="oneCell">
    <xdr:from>
      <xdr:col>0</xdr:col>
      <xdr:colOff>163927</xdr:colOff>
      <xdr:row>29</xdr:row>
      <xdr:rowOff>162622</xdr:rowOff>
    </xdr:from>
    <xdr:to>
      <xdr:col>0</xdr:col>
      <xdr:colOff>570629</xdr:colOff>
      <xdr:row>32</xdr:row>
      <xdr:rowOff>41550</xdr:rowOff>
    </xdr:to>
    <xdr:pic>
      <xdr:nvPicPr>
        <xdr:cNvPr id="29" name="Kuva 28">
          <a:hlinkClick xmlns:r="http://schemas.openxmlformats.org/officeDocument/2006/relationships" r:id="rId8"/>
          <a:extLst>
            <a:ext uri="{FF2B5EF4-FFF2-40B4-BE49-F238E27FC236}">
              <a16:creationId xmlns:a16="http://schemas.microsoft.com/office/drawing/2014/main" id="{D1734D2D-B67C-4E49-BB61-FAC9A27430C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3927" y="8782747"/>
          <a:ext cx="406702" cy="393278"/>
        </a:xfrm>
        <a:prstGeom prst="rect">
          <a:avLst/>
        </a:prstGeom>
      </xdr:spPr>
    </xdr:pic>
    <xdr:clientData/>
  </xdr:twoCellAnchor>
  <xdr:twoCellAnchor editAs="oneCell">
    <xdr:from>
      <xdr:col>0</xdr:col>
      <xdr:colOff>163549</xdr:colOff>
      <xdr:row>25</xdr:row>
      <xdr:rowOff>22877</xdr:rowOff>
    </xdr:from>
    <xdr:to>
      <xdr:col>0</xdr:col>
      <xdr:colOff>570252</xdr:colOff>
      <xdr:row>27</xdr:row>
      <xdr:rowOff>75977</xdr:rowOff>
    </xdr:to>
    <xdr:pic>
      <xdr:nvPicPr>
        <xdr:cNvPr id="30" name="Kuva 29">
          <a:hlinkClick xmlns:r="http://schemas.openxmlformats.org/officeDocument/2006/relationships" r:id="rId10"/>
          <a:extLst>
            <a:ext uri="{FF2B5EF4-FFF2-40B4-BE49-F238E27FC236}">
              <a16:creationId xmlns:a16="http://schemas.microsoft.com/office/drawing/2014/main" id="{A8EB6FFC-680E-4087-9C9A-AE83345A20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3549" y="7957202"/>
          <a:ext cx="406703" cy="396000"/>
        </a:xfrm>
        <a:prstGeom prst="rect">
          <a:avLst/>
        </a:prstGeom>
      </xdr:spPr>
    </xdr:pic>
    <xdr:clientData/>
  </xdr:twoCellAnchor>
  <xdr:twoCellAnchor editAs="oneCell">
    <xdr:from>
      <xdr:col>0</xdr:col>
      <xdr:colOff>159544</xdr:colOff>
      <xdr:row>22</xdr:row>
      <xdr:rowOff>129193</xdr:rowOff>
    </xdr:from>
    <xdr:to>
      <xdr:col>0</xdr:col>
      <xdr:colOff>554817</xdr:colOff>
      <xdr:row>25</xdr:row>
      <xdr:rowOff>20368</xdr:rowOff>
    </xdr:to>
    <xdr:pic>
      <xdr:nvPicPr>
        <xdr:cNvPr id="31" name="Kuva 30">
          <a:hlinkClick xmlns:r="http://schemas.openxmlformats.org/officeDocument/2006/relationships" r:id="rId12"/>
          <a:extLst>
            <a:ext uri="{FF2B5EF4-FFF2-40B4-BE49-F238E27FC236}">
              <a16:creationId xmlns:a16="http://schemas.microsoft.com/office/drawing/2014/main" id="{49CDCD3B-5FEB-4160-979B-AD2BCD58572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9544" y="7549168"/>
          <a:ext cx="406703" cy="396000"/>
        </a:xfrm>
        <a:prstGeom prst="rect">
          <a:avLst/>
        </a:prstGeom>
      </xdr:spPr>
    </xdr:pic>
    <xdr:clientData/>
  </xdr:twoCellAnchor>
  <xdr:twoCellAnchor editAs="oneCell">
    <xdr:from>
      <xdr:col>0</xdr:col>
      <xdr:colOff>166687</xdr:colOff>
      <xdr:row>27</xdr:row>
      <xdr:rowOff>95249</xdr:rowOff>
    </xdr:from>
    <xdr:to>
      <xdr:col>0</xdr:col>
      <xdr:colOff>573390</xdr:colOff>
      <xdr:row>29</xdr:row>
      <xdr:rowOff>132633</xdr:rowOff>
    </xdr:to>
    <xdr:pic>
      <xdr:nvPicPr>
        <xdr:cNvPr id="32" name="Kuva 31">
          <a:hlinkClick xmlns:r="http://schemas.openxmlformats.org/officeDocument/2006/relationships" r:id="rId14"/>
          <a:extLst>
            <a:ext uri="{FF2B5EF4-FFF2-40B4-BE49-F238E27FC236}">
              <a16:creationId xmlns:a16="http://schemas.microsoft.com/office/drawing/2014/main" id="{5D62D5C7-4383-497E-8064-B655AC1BD62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6687" y="8372474"/>
          <a:ext cx="406703" cy="393619"/>
        </a:xfrm>
        <a:prstGeom prst="rect">
          <a:avLst/>
        </a:prstGeom>
      </xdr:spPr>
    </xdr:pic>
    <xdr:clientData/>
  </xdr:twoCellAnchor>
  <xdr:twoCellAnchor editAs="oneCell">
    <xdr:from>
      <xdr:col>0</xdr:col>
      <xdr:colOff>190500</xdr:colOff>
      <xdr:row>35</xdr:row>
      <xdr:rowOff>57150</xdr:rowOff>
    </xdr:from>
    <xdr:to>
      <xdr:col>0</xdr:col>
      <xdr:colOff>548640</xdr:colOff>
      <xdr:row>37</xdr:row>
      <xdr:rowOff>95251</xdr:rowOff>
    </xdr:to>
    <xdr:pic>
      <xdr:nvPicPr>
        <xdr:cNvPr id="33" name="Kuva 32" descr="Tulostin">
          <a:hlinkClick xmlns:r="http://schemas.openxmlformats.org/officeDocument/2006/relationships" r:id="rId16"/>
          <a:extLst>
            <a:ext uri="{FF2B5EF4-FFF2-40B4-BE49-F238E27FC236}">
              <a16:creationId xmlns:a16="http://schemas.microsoft.com/office/drawing/2014/main" id="{6866211B-4917-45CE-98EE-2E57068C201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90500" y="10220325"/>
          <a:ext cx="361950" cy="361951"/>
        </a:xfrm>
        <a:prstGeom prst="rect">
          <a:avLst/>
        </a:prstGeom>
      </xdr:spPr>
    </xdr:pic>
    <xdr:clientData/>
  </xdr:twoCellAnchor>
  <xdr:twoCellAnchor>
    <xdr:from>
      <xdr:col>9</xdr:col>
      <xdr:colOff>3538</xdr:colOff>
      <xdr:row>6</xdr:row>
      <xdr:rowOff>27760</xdr:rowOff>
    </xdr:from>
    <xdr:to>
      <xdr:col>17</xdr:col>
      <xdr:colOff>721723</xdr:colOff>
      <xdr:row>37</xdr:row>
      <xdr:rowOff>38373</xdr:rowOff>
    </xdr:to>
    <xdr:sp macro="" textlink="">
      <xdr:nvSpPr>
        <xdr:cNvPr id="13" name="AutoShape 189">
          <a:extLst>
            <a:ext uri="{FF2B5EF4-FFF2-40B4-BE49-F238E27FC236}">
              <a16:creationId xmlns:a16="http://schemas.microsoft.com/office/drawing/2014/main" id="{7D5D185B-D094-4A60-9718-2E941A6ED433}"/>
            </a:ext>
          </a:extLst>
        </xdr:cNvPr>
        <xdr:cNvSpPr>
          <a:spLocks noChangeArrowheads="1"/>
        </xdr:cNvSpPr>
      </xdr:nvSpPr>
      <xdr:spPr bwMode="auto">
        <a:xfrm>
          <a:off x="8175988" y="980260"/>
          <a:ext cx="6585585" cy="5230313"/>
        </a:xfrm>
        <a:prstGeom prst="foldedCorner">
          <a:avLst>
            <a:gd name="adj" fmla="val 12500"/>
          </a:avLst>
        </a:prstGeom>
        <a:solidFill>
          <a:srgbClr val="FFC000"/>
        </a:solidFill>
        <a:ln w="15875">
          <a:solidFill>
            <a:srgbClr val="FFC000"/>
          </a:solidFill>
          <a:round/>
          <a:headEnd/>
          <a:tailEnd/>
        </a:ln>
      </xdr:spPr>
      <xdr:txBody>
        <a:bodyPr vertOverflow="clip" wrap="square" lIns="72000" tIns="108000" rIns="36000" bIns="36000" anchor="t" anchorCtr="0" upright="1"/>
        <a:lstStyle/>
        <a:p>
          <a:pPr marL="0" marR="0" lvl="0" indent="0" defTabSz="914400" rtl="0" eaLnBrk="1" fontAlgn="auto" latinLnBrk="0" hangingPunct="1">
            <a:lnSpc>
              <a:spcPct val="100000"/>
            </a:lnSpc>
            <a:spcBef>
              <a:spcPts val="0"/>
            </a:spcBef>
            <a:spcAft>
              <a:spcPts val="0"/>
            </a:spcAft>
            <a:buClrTx/>
            <a:buSzTx/>
            <a:buFontTx/>
            <a:buNone/>
            <a:tabLst/>
            <a:defRPr/>
          </a:pPr>
          <a:r>
            <a:rPr lang="fi-FI" sz="1000" b="1" i="0">
              <a:effectLst/>
              <a:latin typeface="Arial" panose="020B0604020202020204" pitchFamily="34" charset="0"/>
              <a:ea typeface="+mn-ea"/>
              <a:cs typeface="Arial" panose="020B0604020202020204" pitchFamily="34" charset="0"/>
            </a:rPr>
            <a:t>IFYLLNADSDIREKTIV (</a:t>
          </a:r>
          <a:r>
            <a:rPr lang="fi-FI" sz="1100" b="1" i="0">
              <a:effectLst/>
              <a:latin typeface="+mn-lt"/>
              <a:ea typeface="+mn-ea"/>
              <a:cs typeface="+mn-cs"/>
            </a:rPr>
            <a:t>KAN</a:t>
          </a:r>
          <a:r>
            <a:rPr lang="fi-FI" sz="1100" b="1" i="0" baseline="0">
              <a:effectLst/>
              <a:latin typeface="+mn-lt"/>
              <a:ea typeface="+mn-ea"/>
              <a:cs typeface="+mn-cs"/>
            </a:rPr>
            <a:t> DRAGS BORT MED DATORMUS) </a:t>
          </a:r>
          <a:endParaRPr lang="fi-FI" sz="1000">
            <a:effectLst/>
          </a:endParaRPr>
        </a:p>
        <a:p>
          <a:pPr rtl="0"/>
          <a:endParaRPr lang="fi-FI" sz="1000">
            <a:effectLst/>
            <a:latin typeface="Arial" panose="020B0604020202020204" pitchFamily="34" charset="0"/>
            <a:cs typeface="Arial" panose="020B0604020202020204" pitchFamily="34" charset="0"/>
          </a:endParaRPr>
        </a:p>
        <a:p>
          <a:pPr algn="l" rtl="0">
            <a:lnSpc>
              <a:spcPts val="1300"/>
            </a:lnSpc>
            <a:defRPr sz="1000"/>
          </a:pPr>
          <a:r>
            <a:rPr lang="fi-FI" sz="1000" b="1" i="0" baseline="0">
              <a:effectLst/>
              <a:latin typeface="Arial" panose="020B0604020202020204" pitchFamily="34" charset="0"/>
              <a:ea typeface="+mn-ea"/>
              <a:cs typeface="Arial" panose="020B0604020202020204" pitchFamily="34" charset="0"/>
            </a:rPr>
            <a:t>FYLL I ALLA TABELLERNA EFTER NUMREN PÅ VÄNSTER! </a:t>
          </a:r>
          <a:endParaRPr lang="fi-FI" sz="1000" b="1" i="0" strike="noStrike" baseline="0">
            <a:solidFill>
              <a:srgbClr val="000000"/>
            </a:solidFill>
            <a:latin typeface="Arial" panose="020B0604020202020204" pitchFamily="34" charset="0"/>
            <a:cs typeface="Arial" panose="020B0604020202020204" pitchFamily="34" charset="0"/>
          </a:endParaRPr>
        </a:p>
        <a:p>
          <a:pPr rtl="0"/>
          <a:r>
            <a:rPr lang="fi-FI" sz="1000" b="1" i="0" strike="noStrike" baseline="0">
              <a:solidFill>
                <a:srgbClr val="000000"/>
              </a:solidFill>
              <a:latin typeface="Arial"/>
              <a:cs typeface="Arial"/>
            </a:rPr>
            <a:t>INVESTERINGAR SKRIVS MED MOMS!  </a:t>
          </a:r>
          <a:br>
            <a:rPr lang="fi-FI" sz="1000" b="1" i="0" strike="noStrike" baseline="0">
              <a:solidFill>
                <a:srgbClr val="000000"/>
              </a:solidFill>
              <a:latin typeface="Arial"/>
              <a:cs typeface="Arial"/>
            </a:rPr>
          </a:br>
          <a:r>
            <a:rPr lang="fi-FI" sz="1200" b="1" i="0" baseline="0">
              <a:solidFill>
                <a:srgbClr val="FF0000"/>
              </a:solidFill>
              <a:effectLst/>
              <a:latin typeface="Arial" panose="020B0604020202020204" pitchFamily="34" charset="0"/>
              <a:ea typeface="+mn-ea"/>
              <a:cs typeface="Arial" panose="020B0604020202020204" pitchFamily="34" charset="0"/>
            </a:rPr>
            <a:t>ANVÄND ENDAST HELT TAL!</a:t>
          </a:r>
          <a:endParaRPr lang="fi-FI" sz="1200">
            <a:solidFill>
              <a:srgbClr val="FF0000"/>
            </a:solidFill>
            <a:effectLst/>
            <a:latin typeface="Arial" panose="020B0604020202020204" pitchFamily="34" charset="0"/>
            <a:cs typeface="Arial" panose="020B0604020202020204" pitchFamily="34" charset="0"/>
          </a:endParaRPr>
        </a:p>
        <a:p>
          <a:pPr algn="l" rtl="0">
            <a:lnSpc>
              <a:spcPts val="1300"/>
            </a:lnSpc>
            <a:defRPr sz="1000"/>
          </a:pPr>
          <a:endParaRPr lang="fi-FI" sz="1000" b="1" i="0" strike="noStrike" baseline="0">
            <a:solidFill>
              <a:srgbClr val="000000"/>
            </a:solidFill>
            <a:latin typeface="Arial"/>
            <a:cs typeface="Arial"/>
          </a:endParaRPr>
        </a:p>
        <a:p>
          <a:pPr algn="l" rtl="0">
            <a:lnSpc>
              <a:spcPts val="1300"/>
            </a:lnSpc>
            <a:defRPr sz="1000"/>
          </a:pPr>
          <a:r>
            <a:rPr lang="fi-FI" sz="1000" b="1" i="0" strike="noStrike" baseline="0">
              <a:solidFill>
                <a:srgbClr val="000000"/>
              </a:solidFill>
              <a:latin typeface="Arial"/>
              <a:cs typeface="Arial"/>
            </a:rPr>
            <a:t>OM DET FINNS INTE INVESTERINGAR, GÅ VIDARE TILL SKEDE 2. RESULTATBUDGET.</a:t>
          </a:r>
          <a:br>
            <a:rPr lang="fi-FI" sz="1000" b="1" i="0" strike="noStrike" baseline="0">
              <a:solidFill>
                <a:srgbClr val="000000"/>
              </a:solidFill>
              <a:latin typeface="Arial"/>
              <a:cs typeface="Arial"/>
            </a:rPr>
          </a:br>
          <a:endParaRPr lang="fi-FI" sz="1000" b="1" i="0" strike="noStrike" baseline="0">
            <a:solidFill>
              <a:srgbClr val="000000"/>
            </a:solidFill>
            <a:latin typeface="Arial"/>
            <a:cs typeface="Arial"/>
          </a:endParaRPr>
        </a:p>
        <a:p>
          <a:pPr algn="l" rtl="0">
            <a:lnSpc>
              <a:spcPts val="1300"/>
            </a:lnSpc>
            <a:defRPr sz="1000"/>
          </a:pPr>
          <a:r>
            <a:rPr lang="fi-FI" sz="1000" b="1" i="0" strike="noStrike" baseline="0">
              <a:solidFill>
                <a:srgbClr val="000000"/>
              </a:solidFill>
              <a:latin typeface="Arial"/>
              <a:cs typeface="Arial"/>
            </a:rPr>
            <a:t>Punkt 1 - 7: Investeringarna beräknas enligt prisnivån då investeringen görs.</a:t>
          </a:r>
          <a:endParaRPr lang="fi-FI" sz="1000" b="0" i="0" strike="noStrike" baseline="0">
            <a:solidFill>
              <a:srgbClr val="000000"/>
            </a:solidFill>
            <a:latin typeface="Arial"/>
            <a:cs typeface="Arial"/>
          </a:endParaRPr>
        </a:p>
        <a:p>
          <a:pPr algn="l" rtl="0">
            <a:lnSpc>
              <a:spcPts val="1300"/>
            </a:lnSpc>
            <a:defRPr sz="1000"/>
          </a:pPr>
          <a:r>
            <a:rPr lang="fi-FI" sz="1000" b="1" i="0" baseline="0">
              <a:effectLst/>
              <a:latin typeface="Arial" panose="020B0604020202020204" pitchFamily="34" charset="0"/>
              <a:ea typeface="+mn-ea"/>
              <a:cs typeface="Arial" panose="020B0604020202020204" pitchFamily="34" charset="0"/>
            </a:rPr>
            <a:t>Punkt</a:t>
          </a:r>
          <a:r>
            <a:rPr lang="fi-FI" sz="1000" b="1" i="0" u="none" strike="noStrike">
              <a:effectLst/>
              <a:latin typeface="Arial" panose="020B0604020202020204" pitchFamily="34" charset="0"/>
              <a:ea typeface="+mn-ea"/>
              <a:cs typeface="Arial" panose="020B0604020202020204" pitchFamily="34" charset="0"/>
            </a:rPr>
            <a:t> 9: Med ökning av rörelsekapital avses det bestående behovet av rörelsekapital </a:t>
          </a:r>
          <a:br>
            <a:rPr lang="fi-FI" sz="1000" b="1" i="0" u="none" strike="noStrike">
              <a:effectLst/>
              <a:latin typeface="Arial" panose="020B0604020202020204" pitchFamily="34" charset="0"/>
              <a:ea typeface="+mn-ea"/>
              <a:cs typeface="Arial" panose="020B0604020202020204" pitchFamily="34" charset="0"/>
            </a:rPr>
          </a:br>
          <a:r>
            <a:rPr lang="fi-FI" sz="1000" b="1" i="0" u="none" strike="noStrike">
              <a:effectLst/>
              <a:latin typeface="Arial" panose="020B0604020202020204" pitchFamily="34" charset="0"/>
              <a:ea typeface="+mn-ea"/>
              <a:cs typeface="Arial" panose="020B0604020202020204" pitchFamily="34" charset="0"/>
            </a:rPr>
            <a:t>            som Investeringen framkallar. </a:t>
          </a:r>
          <a:br>
            <a:rPr lang="fi-FI" sz="1000" b="1" i="0" u="none" strike="noStrike">
              <a:effectLst/>
              <a:latin typeface="Arial" panose="020B0604020202020204" pitchFamily="34" charset="0"/>
              <a:ea typeface="+mn-ea"/>
              <a:cs typeface="Arial" panose="020B0604020202020204" pitchFamily="34" charset="0"/>
            </a:rPr>
          </a:br>
          <a:r>
            <a:rPr lang="fi-FI" sz="1000" b="1" i="0" u="none" strike="noStrike">
              <a:effectLst/>
              <a:latin typeface="Arial" panose="020B0604020202020204" pitchFamily="34" charset="0"/>
              <a:ea typeface="+mn-ea"/>
              <a:cs typeface="Arial" panose="020B0604020202020204" pitchFamily="34" charset="0"/>
            </a:rPr>
            <a:t>            Rörelsekapital = Omsättningstillgångar + kundfordringar - leverantörsskulder - erhållna förskott</a:t>
          </a:r>
        </a:p>
        <a:p>
          <a:pPr algn="l" rtl="0">
            <a:lnSpc>
              <a:spcPts val="1300"/>
            </a:lnSpc>
            <a:defRPr sz="1000"/>
          </a:pPr>
          <a:r>
            <a:rPr lang="fi-FI" sz="1000" b="1" i="0" baseline="0">
              <a:effectLst/>
              <a:latin typeface="Arial" panose="020B0604020202020204" pitchFamily="34" charset="0"/>
              <a:ea typeface="+mn-ea"/>
              <a:cs typeface="Arial" panose="020B0604020202020204" pitchFamily="34" charset="0"/>
            </a:rPr>
            <a:t>Punkt 10: Anskaffningspriset för omsättningstillgångar vid företagsförvärv, varulager i början</a:t>
          </a:r>
        </a:p>
        <a:p>
          <a:pPr algn="l" rtl="0">
            <a:lnSpc>
              <a:spcPts val="1300"/>
            </a:lnSpc>
            <a:defRPr sz="1000"/>
          </a:pPr>
          <a:r>
            <a:rPr lang="fi-FI" sz="1000" b="1" i="0" baseline="0">
              <a:effectLst/>
              <a:latin typeface="Arial" panose="020B0604020202020204" pitchFamily="34" charset="0"/>
              <a:ea typeface="+mn-ea"/>
              <a:cs typeface="Arial" panose="020B0604020202020204" pitchFamily="34" charset="0"/>
            </a:rPr>
            <a:t>Punkt</a:t>
          </a:r>
          <a:r>
            <a:rPr lang="fi-FI" sz="1000" b="1" i="0">
              <a:effectLst/>
              <a:latin typeface="Arial" panose="020B0604020202020204" pitchFamily="34" charset="0"/>
              <a:ea typeface="+mn-ea"/>
              <a:cs typeface="Arial" panose="020B0604020202020204" pitchFamily="34" charset="0"/>
            </a:rPr>
            <a:t> </a:t>
          </a:r>
          <a:r>
            <a:rPr lang="fi-FI" sz="1000" b="1" i="0" u="none" strike="noStrike">
              <a:effectLst/>
              <a:latin typeface="Arial" panose="020B0604020202020204" pitchFamily="34" charset="0"/>
              <a:ea typeface="+mn-ea"/>
              <a:cs typeface="Arial" panose="020B0604020202020204" pitchFamily="34" charset="0"/>
            </a:rPr>
            <a:t>12: Ökning av eget kapital</a:t>
          </a:r>
          <a:endParaRPr lang="fi-FI" sz="1000" b="1" i="0" strike="noStrike" baseline="0">
            <a:solidFill>
              <a:srgbClr val="000000"/>
            </a:solidFill>
            <a:latin typeface="Arial" panose="020B0604020202020204" pitchFamily="34" charset="0"/>
            <a:cs typeface="Arial" panose="020B0604020202020204" pitchFamily="34" charset="0"/>
          </a:endParaRPr>
        </a:p>
        <a:p>
          <a:pPr algn="l" rtl="0">
            <a:lnSpc>
              <a:spcPts val="1300"/>
            </a:lnSpc>
            <a:defRPr sz="1000"/>
          </a:pPr>
          <a:r>
            <a:rPr lang="fi-FI" sz="1000" b="1" i="0" baseline="0">
              <a:effectLst/>
              <a:latin typeface="Arial" panose="020B0604020202020204" pitchFamily="34" charset="0"/>
              <a:ea typeface="+mn-ea"/>
              <a:cs typeface="Arial" panose="020B0604020202020204" pitchFamily="34" charset="0"/>
            </a:rPr>
            <a:t>Punkt</a:t>
          </a:r>
          <a:r>
            <a:rPr lang="fi-FI" sz="1000" b="1" i="0">
              <a:effectLst/>
              <a:latin typeface="+mn-lt"/>
              <a:ea typeface="+mn-ea"/>
              <a:cs typeface="+mn-cs"/>
            </a:rPr>
            <a:t> </a:t>
          </a:r>
          <a:r>
            <a:rPr lang="fi-FI" sz="1000" b="1" i="0" u="none" strike="noStrike">
              <a:effectLst/>
              <a:latin typeface="Arial" panose="020B0604020202020204" pitchFamily="34" charset="0"/>
              <a:ea typeface="+mn-ea"/>
              <a:cs typeface="Arial" panose="020B0604020202020204" pitchFamily="34" charset="0"/>
            </a:rPr>
            <a:t>13: Internfinansiering som kan användas för den aktuella investeringen.</a:t>
          </a:r>
        </a:p>
        <a:p>
          <a:pPr algn="l" rtl="0">
            <a:lnSpc>
              <a:spcPts val="1300"/>
            </a:lnSpc>
            <a:defRPr sz="1000"/>
          </a:pPr>
          <a:r>
            <a:rPr lang="fi-FI" sz="1000" b="1" i="0" baseline="0">
              <a:effectLst/>
              <a:latin typeface="Arial" panose="020B0604020202020204" pitchFamily="34" charset="0"/>
              <a:ea typeface="+mn-ea"/>
              <a:cs typeface="Arial" panose="020B0604020202020204" pitchFamily="34" charset="0"/>
            </a:rPr>
            <a:t>Punkt</a:t>
          </a:r>
          <a:r>
            <a:rPr lang="fi-FI" sz="1000" b="1" i="0">
              <a:effectLst/>
              <a:latin typeface="Arial" panose="020B0604020202020204" pitchFamily="34" charset="0"/>
              <a:ea typeface="+mn-ea"/>
              <a:cs typeface="Arial" panose="020B0604020202020204" pitchFamily="34" charset="0"/>
            </a:rPr>
            <a:t> </a:t>
          </a:r>
          <a:r>
            <a:rPr lang="fi-FI" sz="1000" b="1" i="0" u="none" strike="noStrike">
              <a:effectLst/>
              <a:latin typeface="Arial" panose="020B0604020202020204" pitchFamily="34" charset="0"/>
              <a:ea typeface="+mn-ea"/>
              <a:cs typeface="Arial" panose="020B0604020202020204" pitchFamily="34" charset="0"/>
            </a:rPr>
            <a:t>14: Endast ökning av kapitallån.</a:t>
          </a:r>
          <a:r>
            <a:rPr lang="fi-FI" b="1">
              <a:latin typeface="Arial" panose="020B0604020202020204" pitchFamily="34" charset="0"/>
              <a:cs typeface="Arial" panose="020B0604020202020204" pitchFamily="34" charset="0"/>
            </a:rPr>
            <a:t> </a:t>
          </a:r>
          <a:endParaRPr lang="fi-FI" sz="1000" b="1" i="0" strike="noStrike" baseline="0">
            <a:solidFill>
              <a:srgbClr val="000000"/>
            </a:solidFill>
            <a:latin typeface="Arial" panose="020B0604020202020204" pitchFamily="34" charset="0"/>
            <a:cs typeface="Arial" panose="020B0604020202020204" pitchFamily="34" charset="0"/>
          </a:endParaRPr>
        </a:p>
        <a:p>
          <a:pPr algn="l" rtl="0">
            <a:lnSpc>
              <a:spcPts val="1300"/>
            </a:lnSpc>
            <a:defRPr sz="1000"/>
          </a:pPr>
          <a:r>
            <a:rPr lang="fi-FI" sz="1000" b="1" i="0" baseline="0">
              <a:effectLst/>
              <a:latin typeface="Arial" panose="020B0604020202020204" pitchFamily="34" charset="0"/>
              <a:ea typeface="+mn-ea"/>
              <a:cs typeface="Arial" panose="020B0604020202020204" pitchFamily="34" charset="0"/>
            </a:rPr>
            <a:t>Punkt</a:t>
          </a:r>
          <a:r>
            <a:rPr lang="fi-FI" sz="1000" b="1" i="0">
              <a:effectLst/>
              <a:latin typeface="Arial" panose="020B0604020202020204" pitchFamily="34" charset="0"/>
              <a:ea typeface="+mn-ea"/>
              <a:cs typeface="Arial" panose="020B0604020202020204" pitchFamily="34" charset="0"/>
            </a:rPr>
            <a:t> </a:t>
          </a:r>
          <a:r>
            <a:rPr lang="fi-FI" sz="1000" b="1" i="0" u="none" strike="noStrike">
              <a:effectLst/>
              <a:latin typeface="Arial" panose="020B0604020202020204" pitchFamily="34" charset="0"/>
              <a:ea typeface="+mn-ea"/>
              <a:cs typeface="Arial" panose="020B0604020202020204" pitchFamily="34" charset="0"/>
            </a:rPr>
            <a:t>15: Lån av ägare, försäljning av egendom och placeringar samt andelen av eget arbete och material.</a:t>
          </a:r>
          <a:endParaRPr lang="fi-FI" sz="1000" b="1" i="0" strike="noStrike" baseline="0">
            <a:solidFill>
              <a:srgbClr val="000000"/>
            </a:solidFill>
            <a:latin typeface="Arial" panose="020B0604020202020204" pitchFamily="34" charset="0"/>
            <a:cs typeface="Arial" panose="020B0604020202020204" pitchFamily="34" charset="0"/>
          </a:endParaRPr>
        </a:p>
        <a:p>
          <a:pPr algn="l" rtl="0">
            <a:lnSpc>
              <a:spcPts val="1300"/>
            </a:lnSpc>
            <a:defRPr sz="1000"/>
          </a:pPr>
          <a:endParaRPr lang="fi-FI" sz="1000" b="1" i="0" strike="noStrike" baseline="0">
            <a:solidFill>
              <a:srgbClr val="000000"/>
            </a:solidFill>
            <a:latin typeface="Arial"/>
            <a:cs typeface="Arial"/>
          </a:endParaRPr>
        </a:p>
        <a:p>
          <a:pPr algn="l" rtl="0">
            <a:lnSpc>
              <a:spcPts val="1300"/>
            </a:lnSpc>
            <a:defRPr sz="1000"/>
          </a:pPr>
          <a:r>
            <a:rPr lang="fi-FI" sz="1000" b="1" i="0" u="none" strike="noStrike">
              <a:effectLst/>
              <a:latin typeface="Arial" panose="020B0604020202020204" pitchFamily="34" charset="0"/>
              <a:ea typeface="+mn-ea"/>
              <a:cs typeface="Arial" panose="020B0604020202020204" pitchFamily="34" charset="0"/>
            </a:rPr>
            <a:t>När du beräknar ska du beakta investeringens påverkan på kostnaderna under de kommande åren:</a:t>
          </a:r>
          <a:br>
            <a:rPr lang="fi-FI" sz="1100">
              <a:effectLst/>
              <a:latin typeface="+mn-lt"/>
              <a:ea typeface="+mn-ea"/>
              <a:cs typeface="+mn-cs"/>
            </a:rPr>
          </a:br>
          <a:endParaRPr lang="fi-FI" sz="1000">
            <a:effectLst/>
          </a:endParaRPr>
        </a:p>
        <a:p>
          <a:r>
            <a:rPr lang="fi-FI" sz="1000" b="1">
              <a:effectLst/>
              <a:latin typeface="Arial" panose="020B0604020202020204" pitchFamily="34" charset="0"/>
              <a:ea typeface="+mn-ea"/>
              <a:cs typeface="Arial" panose="020B0604020202020204" pitchFamily="34" charset="0"/>
            </a:rPr>
            <a:t>Investeringar</a:t>
          </a:r>
          <a:r>
            <a:rPr lang="fi-FI" sz="1000" b="1" baseline="0">
              <a:effectLst/>
              <a:latin typeface="Arial" panose="020B0604020202020204" pitchFamily="34" charset="0"/>
              <a:ea typeface="+mn-ea"/>
              <a:cs typeface="Arial" panose="020B0604020202020204" pitchFamily="34" charset="0"/>
            </a:rPr>
            <a:t> på maskiner och apparater</a:t>
          </a:r>
          <a:r>
            <a:rPr lang="fi-FI" sz="1000" b="1">
              <a:effectLst/>
              <a:latin typeface="Arial" panose="020B0604020202020204" pitchFamily="34" charset="0"/>
              <a:ea typeface="+mn-ea"/>
              <a:cs typeface="Arial" panose="020B0604020202020204" pitchFamily="34" charset="0"/>
            </a:rPr>
            <a:t>:</a:t>
          </a:r>
          <a:br>
            <a:rPr lang="fi-FI" sz="1100" b="1">
              <a:effectLst/>
              <a:latin typeface="+mn-lt"/>
              <a:ea typeface="+mn-ea"/>
              <a:cs typeface="+mn-cs"/>
            </a:rPr>
          </a:br>
          <a:r>
            <a:rPr lang="fi-FI" sz="1100" b="1">
              <a:effectLst/>
              <a:latin typeface="+mn-lt"/>
              <a:ea typeface="+mn-ea"/>
              <a:cs typeface="+mn-cs"/>
            </a:rPr>
            <a:t>- </a:t>
          </a:r>
          <a:r>
            <a:rPr lang="fi-FI" sz="1100" b="0" i="0" u="none" strike="noStrike">
              <a:effectLst/>
              <a:latin typeface="+mn-lt"/>
              <a:ea typeface="+mn-ea"/>
              <a:cs typeface="+mn-cs"/>
            </a:rPr>
            <a:t>råvaror, arbetskraftskostnader, el, vatten, bränsle, försäkring, underhåll, reparation, program etc.</a:t>
          </a:r>
        </a:p>
        <a:p>
          <a:br>
            <a:rPr lang="fi-FI" sz="1100" b="1">
              <a:effectLst/>
              <a:latin typeface="+mn-lt"/>
              <a:ea typeface="+mn-ea"/>
              <a:cs typeface="+mn-cs"/>
            </a:rPr>
          </a:br>
          <a:r>
            <a:rPr lang="fi-FI" sz="1100" b="1">
              <a:effectLst/>
              <a:latin typeface="+mn-lt"/>
              <a:ea typeface="+mn-ea"/>
              <a:cs typeface="+mn-cs"/>
            </a:rPr>
            <a:t>Fastighetsinvesteringar:</a:t>
          </a:r>
          <a:br>
            <a:rPr lang="fi-FI" sz="1100" b="1">
              <a:effectLst/>
              <a:latin typeface="+mn-lt"/>
              <a:ea typeface="+mn-ea"/>
              <a:cs typeface="+mn-cs"/>
            </a:rPr>
          </a:br>
          <a:r>
            <a:rPr lang="fi-FI" sz="1100" b="1">
              <a:effectLst/>
              <a:latin typeface="+mn-lt"/>
              <a:ea typeface="+mn-ea"/>
              <a:cs typeface="+mn-cs"/>
            </a:rPr>
            <a:t>-</a:t>
          </a:r>
          <a:r>
            <a:rPr lang="fi-FI" sz="1100">
              <a:effectLst/>
              <a:latin typeface="+mn-lt"/>
              <a:ea typeface="+mn-ea"/>
              <a:cs typeface="+mn-cs"/>
            </a:rPr>
            <a:t> </a:t>
          </a:r>
          <a:r>
            <a:rPr lang="fi-FI" sz="1100" b="0" i="0" u="none" strike="noStrike">
              <a:effectLst/>
              <a:latin typeface="+mn-lt"/>
              <a:ea typeface="+mn-ea"/>
              <a:cs typeface="+mn-cs"/>
            </a:rPr>
            <a:t>värme, el, vatten, fastighetsskatt, försäkring, städning, säkerhet, avfall etc.</a:t>
          </a:r>
          <a:r>
            <a:rPr lang="fi-FI" sz="1100">
              <a:effectLst/>
              <a:latin typeface="+mn-lt"/>
              <a:ea typeface="+mn-ea"/>
              <a:cs typeface="+mn-cs"/>
            </a:rPr>
            <a:t> </a:t>
          </a:r>
        </a:p>
        <a:p>
          <a:endParaRPr lang="fi-FI" sz="1100" b="1" i="0" strike="noStrike" baseline="0">
            <a:solidFill>
              <a:srgbClr val="000000"/>
            </a:solidFill>
            <a:effectLst/>
            <a:latin typeface="+mn-lt"/>
            <a:ea typeface="+mn-ea"/>
            <a:cs typeface="+mn-cs"/>
          </a:endParaRPr>
        </a:p>
        <a:p>
          <a:endParaRPr lang="fi-FI" sz="1000" b="1" i="0" strike="noStrike" baseline="0">
            <a:solidFill>
              <a:srgbClr val="000000"/>
            </a:solidFill>
            <a:latin typeface="Arial"/>
            <a:cs typeface="Arial"/>
          </a:endParaRPr>
        </a:p>
        <a:p>
          <a:pPr algn="l" rtl="0">
            <a:lnSpc>
              <a:spcPts val="1300"/>
            </a:lnSpc>
            <a:defRPr sz="1000"/>
          </a:pPr>
          <a:endParaRPr lang="fi-FI" sz="1000" b="1" i="0" strike="noStrike" baseline="0">
            <a:solidFill>
              <a:srgbClr val="000000"/>
            </a:solidFill>
            <a:latin typeface="Arial"/>
            <a:cs typeface="Arial"/>
          </a:endParaRPr>
        </a:p>
        <a:p>
          <a:pPr algn="l" rtl="0">
            <a:lnSpc>
              <a:spcPts val="1300"/>
            </a:lnSpc>
            <a:defRPr sz="1000"/>
          </a:pPr>
          <a:endParaRPr lang="fi-FI" sz="1000" b="1" i="0" strike="noStrike" baseline="0">
            <a:solidFill>
              <a:srgbClr val="000000"/>
            </a:solidFill>
            <a:latin typeface="Arial"/>
            <a:cs typeface="Arial"/>
          </a:endParaRPr>
        </a:p>
        <a:p>
          <a:pPr algn="l" rtl="0">
            <a:lnSpc>
              <a:spcPts val="1300"/>
            </a:lnSpc>
            <a:defRPr sz="1000"/>
          </a:pPr>
          <a:endParaRPr lang="fi-FI" sz="1000" b="1" i="0" strike="noStrike" baseline="0">
            <a:solidFill>
              <a:srgbClr val="000000"/>
            </a:solidFill>
            <a:latin typeface="Arial"/>
            <a:cs typeface="Arial"/>
          </a:endParaRPr>
        </a:p>
        <a:p>
          <a:pPr algn="l" rtl="0">
            <a:lnSpc>
              <a:spcPts val="1300"/>
            </a:lnSpc>
            <a:defRPr sz="1000"/>
          </a:pPr>
          <a:endParaRPr lang="fi-FI" sz="1000" b="1" i="0" strike="noStrike" baseline="0">
            <a:solidFill>
              <a:srgbClr val="000000"/>
            </a:solidFill>
            <a:latin typeface="Arial"/>
            <a:cs typeface="Arial"/>
          </a:endParaRPr>
        </a:p>
        <a:p>
          <a:pPr algn="l" rtl="0">
            <a:lnSpc>
              <a:spcPts val="1300"/>
            </a:lnSpc>
            <a:defRPr sz="1000"/>
          </a:pPr>
          <a:endParaRPr lang="fi-FI" sz="1000" b="1" i="0" strike="noStrike" baseline="0">
            <a:solidFill>
              <a:srgbClr val="000000"/>
            </a:solidFill>
            <a:latin typeface="Arial"/>
            <a:cs typeface="Arial"/>
          </a:endParaRPr>
        </a:p>
        <a:p>
          <a:pPr algn="l" rtl="0">
            <a:lnSpc>
              <a:spcPts val="1300"/>
            </a:lnSpc>
            <a:defRPr sz="1000"/>
          </a:pPr>
          <a:endParaRPr lang="fi-FI" sz="1000" b="1" i="0" strike="noStrike" baseline="0">
            <a:solidFill>
              <a:srgbClr val="000000"/>
            </a:solidFill>
            <a:latin typeface="Arial"/>
            <a:cs typeface="Arial"/>
          </a:endParaRPr>
        </a:p>
        <a:p>
          <a:pPr algn="l" rtl="0">
            <a:lnSpc>
              <a:spcPts val="1300"/>
            </a:lnSpc>
            <a:defRPr sz="1000"/>
          </a:pPr>
          <a:endParaRPr lang="fi-FI" sz="1000" b="1" i="0" strike="noStrike" baseline="0">
            <a:solidFill>
              <a:srgbClr val="000000"/>
            </a:solidFill>
            <a:latin typeface="Arial"/>
            <a:cs typeface="Arial"/>
          </a:endParaRPr>
        </a:p>
        <a:p>
          <a:pPr algn="l" rtl="0">
            <a:lnSpc>
              <a:spcPts val="1300"/>
            </a:lnSpc>
            <a:defRPr sz="1000"/>
          </a:pPr>
          <a:br>
            <a:rPr lang="fi-FI" sz="1000" b="1" i="0" strike="noStrike" baseline="0">
              <a:solidFill>
                <a:srgbClr val="000000"/>
              </a:solidFill>
              <a:latin typeface="Arial"/>
              <a:cs typeface="Arial"/>
            </a:rPr>
          </a:br>
          <a:r>
            <a:rPr lang="fi-FI" sz="1000" b="1" i="0" strike="noStrike" baseline="0">
              <a:solidFill>
                <a:srgbClr val="000000"/>
              </a:solidFill>
              <a:latin typeface="Arial"/>
              <a:cs typeface="Arial"/>
            </a:rPr>
            <a:t>  </a:t>
          </a:r>
          <a:endParaRPr lang="fi-FI" sz="900" b="1" i="0" strike="noStrike">
            <a:solidFill>
              <a:srgbClr val="004990"/>
            </a:solidFill>
            <a:latin typeface="Arial"/>
            <a:cs typeface="Arial"/>
          </a:endParaRPr>
        </a:p>
      </xdr:txBody>
    </xdr:sp>
    <xdr:clientData fLocksWithSheet="0" fPrintsWithSheet="0"/>
  </xdr:twoCellAnchor>
  <xdr:twoCellAnchor editAs="oneCell">
    <xdr:from>
      <xdr:col>6</xdr:col>
      <xdr:colOff>598714</xdr:colOff>
      <xdr:row>2</xdr:row>
      <xdr:rowOff>48988</xdr:rowOff>
    </xdr:from>
    <xdr:to>
      <xdr:col>8</xdr:col>
      <xdr:colOff>2006</xdr:colOff>
      <xdr:row>4</xdr:row>
      <xdr:rowOff>15567</xdr:rowOff>
    </xdr:to>
    <xdr:pic>
      <xdr:nvPicPr>
        <xdr:cNvPr id="8" name="Picture 7">
          <a:extLst>
            <a:ext uri="{FF2B5EF4-FFF2-40B4-BE49-F238E27FC236}">
              <a16:creationId xmlns:a16="http://schemas.microsoft.com/office/drawing/2014/main" id="{CFBCC41A-43AD-4E2F-9B28-FA22C5EC4F7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124700" y="386445"/>
          <a:ext cx="936000" cy="3143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124637</xdr:colOff>
      <xdr:row>0</xdr:row>
      <xdr:rowOff>51706</xdr:rowOff>
    </xdr:from>
    <xdr:to>
      <xdr:col>12</xdr:col>
      <xdr:colOff>476250</xdr:colOff>
      <xdr:row>7</xdr:row>
      <xdr:rowOff>47624</xdr:rowOff>
    </xdr:to>
    <xdr:sp macro="" textlink="">
      <xdr:nvSpPr>
        <xdr:cNvPr id="23" name="AutoShape 189">
          <a:extLst>
            <a:ext uri="{FF2B5EF4-FFF2-40B4-BE49-F238E27FC236}">
              <a16:creationId xmlns:a16="http://schemas.microsoft.com/office/drawing/2014/main" id="{EEBB1064-C003-43BE-8ABB-7FF80170D4E3}"/>
            </a:ext>
          </a:extLst>
        </xdr:cNvPr>
        <xdr:cNvSpPr>
          <a:spLocks noChangeArrowheads="1"/>
        </xdr:cNvSpPr>
      </xdr:nvSpPr>
      <xdr:spPr bwMode="auto">
        <a:xfrm>
          <a:off x="2486837" y="51706"/>
          <a:ext cx="6228538" cy="1186543"/>
        </a:xfrm>
        <a:prstGeom prst="foldedCorner">
          <a:avLst>
            <a:gd name="adj" fmla="val 12500"/>
          </a:avLst>
        </a:prstGeom>
        <a:solidFill>
          <a:srgbClr val="FFC000"/>
        </a:solidFill>
        <a:ln w="15875">
          <a:solidFill>
            <a:srgbClr val="FFC000"/>
          </a:solidFill>
          <a:round/>
          <a:headEnd/>
          <a:tailEnd/>
        </a:ln>
      </xdr:spPr>
      <xdr:txBody>
        <a:bodyPr vertOverflow="clip" wrap="square" lIns="144000" tIns="36000" rIns="36000" bIns="0" anchor="ctr" upright="1"/>
        <a:lstStyle/>
        <a:p>
          <a:pPr marL="0" marR="0" lvl="0" indent="0" algn="l" defTabSz="914400" rtl="0" eaLnBrk="1" fontAlgn="auto" latinLnBrk="0" hangingPunct="1">
            <a:lnSpc>
              <a:spcPts val="1100"/>
            </a:lnSpc>
            <a:spcBef>
              <a:spcPts val="0"/>
            </a:spcBef>
            <a:spcAft>
              <a:spcPts val="0"/>
            </a:spcAft>
            <a:buClrTx/>
            <a:buSzTx/>
            <a:buFontTx/>
            <a:buNone/>
            <a:tabLst/>
            <a:defRPr sz="1000"/>
          </a:pPr>
          <a:r>
            <a:rPr lang="fi-FI" sz="1000" b="1" i="0" strike="noStrike">
              <a:solidFill>
                <a:srgbClr val="000000"/>
              </a:solidFill>
              <a:latin typeface="Arial"/>
              <a:cs typeface="Arial"/>
            </a:rPr>
            <a:t>IFYLLNADSDIREKTIV </a:t>
          </a:r>
          <a:r>
            <a:rPr lang="fi-FI" sz="1000" b="1" i="0">
              <a:effectLst/>
              <a:latin typeface="+mn-lt"/>
              <a:ea typeface="+mn-ea"/>
              <a:cs typeface="+mn-cs"/>
            </a:rPr>
            <a:t>(KAN DRAGS BORT MED DATORMUS</a:t>
          </a:r>
          <a:r>
            <a:rPr lang="fi-FI" sz="1000" b="1" i="0" baseline="0">
              <a:effectLst/>
              <a:latin typeface="+mn-lt"/>
              <a:ea typeface="+mn-ea"/>
              <a:cs typeface="+mn-cs"/>
            </a:rPr>
            <a:t>)</a:t>
          </a:r>
          <a:endParaRPr lang="fi-FI" sz="800" b="1" i="0" strike="noStrike">
            <a:solidFill>
              <a:srgbClr val="000000"/>
            </a:solidFill>
            <a:latin typeface="Arial"/>
            <a:cs typeface="Arial"/>
          </a:endParaRPr>
        </a:p>
        <a:p>
          <a:pPr rtl="0"/>
          <a:r>
            <a:rPr lang="fi-FI" sz="1100" b="1" i="0">
              <a:effectLst/>
              <a:latin typeface="+mn-lt"/>
              <a:ea typeface="+mn-ea"/>
              <a:cs typeface="+mn-cs"/>
            </a:rPr>
            <a:t>ENDAST DE LÅNEAMORTERINGAR  SOM</a:t>
          </a:r>
          <a:r>
            <a:rPr lang="fi-FI" sz="1100" b="1" i="0" baseline="0">
              <a:effectLst/>
              <a:latin typeface="+mn-lt"/>
              <a:ea typeface="+mn-ea"/>
              <a:cs typeface="+mn-cs"/>
            </a:rPr>
            <a:t> FINNS I URSPRUNGLIGA LÅNEAVTALEN !</a:t>
          </a:r>
          <a:endParaRPr lang="fi-FI" sz="1000" i="0">
            <a:effectLst/>
          </a:endParaRPr>
        </a:p>
        <a:p>
          <a:pPr rtl="0"/>
          <a:r>
            <a:rPr lang="fi-FI" sz="1100" b="0" i="0" baseline="0">
              <a:effectLst/>
              <a:latin typeface="+mn-lt"/>
              <a:ea typeface="+mn-ea"/>
              <a:cs typeface="+mn-cs"/>
            </a:rPr>
            <a:t>- Skriv extra amorteringar/förändringar av amorteringar i punkt 19 i tabell 5. T4 FINANSIERINGSBUDGET. </a:t>
          </a:r>
        </a:p>
        <a:p>
          <a:pPr rtl="0"/>
          <a:r>
            <a:rPr lang="fi-FI" sz="1100" b="0" i="0" baseline="0">
              <a:effectLst/>
              <a:latin typeface="+mn-lt"/>
              <a:ea typeface="+mn-ea"/>
              <a:cs typeface="+mn-cs"/>
            </a:rPr>
            <a:t>- Skriv Kapitallån i punkt 14 i tabell 1. T1 INVESTERINGSPLAN. Förflyttar sig därifrån.</a:t>
          </a:r>
        </a:p>
        <a:p>
          <a:pPr rtl="0"/>
          <a:r>
            <a:rPr lang="fi-FI" sz="1100" b="0" i="0" baseline="0">
              <a:effectLst/>
              <a:latin typeface="+mn-lt"/>
              <a:ea typeface="+mn-ea"/>
              <a:cs typeface="+mn-cs"/>
            </a:rPr>
            <a:t>- Kontrollera raderna 39, 41 och 43. </a:t>
          </a:r>
          <a:r>
            <a:rPr lang="fi-FI" sz="1100" b="1" i="0" baseline="0">
              <a:effectLst/>
              <a:latin typeface="+mn-lt"/>
              <a:ea typeface="+mn-ea"/>
              <a:cs typeface="+mn-cs"/>
            </a:rPr>
            <a:t>TILLÄGG KORTFRISTIGA LÅN OCH RÄNTA FÖR KAPITALLÅN.</a:t>
          </a:r>
          <a:endParaRPr lang="fi-FI" sz="1000" i="0">
            <a:effectLst/>
          </a:endParaRPr>
        </a:p>
      </xdr:txBody>
    </xdr:sp>
    <xdr:clientData fLocksWithSheet="0" fPrintsWithSheet="0"/>
  </xdr:twoCellAnchor>
  <xdr:twoCellAnchor editAs="oneCell">
    <xdr:from>
      <xdr:col>0</xdr:col>
      <xdr:colOff>143896</xdr:colOff>
      <xdr:row>17</xdr:row>
      <xdr:rowOff>83291</xdr:rowOff>
    </xdr:from>
    <xdr:to>
      <xdr:col>0</xdr:col>
      <xdr:colOff>550599</xdr:colOff>
      <xdr:row>19</xdr:row>
      <xdr:rowOff>155441</xdr:rowOff>
    </xdr:to>
    <xdr:pic>
      <xdr:nvPicPr>
        <xdr:cNvPr id="27" name="Kuva 26">
          <a:hlinkClick xmlns:r="http://schemas.openxmlformats.org/officeDocument/2006/relationships" r:id="rId1"/>
          <a:extLst>
            <a:ext uri="{FF2B5EF4-FFF2-40B4-BE49-F238E27FC236}">
              <a16:creationId xmlns:a16="http://schemas.microsoft.com/office/drawing/2014/main" id="{C00A8ACB-4300-42C1-80BD-9C16EAB409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3896" y="4207616"/>
          <a:ext cx="406703" cy="396000"/>
        </a:xfrm>
        <a:prstGeom prst="rect">
          <a:avLst/>
        </a:prstGeom>
      </xdr:spPr>
    </xdr:pic>
    <xdr:clientData/>
  </xdr:twoCellAnchor>
  <xdr:twoCellAnchor editAs="oneCell">
    <xdr:from>
      <xdr:col>0</xdr:col>
      <xdr:colOff>145577</xdr:colOff>
      <xdr:row>29</xdr:row>
      <xdr:rowOff>82493</xdr:rowOff>
    </xdr:from>
    <xdr:to>
      <xdr:col>0</xdr:col>
      <xdr:colOff>552280</xdr:colOff>
      <xdr:row>31</xdr:row>
      <xdr:rowOff>154643</xdr:rowOff>
    </xdr:to>
    <xdr:pic>
      <xdr:nvPicPr>
        <xdr:cNvPr id="28" name="Kuva 27">
          <a:hlinkClick xmlns:r="http://schemas.openxmlformats.org/officeDocument/2006/relationships" r:id="rId3"/>
          <a:extLst>
            <a:ext uri="{FF2B5EF4-FFF2-40B4-BE49-F238E27FC236}">
              <a16:creationId xmlns:a16="http://schemas.microsoft.com/office/drawing/2014/main" id="{C21D75DE-4B42-4AE7-80B7-A905DA5298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5577" y="6264218"/>
          <a:ext cx="406703" cy="396000"/>
        </a:xfrm>
        <a:prstGeom prst="rect">
          <a:avLst/>
        </a:prstGeom>
      </xdr:spPr>
    </xdr:pic>
    <xdr:clientData/>
  </xdr:twoCellAnchor>
  <xdr:twoCellAnchor editAs="oneCell">
    <xdr:from>
      <xdr:col>0</xdr:col>
      <xdr:colOff>147258</xdr:colOff>
      <xdr:row>27</xdr:row>
      <xdr:rowOff>15666</xdr:rowOff>
    </xdr:from>
    <xdr:to>
      <xdr:col>0</xdr:col>
      <xdr:colOff>553960</xdr:colOff>
      <xdr:row>29</xdr:row>
      <xdr:rowOff>96524</xdr:rowOff>
    </xdr:to>
    <xdr:pic>
      <xdr:nvPicPr>
        <xdr:cNvPr id="29" name="Kuva 28">
          <a:hlinkClick xmlns:r="http://schemas.openxmlformats.org/officeDocument/2006/relationships" r:id="rId5"/>
          <a:extLst>
            <a:ext uri="{FF2B5EF4-FFF2-40B4-BE49-F238E27FC236}">
              <a16:creationId xmlns:a16="http://schemas.microsoft.com/office/drawing/2014/main" id="{478178D2-AF01-4DF7-8161-2A7A66FE4F0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7258" y="5854491"/>
          <a:ext cx="406702" cy="393278"/>
        </a:xfrm>
        <a:prstGeom prst="rect">
          <a:avLst/>
        </a:prstGeom>
      </xdr:spPr>
    </xdr:pic>
    <xdr:clientData/>
  </xdr:twoCellAnchor>
  <xdr:twoCellAnchor editAs="oneCell">
    <xdr:from>
      <xdr:col>0</xdr:col>
      <xdr:colOff>146880</xdr:colOff>
      <xdr:row>22</xdr:row>
      <xdr:rowOff>47371</xdr:rowOff>
    </xdr:from>
    <xdr:to>
      <xdr:col>0</xdr:col>
      <xdr:colOff>553583</xdr:colOff>
      <xdr:row>24</xdr:row>
      <xdr:rowOff>134761</xdr:rowOff>
    </xdr:to>
    <xdr:pic>
      <xdr:nvPicPr>
        <xdr:cNvPr id="30" name="Kuva 29">
          <a:hlinkClick xmlns:r="http://schemas.openxmlformats.org/officeDocument/2006/relationships" r:id="rId7"/>
          <a:extLst>
            <a:ext uri="{FF2B5EF4-FFF2-40B4-BE49-F238E27FC236}">
              <a16:creationId xmlns:a16="http://schemas.microsoft.com/office/drawing/2014/main" id="{8934BB26-2B89-48DB-949B-92AF712905A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6880" y="5028946"/>
          <a:ext cx="406703" cy="396000"/>
        </a:xfrm>
        <a:prstGeom prst="rect">
          <a:avLst/>
        </a:prstGeom>
      </xdr:spPr>
    </xdr:pic>
    <xdr:clientData/>
  </xdr:twoCellAnchor>
  <xdr:twoCellAnchor editAs="oneCell">
    <xdr:from>
      <xdr:col>0</xdr:col>
      <xdr:colOff>142875</xdr:colOff>
      <xdr:row>19</xdr:row>
      <xdr:rowOff>153687</xdr:rowOff>
    </xdr:from>
    <xdr:to>
      <xdr:col>0</xdr:col>
      <xdr:colOff>549578</xdr:colOff>
      <xdr:row>22</xdr:row>
      <xdr:rowOff>56292</xdr:rowOff>
    </xdr:to>
    <xdr:pic>
      <xdr:nvPicPr>
        <xdr:cNvPr id="31" name="Kuva 30">
          <a:hlinkClick xmlns:r="http://schemas.openxmlformats.org/officeDocument/2006/relationships" r:id="rId9"/>
          <a:extLst>
            <a:ext uri="{FF2B5EF4-FFF2-40B4-BE49-F238E27FC236}">
              <a16:creationId xmlns:a16="http://schemas.microsoft.com/office/drawing/2014/main" id="{CBB8EC04-AE34-48AD-B397-4DB90D96BA8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2875" y="4620912"/>
          <a:ext cx="406703" cy="396000"/>
        </a:xfrm>
        <a:prstGeom prst="rect">
          <a:avLst/>
        </a:prstGeom>
      </xdr:spPr>
    </xdr:pic>
    <xdr:clientData/>
  </xdr:twoCellAnchor>
  <xdr:twoCellAnchor editAs="oneCell">
    <xdr:from>
      <xdr:col>0</xdr:col>
      <xdr:colOff>150018</xdr:colOff>
      <xdr:row>24</xdr:row>
      <xdr:rowOff>119743</xdr:rowOff>
    </xdr:from>
    <xdr:to>
      <xdr:col>0</xdr:col>
      <xdr:colOff>549101</xdr:colOff>
      <xdr:row>27</xdr:row>
      <xdr:rowOff>21872</xdr:rowOff>
    </xdr:to>
    <xdr:pic>
      <xdr:nvPicPr>
        <xdr:cNvPr id="32" name="Kuva 31">
          <a:hlinkClick xmlns:r="http://schemas.openxmlformats.org/officeDocument/2006/relationships" r:id="rId11"/>
          <a:extLst>
            <a:ext uri="{FF2B5EF4-FFF2-40B4-BE49-F238E27FC236}">
              <a16:creationId xmlns:a16="http://schemas.microsoft.com/office/drawing/2014/main" id="{B78CBB16-26B5-4C9A-8F90-013126F27B6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50018" y="5444218"/>
          <a:ext cx="406703" cy="393619"/>
        </a:xfrm>
        <a:prstGeom prst="rect">
          <a:avLst/>
        </a:prstGeom>
      </xdr:spPr>
    </xdr:pic>
    <xdr:clientData/>
  </xdr:twoCellAnchor>
  <xdr:twoCellAnchor editAs="oneCell">
    <xdr:from>
      <xdr:col>0</xdr:col>
      <xdr:colOff>142876</xdr:colOff>
      <xdr:row>12</xdr:row>
      <xdr:rowOff>85725</xdr:rowOff>
    </xdr:from>
    <xdr:to>
      <xdr:col>0</xdr:col>
      <xdr:colOff>549579</xdr:colOff>
      <xdr:row>15</xdr:row>
      <xdr:rowOff>1665</xdr:rowOff>
    </xdr:to>
    <xdr:pic>
      <xdr:nvPicPr>
        <xdr:cNvPr id="33" name="Kuva 32">
          <a:hlinkClick xmlns:r="http://schemas.openxmlformats.org/officeDocument/2006/relationships" r:id="rId13"/>
          <a:extLst>
            <a:ext uri="{FF2B5EF4-FFF2-40B4-BE49-F238E27FC236}">
              <a16:creationId xmlns:a16="http://schemas.microsoft.com/office/drawing/2014/main" id="{325F6944-7927-4D72-BB68-CD460EBEECC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42876" y="3295650"/>
          <a:ext cx="406703" cy="396000"/>
        </a:xfrm>
        <a:prstGeom prst="rect">
          <a:avLst/>
        </a:prstGeom>
      </xdr:spPr>
    </xdr:pic>
    <xdr:clientData/>
  </xdr:twoCellAnchor>
  <xdr:twoCellAnchor editAs="oneCell">
    <xdr:from>
      <xdr:col>0</xdr:col>
      <xdr:colOff>140155</xdr:colOff>
      <xdr:row>15</xdr:row>
      <xdr:rowOff>13607</xdr:rowOff>
    </xdr:from>
    <xdr:to>
      <xdr:col>0</xdr:col>
      <xdr:colOff>554478</xdr:colOff>
      <xdr:row>17</xdr:row>
      <xdr:rowOff>95827</xdr:rowOff>
    </xdr:to>
    <xdr:pic>
      <xdr:nvPicPr>
        <xdr:cNvPr id="34" name="Kuva 33">
          <a:extLst>
            <a:ext uri="{FF2B5EF4-FFF2-40B4-BE49-F238E27FC236}">
              <a16:creationId xmlns:a16="http://schemas.microsoft.com/office/drawing/2014/main" id="{17F48A9E-70B1-4C9A-8DA0-D56A7C47CBE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0155" y="3795032"/>
          <a:ext cx="406703" cy="394640"/>
        </a:xfrm>
        <a:prstGeom prst="rect">
          <a:avLst/>
        </a:prstGeom>
      </xdr:spPr>
    </xdr:pic>
    <xdr:clientData/>
  </xdr:twoCellAnchor>
  <xdr:twoCellAnchor editAs="oneCell">
    <xdr:from>
      <xdr:col>0</xdr:col>
      <xdr:colOff>171450</xdr:colOff>
      <xdr:row>31</xdr:row>
      <xdr:rowOff>152400</xdr:rowOff>
    </xdr:from>
    <xdr:to>
      <xdr:col>0</xdr:col>
      <xdr:colOff>533400</xdr:colOff>
      <xdr:row>34</xdr:row>
      <xdr:rowOff>17146</xdr:rowOff>
    </xdr:to>
    <xdr:pic>
      <xdr:nvPicPr>
        <xdr:cNvPr id="35" name="Kuva 34" descr="Tulostin">
          <a:hlinkClick xmlns:r="http://schemas.openxmlformats.org/officeDocument/2006/relationships" r:id="rId16"/>
          <a:extLst>
            <a:ext uri="{FF2B5EF4-FFF2-40B4-BE49-F238E27FC236}">
              <a16:creationId xmlns:a16="http://schemas.microsoft.com/office/drawing/2014/main" id="{C852B02A-E3D2-4EC0-8B15-AB5B554C727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71450" y="6677025"/>
          <a:ext cx="361950" cy="361951"/>
        </a:xfrm>
        <a:prstGeom prst="rect">
          <a:avLst/>
        </a:prstGeom>
      </xdr:spPr>
    </xdr:pic>
    <xdr:clientData/>
  </xdr:twoCellAnchor>
  <xdr:twoCellAnchor editAs="oneCell">
    <xdr:from>
      <xdr:col>15</xdr:col>
      <xdr:colOff>157845</xdr:colOff>
      <xdr:row>4</xdr:row>
      <xdr:rowOff>38102</xdr:rowOff>
    </xdr:from>
    <xdr:to>
      <xdr:col>16</xdr:col>
      <xdr:colOff>554767</xdr:colOff>
      <xdr:row>6</xdr:row>
      <xdr:rowOff>18190</xdr:rowOff>
    </xdr:to>
    <xdr:pic>
      <xdr:nvPicPr>
        <xdr:cNvPr id="6" name="Picture 5">
          <a:extLst>
            <a:ext uri="{FF2B5EF4-FFF2-40B4-BE49-F238E27FC236}">
              <a16:creationId xmlns:a16="http://schemas.microsoft.com/office/drawing/2014/main" id="{B45C90D6-5DD0-45A6-AFDE-DD5BF854852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842174" y="713016"/>
          <a:ext cx="1071836" cy="36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225028</xdr:colOff>
      <xdr:row>31</xdr:row>
      <xdr:rowOff>18487</xdr:rowOff>
    </xdr:from>
    <xdr:ext cx="406703" cy="396000"/>
    <xdr:pic>
      <xdr:nvPicPr>
        <xdr:cNvPr id="13" name="Kuva 12">
          <a:hlinkClick xmlns:r="http://schemas.openxmlformats.org/officeDocument/2006/relationships" r:id="rId1"/>
          <a:extLst>
            <a:ext uri="{FF2B5EF4-FFF2-40B4-BE49-F238E27FC236}">
              <a16:creationId xmlns:a16="http://schemas.microsoft.com/office/drawing/2014/main" id="{276C6BA5-502E-4065-80C6-6044F6BD56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5028" y="16401487"/>
          <a:ext cx="406703" cy="396000"/>
        </a:xfrm>
        <a:prstGeom prst="rect">
          <a:avLst/>
        </a:prstGeom>
      </xdr:spPr>
    </xdr:pic>
    <xdr:clientData/>
  </xdr:oneCellAnchor>
  <xdr:oneCellAnchor>
    <xdr:from>
      <xdr:col>0</xdr:col>
      <xdr:colOff>221777</xdr:colOff>
      <xdr:row>45</xdr:row>
      <xdr:rowOff>158693</xdr:rowOff>
    </xdr:from>
    <xdr:ext cx="406703" cy="396000"/>
    <xdr:pic>
      <xdr:nvPicPr>
        <xdr:cNvPr id="14" name="Kuva 13">
          <a:hlinkClick xmlns:r="http://schemas.openxmlformats.org/officeDocument/2006/relationships" r:id="rId3"/>
          <a:extLst>
            <a:ext uri="{FF2B5EF4-FFF2-40B4-BE49-F238E27FC236}">
              <a16:creationId xmlns:a16="http://schemas.microsoft.com/office/drawing/2014/main" id="{2F54A9F5-42EE-4CDF-B20B-8FAEF4190A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1777" y="18865793"/>
          <a:ext cx="406703" cy="396000"/>
        </a:xfrm>
        <a:prstGeom prst="rect">
          <a:avLst/>
        </a:prstGeom>
      </xdr:spPr>
    </xdr:pic>
    <xdr:clientData/>
  </xdr:oneCellAnchor>
  <xdr:oneCellAnchor>
    <xdr:from>
      <xdr:col>0</xdr:col>
      <xdr:colOff>223458</xdr:colOff>
      <xdr:row>43</xdr:row>
      <xdr:rowOff>63291</xdr:rowOff>
    </xdr:from>
    <xdr:ext cx="406702" cy="393278"/>
    <xdr:pic>
      <xdr:nvPicPr>
        <xdr:cNvPr id="15" name="Kuva 14">
          <a:hlinkClick xmlns:r="http://schemas.openxmlformats.org/officeDocument/2006/relationships" r:id="rId5"/>
          <a:extLst>
            <a:ext uri="{FF2B5EF4-FFF2-40B4-BE49-F238E27FC236}">
              <a16:creationId xmlns:a16="http://schemas.microsoft.com/office/drawing/2014/main" id="{41F1DDDC-4127-4486-887B-7E030D016B1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3458" y="18456066"/>
          <a:ext cx="406702" cy="393278"/>
        </a:xfrm>
        <a:prstGeom prst="rect">
          <a:avLst/>
        </a:prstGeom>
      </xdr:spPr>
    </xdr:pic>
    <xdr:clientData/>
  </xdr:oneCellAnchor>
  <xdr:oneCellAnchor>
    <xdr:from>
      <xdr:col>0</xdr:col>
      <xdr:colOff>223080</xdr:colOff>
      <xdr:row>39</xdr:row>
      <xdr:rowOff>9271</xdr:rowOff>
    </xdr:from>
    <xdr:ext cx="406703" cy="396000"/>
    <xdr:pic>
      <xdr:nvPicPr>
        <xdr:cNvPr id="16" name="Kuva 15">
          <a:hlinkClick xmlns:r="http://schemas.openxmlformats.org/officeDocument/2006/relationships" r:id="rId7"/>
          <a:extLst>
            <a:ext uri="{FF2B5EF4-FFF2-40B4-BE49-F238E27FC236}">
              <a16:creationId xmlns:a16="http://schemas.microsoft.com/office/drawing/2014/main" id="{52988603-7E9D-46C9-8A67-59A950EE30E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23080" y="17630521"/>
          <a:ext cx="406703" cy="396000"/>
        </a:xfrm>
        <a:prstGeom prst="rect">
          <a:avLst/>
        </a:prstGeom>
      </xdr:spPr>
    </xdr:pic>
    <xdr:clientData/>
  </xdr:oneCellAnchor>
  <xdr:oneCellAnchor>
    <xdr:from>
      <xdr:col>0</xdr:col>
      <xdr:colOff>219075</xdr:colOff>
      <xdr:row>36</xdr:row>
      <xdr:rowOff>67962</xdr:rowOff>
    </xdr:from>
    <xdr:ext cx="406703" cy="396000"/>
    <xdr:pic>
      <xdr:nvPicPr>
        <xdr:cNvPr id="17" name="Kuva 16">
          <a:hlinkClick xmlns:r="http://schemas.openxmlformats.org/officeDocument/2006/relationships" r:id="rId9"/>
          <a:extLst>
            <a:ext uri="{FF2B5EF4-FFF2-40B4-BE49-F238E27FC236}">
              <a16:creationId xmlns:a16="http://schemas.microsoft.com/office/drawing/2014/main" id="{579DFE01-5E59-43BB-B97B-948D8FCA31E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19075" y="17222487"/>
          <a:ext cx="406703" cy="396000"/>
        </a:xfrm>
        <a:prstGeom prst="rect">
          <a:avLst/>
        </a:prstGeom>
      </xdr:spPr>
    </xdr:pic>
    <xdr:clientData/>
  </xdr:oneCellAnchor>
  <xdr:oneCellAnchor>
    <xdr:from>
      <xdr:col>0</xdr:col>
      <xdr:colOff>226218</xdr:colOff>
      <xdr:row>40</xdr:row>
      <xdr:rowOff>119743</xdr:rowOff>
    </xdr:from>
    <xdr:ext cx="406703" cy="393619"/>
    <xdr:pic>
      <xdr:nvPicPr>
        <xdr:cNvPr id="18" name="Kuva 17">
          <a:hlinkClick xmlns:r="http://schemas.openxmlformats.org/officeDocument/2006/relationships" r:id="rId11"/>
          <a:extLst>
            <a:ext uri="{FF2B5EF4-FFF2-40B4-BE49-F238E27FC236}">
              <a16:creationId xmlns:a16="http://schemas.microsoft.com/office/drawing/2014/main" id="{AA57DA7A-36C7-4684-A4FF-211BC599E82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6218" y="18045793"/>
          <a:ext cx="406703" cy="393619"/>
        </a:xfrm>
        <a:prstGeom prst="rect">
          <a:avLst/>
        </a:prstGeom>
      </xdr:spPr>
    </xdr:pic>
    <xdr:clientData/>
  </xdr:oneCellAnchor>
  <xdr:oneCellAnchor>
    <xdr:from>
      <xdr:col>0</xdr:col>
      <xdr:colOff>220719</xdr:colOff>
      <xdr:row>28</xdr:row>
      <xdr:rowOff>75214</xdr:rowOff>
    </xdr:from>
    <xdr:ext cx="406703" cy="393701"/>
    <xdr:pic>
      <xdr:nvPicPr>
        <xdr:cNvPr id="19" name="Kuva 18">
          <a:hlinkClick xmlns:r="http://schemas.openxmlformats.org/officeDocument/2006/relationships" r:id="rId13"/>
          <a:extLst>
            <a:ext uri="{FF2B5EF4-FFF2-40B4-BE49-F238E27FC236}">
              <a16:creationId xmlns:a16="http://schemas.microsoft.com/office/drawing/2014/main" id="{E147B288-0718-4946-87DF-66DDEBD83F6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20719" y="15991489"/>
          <a:ext cx="406703" cy="393701"/>
        </a:xfrm>
        <a:prstGeom prst="rect">
          <a:avLst/>
        </a:prstGeom>
      </xdr:spPr>
    </xdr:pic>
    <xdr:clientData/>
  </xdr:oneCellAnchor>
  <xdr:oneCellAnchor>
    <xdr:from>
      <xdr:col>0</xdr:col>
      <xdr:colOff>217442</xdr:colOff>
      <xdr:row>33</xdr:row>
      <xdr:rowOff>127766</xdr:rowOff>
    </xdr:from>
    <xdr:ext cx="408016" cy="393700"/>
    <xdr:pic>
      <xdr:nvPicPr>
        <xdr:cNvPr id="20" name="Kuva 19">
          <a:extLst>
            <a:ext uri="{FF2B5EF4-FFF2-40B4-BE49-F238E27FC236}">
              <a16:creationId xmlns:a16="http://schemas.microsoft.com/office/drawing/2014/main" id="{9C9056C8-FEB0-4CB1-8091-6BA379BD07C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17442" y="16815566"/>
          <a:ext cx="408016" cy="393700"/>
        </a:xfrm>
        <a:prstGeom prst="rect">
          <a:avLst/>
        </a:prstGeom>
      </xdr:spPr>
    </xdr:pic>
    <xdr:clientData/>
  </xdr:oneCellAnchor>
  <xdr:oneCellAnchor>
    <xdr:from>
      <xdr:col>0</xdr:col>
      <xdr:colOff>240196</xdr:colOff>
      <xdr:row>49</xdr:row>
      <xdr:rowOff>82826</xdr:rowOff>
    </xdr:from>
    <xdr:ext cx="361950" cy="354497"/>
    <xdr:pic>
      <xdr:nvPicPr>
        <xdr:cNvPr id="21" name="Kuva 20" descr="Tulostin">
          <a:hlinkClick xmlns:r="http://schemas.openxmlformats.org/officeDocument/2006/relationships" r:id="rId16"/>
          <a:extLst>
            <a:ext uri="{FF2B5EF4-FFF2-40B4-BE49-F238E27FC236}">
              <a16:creationId xmlns:a16="http://schemas.microsoft.com/office/drawing/2014/main" id="{F3329D07-7488-4F4C-BC19-3AFBB521456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240196" y="19275701"/>
          <a:ext cx="361950" cy="354497"/>
        </a:xfrm>
        <a:prstGeom prst="rect">
          <a:avLst/>
        </a:prstGeom>
      </xdr:spPr>
    </xdr:pic>
    <xdr:clientData/>
  </xdr:oneCellAnchor>
  <xdr:oneCellAnchor>
    <xdr:from>
      <xdr:col>0</xdr:col>
      <xdr:colOff>225028</xdr:colOff>
      <xdr:row>98</xdr:row>
      <xdr:rowOff>18487</xdr:rowOff>
    </xdr:from>
    <xdr:ext cx="406703" cy="396000"/>
    <xdr:pic>
      <xdr:nvPicPr>
        <xdr:cNvPr id="22" name="Kuva 21">
          <a:hlinkClick xmlns:r="http://schemas.openxmlformats.org/officeDocument/2006/relationships" r:id="rId1"/>
          <a:extLst>
            <a:ext uri="{FF2B5EF4-FFF2-40B4-BE49-F238E27FC236}">
              <a16:creationId xmlns:a16="http://schemas.microsoft.com/office/drawing/2014/main" id="{A3AB88B6-9FB1-4A7B-94C0-2FED96CCC5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5028" y="4314262"/>
          <a:ext cx="406703" cy="396000"/>
        </a:xfrm>
        <a:prstGeom prst="rect">
          <a:avLst/>
        </a:prstGeom>
      </xdr:spPr>
    </xdr:pic>
    <xdr:clientData/>
  </xdr:oneCellAnchor>
  <xdr:oneCellAnchor>
    <xdr:from>
      <xdr:col>0</xdr:col>
      <xdr:colOff>221777</xdr:colOff>
      <xdr:row>113</xdr:row>
      <xdr:rowOff>158693</xdr:rowOff>
    </xdr:from>
    <xdr:ext cx="406703" cy="396000"/>
    <xdr:pic>
      <xdr:nvPicPr>
        <xdr:cNvPr id="23" name="Kuva 22">
          <a:hlinkClick xmlns:r="http://schemas.openxmlformats.org/officeDocument/2006/relationships" r:id="rId3"/>
          <a:extLst>
            <a:ext uri="{FF2B5EF4-FFF2-40B4-BE49-F238E27FC236}">
              <a16:creationId xmlns:a16="http://schemas.microsoft.com/office/drawing/2014/main" id="{4AA390C9-75C1-4091-9864-3CE8E8ACCA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1777" y="6769043"/>
          <a:ext cx="406703" cy="396000"/>
        </a:xfrm>
        <a:prstGeom prst="rect">
          <a:avLst/>
        </a:prstGeom>
      </xdr:spPr>
    </xdr:pic>
    <xdr:clientData/>
  </xdr:oneCellAnchor>
  <xdr:oneCellAnchor>
    <xdr:from>
      <xdr:col>0</xdr:col>
      <xdr:colOff>223458</xdr:colOff>
      <xdr:row>111</xdr:row>
      <xdr:rowOff>63291</xdr:rowOff>
    </xdr:from>
    <xdr:ext cx="406702" cy="393278"/>
    <xdr:pic>
      <xdr:nvPicPr>
        <xdr:cNvPr id="24" name="Kuva 23">
          <a:hlinkClick xmlns:r="http://schemas.openxmlformats.org/officeDocument/2006/relationships" r:id="rId5"/>
          <a:extLst>
            <a:ext uri="{FF2B5EF4-FFF2-40B4-BE49-F238E27FC236}">
              <a16:creationId xmlns:a16="http://schemas.microsoft.com/office/drawing/2014/main" id="{23778A15-1A1E-4D7D-872F-CA39A35801B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3458" y="6349791"/>
          <a:ext cx="406702" cy="393278"/>
        </a:xfrm>
        <a:prstGeom prst="rect">
          <a:avLst/>
        </a:prstGeom>
      </xdr:spPr>
    </xdr:pic>
    <xdr:clientData/>
  </xdr:oneCellAnchor>
  <xdr:oneCellAnchor>
    <xdr:from>
      <xdr:col>0</xdr:col>
      <xdr:colOff>223080</xdr:colOff>
      <xdr:row>106</xdr:row>
      <xdr:rowOff>9271</xdr:rowOff>
    </xdr:from>
    <xdr:ext cx="406703" cy="396000"/>
    <xdr:pic>
      <xdr:nvPicPr>
        <xdr:cNvPr id="25" name="Kuva 24">
          <a:hlinkClick xmlns:r="http://schemas.openxmlformats.org/officeDocument/2006/relationships" r:id="rId7"/>
          <a:extLst>
            <a:ext uri="{FF2B5EF4-FFF2-40B4-BE49-F238E27FC236}">
              <a16:creationId xmlns:a16="http://schemas.microsoft.com/office/drawing/2014/main" id="{16807520-FB97-4D23-9162-333AD007778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23080" y="5533771"/>
          <a:ext cx="406703" cy="396000"/>
        </a:xfrm>
        <a:prstGeom prst="rect">
          <a:avLst/>
        </a:prstGeom>
      </xdr:spPr>
    </xdr:pic>
    <xdr:clientData/>
  </xdr:oneCellAnchor>
  <xdr:oneCellAnchor>
    <xdr:from>
      <xdr:col>0</xdr:col>
      <xdr:colOff>219075</xdr:colOff>
      <xdr:row>103</xdr:row>
      <xdr:rowOff>67962</xdr:rowOff>
    </xdr:from>
    <xdr:ext cx="406703" cy="396000"/>
    <xdr:pic>
      <xdr:nvPicPr>
        <xdr:cNvPr id="26" name="Kuva 25">
          <a:hlinkClick xmlns:r="http://schemas.openxmlformats.org/officeDocument/2006/relationships" r:id="rId9"/>
          <a:extLst>
            <a:ext uri="{FF2B5EF4-FFF2-40B4-BE49-F238E27FC236}">
              <a16:creationId xmlns:a16="http://schemas.microsoft.com/office/drawing/2014/main" id="{3404C043-A048-43C9-9E82-AA32F2F942B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19075" y="5125737"/>
          <a:ext cx="406703" cy="396000"/>
        </a:xfrm>
        <a:prstGeom prst="rect">
          <a:avLst/>
        </a:prstGeom>
      </xdr:spPr>
    </xdr:pic>
    <xdr:clientData/>
  </xdr:oneCellAnchor>
  <xdr:oneCellAnchor>
    <xdr:from>
      <xdr:col>0</xdr:col>
      <xdr:colOff>226218</xdr:colOff>
      <xdr:row>108</xdr:row>
      <xdr:rowOff>119743</xdr:rowOff>
    </xdr:from>
    <xdr:ext cx="406703" cy="393619"/>
    <xdr:pic>
      <xdr:nvPicPr>
        <xdr:cNvPr id="27" name="Kuva 26">
          <a:hlinkClick xmlns:r="http://schemas.openxmlformats.org/officeDocument/2006/relationships" r:id="rId11"/>
          <a:extLst>
            <a:ext uri="{FF2B5EF4-FFF2-40B4-BE49-F238E27FC236}">
              <a16:creationId xmlns:a16="http://schemas.microsoft.com/office/drawing/2014/main" id="{73CCF11D-66C0-42EC-9ED3-C8B2F472087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6218" y="5949043"/>
          <a:ext cx="406703" cy="393619"/>
        </a:xfrm>
        <a:prstGeom prst="rect">
          <a:avLst/>
        </a:prstGeom>
      </xdr:spPr>
    </xdr:pic>
    <xdr:clientData/>
  </xdr:oneCellAnchor>
  <xdr:oneCellAnchor>
    <xdr:from>
      <xdr:col>0</xdr:col>
      <xdr:colOff>220719</xdr:colOff>
      <xdr:row>95</xdr:row>
      <xdr:rowOff>75214</xdr:rowOff>
    </xdr:from>
    <xdr:ext cx="406703" cy="393701"/>
    <xdr:pic>
      <xdr:nvPicPr>
        <xdr:cNvPr id="28" name="Kuva 27">
          <a:hlinkClick xmlns:r="http://schemas.openxmlformats.org/officeDocument/2006/relationships" r:id="rId13"/>
          <a:extLst>
            <a:ext uri="{FF2B5EF4-FFF2-40B4-BE49-F238E27FC236}">
              <a16:creationId xmlns:a16="http://schemas.microsoft.com/office/drawing/2014/main" id="{95806F60-08C0-42E0-B895-57B4AA745A3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20719" y="3894739"/>
          <a:ext cx="406703" cy="393701"/>
        </a:xfrm>
        <a:prstGeom prst="rect">
          <a:avLst/>
        </a:prstGeom>
      </xdr:spPr>
    </xdr:pic>
    <xdr:clientData/>
  </xdr:oneCellAnchor>
  <xdr:oneCellAnchor>
    <xdr:from>
      <xdr:col>0</xdr:col>
      <xdr:colOff>217442</xdr:colOff>
      <xdr:row>100</xdr:row>
      <xdr:rowOff>127766</xdr:rowOff>
    </xdr:from>
    <xdr:ext cx="408016" cy="393700"/>
    <xdr:pic>
      <xdr:nvPicPr>
        <xdr:cNvPr id="29" name="Kuva 28">
          <a:extLst>
            <a:ext uri="{FF2B5EF4-FFF2-40B4-BE49-F238E27FC236}">
              <a16:creationId xmlns:a16="http://schemas.microsoft.com/office/drawing/2014/main" id="{90D7135C-71EA-4026-A160-9DAA448F6B0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17442" y="4728341"/>
          <a:ext cx="408016" cy="393700"/>
        </a:xfrm>
        <a:prstGeom prst="rect">
          <a:avLst/>
        </a:prstGeom>
      </xdr:spPr>
    </xdr:pic>
    <xdr:clientData/>
  </xdr:oneCellAnchor>
  <xdr:oneCellAnchor>
    <xdr:from>
      <xdr:col>0</xdr:col>
      <xdr:colOff>240196</xdr:colOff>
      <xdr:row>116</xdr:row>
      <xdr:rowOff>82826</xdr:rowOff>
    </xdr:from>
    <xdr:ext cx="361950" cy="354497"/>
    <xdr:pic>
      <xdr:nvPicPr>
        <xdr:cNvPr id="30" name="Kuva 29" descr="Tulostin">
          <a:hlinkClick xmlns:r="http://schemas.openxmlformats.org/officeDocument/2006/relationships" r:id="rId16"/>
          <a:extLst>
            <a:ext uri="{FF2B5EF4-FFF2-40B4-BE49-F238E27FC236}">
              <a16:creationId xmlns:a16="http://schemas.microsoft.com/office/drawing/2014/main" id="{4FA90550-B8FD-4809-9EEE-ACB704E3B63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240196" y="7159901"/>
          <a:ext cx="361950" cy="354497"/>
        </a:xfrm>
        <a:prstGeom prst="rect">
          <a:avLst/>
        </a:prstGeom>
      </xdr:spPr>
    </xdr:pic>
    <xdr:clientData/>
  </xdr:oneCellAnchor>
  <xdr:twoCellAnchor editAs="oneCell">
    <xdr:from>
      <xdr:col>9</xdr:col>
      <xdr:colOff>136071</xdr:colOff>
      <xdr:row>1</xdr:row>
      <xdr:rowOff>32656</xdr:rowOff>
    </xdr:from>
    <xdr:to>
      <xdr:col>10</xdr:col>
      <xdr:colOff>398280</xdr:colOff>
      <xdr:row>3</xdr:row>
      <xdr:rowOff>59009</xdr:rowOff>
    </xdr:to>
    <xdr:pic>
      <xdr:nvPicPr>
        <xdr:cNvPr id="4" name="Picture 3">
          <a:extLst>
            <a:ext uri="{FF2B5EF4-FFF2-40B4-BE49-F238E27FC236}">
              <a16:creationId xmlns:a16="http://schemas.microsoft.com/office/drawing/2014/main" id="{C3895D3D-7D4C-4E9F-8653-12F2811D50F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712528" y="190499"/>
          <a:ext cx="1071834" cy="360000"/>
        </a:xfrm>
        <a:prstGeom prst="rect">
          <a:avLst/>
        </a:prstGeom>
      </xdr:spPr>
    </xdr:pic>
    <xdr:clientData/>
  </xdr:twoCellAnchor>
  <xdr:twoCellAnchor>
    <xdr:from>
      <xdr:col>2</xdr:col>
      <xdr:colOff>2478544</xdr:colOff>
      <xdr:row>0</xdr:row>
      <xdr:rowOff>85996</xdr:rowOff>
    </xdr:from>
    <xdr:to>
      <xdr:col>12</xdr:col>
      <xdr:colOff>284118</xdr:colOff>
      <xdr:row>4</xdr:row>
      <xdr:rowOff>107767</xdr:rowOff>
    </xdr:to>
    <xdr:sp macro="" textlink="">
      <xdr:nvSpPr>
        <xdr:cNvPr id="38" name="AutoShape 189">
          <a:extLst>
            <a:ext uri="{FF2B5EF4-FFF2-40B4-BE49-F238E27FC236}">
              <a16:creationId xmlns:a16="http://schemas.microsoft.com/office/drawing/2014/main" id="{675E29AE-4138-4362-88C0-6D602547D36B}"/>
            </a:ext>
          </a:extLst>
        </xdr:cNvPr>
        <xdr:cNvSpPr>
          <a:spLocks noChangeArrowheads="1"/>
        </xdr:cNvSpPr>
      </xdr:nvSpPr>
      <xdr:spPr bwMode="auto">
        <a:xfrm>
          <a:off x="3529015" y="85996"/>
          <a:ext cx="5735817" cy="674914"/>
        </a:xfrm>
        <a:prstGeom prst="foldedCorner">
          <a:avLst>
            <a:gd name="adj" fmla="val 12500"/>
          </a:avLst>
        </a:prstGeom>
        <a:solidFill>
          <a:srgbClr val="FFC000"/>
        </a:solidFill>
        <a:ln w="15875">
          <a:solidFill>
            <a:srgbClr val="FFC000"/>
          </a:solidFill>
          <a:round/>
          <a:headEnd/>
          <a:tailEnd/>
        </a:ln>
      </xdr:spPr>
      <xdr:txBody>
        <a:bodyPr vertOverflow="clip" wrap="square" lIns="72000" tIns="36000" rIns="36000" bIns="0" anchor="ctr" anchorCtr="0"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fi-FI" sz="1000" b="1" i="0">
              <a:effectLst/>
              <a:latin typeface="Arial" panose="020B0604020202020204" pitchFamily="34" charset="0"/>
              <a:ea typeface="+mn-ea"/>
              <a:cs typeface="Arial" panose="020B0604020202020204" pitchFamily="34" charset="0"/>
            </a:rPr>
            <a:t>IFYLLNADSDIREKTIV (KAN DRAGS BORT MED DATORMUS</a:t>
          </a:r>
          <a:r>
            <a:rPr lang="fi-FI" sz="1000" b="1" i="0" baseline="0">
              <a:effectLst/>
              <a:latin typeface="Arial" panose="020B0604020202020204" pitchFamily="34" charset="0"/>
              <a:ea typeface="+mn-ea"/>
              <a:cs typeface="Arial" panose="020B0604020202020204" pitchFamily="34" charset="0"/>
            </a:rPr>
            <a:t>)</a:t>
          </a:r>
          <a:br>
            <a:rPr lang="fi-FI" sz="1000" b="1" i="0" baseline="0">
              <a:effectLst/>
              <a:latin typeface="Arial" panose="020B0604020202020204" pitchFamily="34" charset="0"/>
              <a:ea typeface="+mn-ea"/>
              <a:cs typeface="Arial" panose="020B0604020202020204" pitchFamily="34" charset="0"/>
            </a:rPr>
          </a:br>
          <a:r>
            <a:rPr lang="fi-FI" sz="1000" b="0" i="0" baseline="0">
              <a:effectLst/>
              <a:latin typeface="Arial" panose="020B0604020202020204" pitchFamily="34" charset="0"/>
              <a:ea typeface="+mn-ea"/>
              <a:cs typeface="Arial" panose="020B0604020202020204" pitchFamily="34" charset="0"/>
            </a:rPr>
            <a:t>Fyll i gula cellerna för Prognos år 1. </a:t>
          </a:r>
          <a:r>
            <a:rPr lang="fi-FI" sz="1000" b="1" i="0" baseline="0">
              <a:solidFill>
                <a:srgbClr val="FF0000"/>
              </a:solidFill>
              <a:effectLst/>
              <a:latin typeface="Arial" panose="020B0604020202020204" pitchFamily="34" charset="0"/>
              <a:ea typeface="+mn-ea"/>
              <a:cs typeface="Arial" panose="020B0604020202020204" pitchFamily="34" charset="0"/>
            </a:rPr>
            <a:t>KOSTNADERNA MED + TECKEN</a:t>
          </a:r>
          <a:r>
            <a:rPr lang="fi-FI" sz="1000" b="0" i="0" baseline="0">
              <a:effectLst/>
              <a:latin typeface="Arial" panose="020B0604020202020204" pitchFamily="34" charset="0"/>
              <a:ea typeface="+mn-ea"/>
              <a:cs typeface="Arial" panose="020B0604020202020204" pitchFamily="34" charset="0"/>
            </a:rPr>
            <a:t>. Om räkenskapsperiodens längd i första perioden är annan än 12 månader</a:t>
          </a:r>
          <a:r>
            <a:rPr lang="fi-FI" sz="1000" b="0" i="0" strike="noStrike" baseline="0">
              <a:solidFill>
                <a:srgbClr val="000000"/>
              </a:solidFill>
              <a:latin typeface="Arial"/>
              <a:cs typeface="Arial"/>
            </a:rPr>
            <a:t>, förändra kostnader motsvarande.</a:t>
          </a:r>
          <a:br>
            <a:rPr lang="fi-FI" sz="1000" b="0" i="0" strike="noStrike" baseline="0">
              <a:solidFill>
                <a:srgbClr val="000000"/>
              </a:solidFill>
              <a:latin typeface="Arial"/>
              <a:cs typeface="Arial"/>
            </a:rPr>
          </a:br>
          <a:endParaRPr lang="fi-FI" sz="1000" b="0" i="0" strike="noStrike">
            <a:solidFill>
              <a:srgbClr val="000000"/>
            </a:solidFill>
            <a:latin typeface="Arial"/>
            <a:cs typeface="Arial"/>
          </a:endParaRPr>
        </a:p>
      </xdr:txBody>
    </xdr:sp>
    <xdr:clientData fLocksWithSheet="0" fPrintsWithSheet="0"/>
  </xdr:twoCellAnchor>
</xdr:wsDr>
</file>

<file path=xl/drawings/drawing5.xml><?xml version="1.0" encoding="utf-8"?>
<xdr:wsDr xmlns:xdr="http://schemas.openxmlformats.org/drawingml/2006/spreadsheetDrawing" xmlns:a="http://schemas.openxmlformats.org/drawingml/2006/main">
  <xdr:oneCellAnchor>
    <xdr:from>
      <xdr:col>0</xdr:col>
      <xdr:colOff>186928</xdr:colOff>
      <xdr:row>37</xdr:row>
      <xdr:rowOff>104212</xdr:rowOff>
    </xdr:from>
    <xdr:ext cx="406703" cy="396000"/>
    <xdr:pic>
      <xdr:nvPicPr>
        <xdr:cNvPr id="13" name="Kuva 12">
          <a:hlinkClick xmlns:r="http://schemas.openxmlformats.org/officeDocument/2006/relationships" r:id="rId1"/>
          <a:extLst>
            <a:ext uri="{FF2B5EF4-FFF2-40B4-BE49-F238E27FC236}">
              <a16:creationId xmlns:a16="http://schemas.microsoft.com/office/drawing/2014/main" id="{8E1D362A-8C01-4277-84D9-56BB83713B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6928" y="7295587"/>
          <a:ext cx="406703" cy="396000"/>
        </a:xfrm>
        <a:prstGeom prst="rect">
          <a:avLst/>
        </a:prstGeom>
      </xdr:spPr>
    </xdr:pic>
    <xdr:clientData/>
  </xdr:oneCellAnchor>
  <xdr:oneCellAnchor>
    <xdr:from>
      <xdr:col>0</xdr:col>
      <xdr:colOff>181996</xdr:colOff>
      <xdr:row>40</xdr:row>
      <xdr:rowOff>54716</xdr:rowOff>
    </xdr:from>
    <xdr:ext cx="406703" cy="396000"/>
    <xdr:pic>
      <xdr:nvPicPr>
        <xdr:cNvPr id="14" name="Kuva 13">
          <a:hlinkClick xmlns:r="http://schemas.openxmlformats.org/officeDocument/2006/relationships" r:id="rId3"/>
          <a:extLst>
            <a:ext uri="{FF2B5EF4-FFF2-40B4-BE49-F238E27FC236}">
              <a16:creationId xmlns:a16="http://schemas.microsoft.com/office/drawing/2014/main" id="{9C08D43E-066A-4C5B-8060-25B216F097C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1996" y="7712816"/>
          <a:ext cx="406703" cy="396000"/>
        </a:xfrm>
        <a:prstGeom prst="rect">
          <a:avLst/>
        </a:prstGeom>
      </xdr:spPr>
    </xdr:pic>
    <xdr:clientData/>
  </xdr:oneCellAnchor>
  <xdr:oneCellAnchor>
    <xdr:from>
      <xdr:col>0</xdr:col>
      <xdr:colOff>183677</xdr:colOff>
      <xdr:row>53</xdr:row>
      <xdr:rowOff>111068</xdr:rowOff>
    </xdr:from>
    <xdr:ext cx="406703" cy="396000"/>
    <xdr:pic>
      <xdr:nvPicPr>
        <xdr:cNvPr id="15" name="Kuva 14">
          <a:hlinkClick xmlns:r="http://schemas.openxmlformats.org/officeDocument/2006/relationships" r:id="rId5"/>
          <a:extLst>
            <a:ext uri="{FF2B5EF4-FFF2-40B4-BE49-F238E27FC236}">
              <a16:creationId xmlns:a16="http://schemas.microsoft.com/office/drawing/2014/main" id="{33A759EB-1D44-4B15-9493-7036E4AE304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3677" y="9769418"/>
          <a:ext cx="406703" cy="396000"/>
        </a:xfrm>
        <a:prstGeom prst="rect">
          <a:avLst/>
        </a:prstGeom>
      </xdr:spPr>
    </xdr:pic>
    <xdr:clientData/>
  </xdr:oneCellAnchor>
  <xdr:oneCellAnchor>
    <xdr:from>
      <xdr:col>0</xdr:col>
      <xdr:colOff>185358</xdr:colOff>
      <xdr:row>51</xdr:row>
      <xdr:rowOff>6141</xdr:rowOff>
    </xdr:from>
    <xdr:ext cx="406702" cy="393278"/>
    <xdr:pic>
      <xdr:nvPicPr>
        <xdr:cNvPr id="16" name="Kuva 15">
          <a:hlinkClick xmlns:r="http://schemas.openxmlformats.org/officeDocument/2006/relationships" r:id="rId7"/>
          <a:extLst>
            <a:ext uri="{FF2B5EF4-FFF2-40B4-BE49-F238E27FC236}">
              <a16:creationId xmlns:a16="http://schemas.microsoft.com/office/drawing/2014/main" id="{59D451B0-D67C-44C7-9660-1E4ED028813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5358" y="9359691"/>
          <a:ext cx="406702" cy="393278"/>
        </a:xfrm>
        <a:prstGeom prst="rect">
          <a:avLst/>
        </a:prstGeom>
      </xdr:spPr>
    </xdr:pic>
    <xdr:clientData/>
  </xdr:oneCellAnchor>
  <xdr:oneCellAnchor>
    <xdr:from>
      <xdr:col>0</xdr:col>
      <xdr:colOff>184980</xdr:colOff>
      <xdr:row>45</xdr:row>
      <xdr:rowOff>104521</xdr:rowOff>
    </xdr:from>
    <xdr:ext cx="406703" cy="396000"/>
    <xdr:pic>
      <xdr:nvPicPr>
        <xdr:cNvPr id="17" name="Kuva 16">
          <a:hlinkClick xmlns:r="http://schemas.openxmlformats.org/officeDocument/2006/relationships" r:id="rId9"/>
          <a:extLst>
            <a:ext uri="{FF2B5EF4-FFF2-40B4-BE49-F238E27FC236}">
              <a16:creationId xmlns:a16="http://schemas.microsoft.com/office/drawing/2014/main" id="{13BFE984-4D7B-4B8E-AE6E-E2F39894BAA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4980" y="8534146"/>
          <a:ext cx="406703" cy="396000"/>
        </a:xfrm>
        <a:prstGeom prst="rect">
          <a:avLst/>
        </a:prstGeom>
      </xdr:spPr>
    </xdr:pic>
    <xdr:clientData/>
  </xdr:oneCellAnchor>
  <xdr:oneCellAnchor>
    <xdr:from>
      <xdr:col>0</xdr:col>
      <xdr:colOff>188118</xdr:colOff>
      <xdr:row>48</xdr:row>
      <xdr:rowOff>62593</xdr:rowOff>
    </xdr:from>
    <xdr:ext cx="406703" cy="393619"/>
    <xdr:pic>
      <xdr:nvPicPr>
        <xdr:cNvPr id="18" name="Kuva 17">
          <a:hlinkClick xmlns:r="http://schemas.openxmlformats.org/officeDocument/2006/relationships" r:id="rId11"/>
          <a:extLst>
            <a:ext uri="{FF2B5EF4-FFF2-40B4-BE49-F238E27FC236}">
              <a16:creationId xmlns:a16="http://schemas.microsoft.com/office/drawing/2014/main" id="{E910E2EE-88FA-40D8-84E4-3EF15FBF93F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8118" y="8949418"/>
          <a:ext cx="406703" cy="393619"/>
        </a:xfrm>
        <a:prstGeom prst="rect">
          <a:avLst/>
        </a:prstGeom>
      </xdr:spPr>
    </xdr:pic>
    <xdr:clientData/>
  </xdr:oneCellAnchor>
  <xdr:oneCellAnchor>
    <xdr:from>
      <xdr:col>0</xdr:col>
      <xdr:colOff>184556</xdr:colOff>
      <xdr:row>42</xdr:row>
      <xdr:rowOff>160734</xdr:rowOff>
    </xdr:from>
    <xdr:ext cx="406702" cy="393618"/>
    <xdr:pic>
      <xdr:nvPicPr>
        <xdr:cNvPr id="19" name="Kuva 18">
          <a:extLst>
            <a:ext uri="{FF2B5EF4-FFF2-40B4-BE49-F238E27FC236}">
              <a16:creationId xmlns:a16="http://schemas.microsoft.com/office/drawing/2014/main" id="{7C9FF9B1-318E-40D6-A799-83B282D1CE5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84556" y="8114109"/>
          <a:ext cx="406702" cy="393618"/>
        </a:xfrm>
        <a:prstGeom prst="rect">
          <a:avLst/>
        </a:prstGeom>
      </xdr:spPr>
    </xdr:pic>
    <xdr:clientData/>
  </xdr:oneCellAnchor>
  <xdr:oneCellAnchor>
    <xdr:from>
      <xdr:col>0</xdr:col>
      <xdr:colOff>196462</xdr:colOff>
      <xdr:row>35</xdr:row>
      <xdr:rowOff>0</xdr:rowOff>
    </xdr:from>
    <xdr:ext cx="406702" cy="399572"/>
    <xdr:pic>
      <xdr:nvPicPr>
        <xdr:cNvPr id="20" name="Kuva 19">
          <a:hlinkClick xmlns:r="http://schemas.openxmlformats.org/officeDocument/2006/relationships" r:id="rId14"/>
          <a:extLst>
            <a:ext uri="{FF2B5EF4-FFF2-40B4-BE49-F238E27FC236}">
              <a16:creationId xmlns:a16="http://schemas.microsoft.com/office/drawing/2014/main" id="{9183F501-244D-465E-9572-F32CDDB1F4C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96462" y="6886575"/>
          <a:ext cx="406702" cy="399572"/>
        </a:xfrm>
        <a:prstGeom prst="rect">
          <a:avLst/>
        </a:prstGeom>
      </xdr:spPr>
    </xdr:pic>
    <xdr:clientData/>
  </xdr:oneCellAnchor>
  <xdr:oneCellAnchor>
    <xdr:from>
      <xdr:col>0</xdr:col>
      <xdr:colOff>198783</xdr:colOff>
      <xdr:row>56</xdr:row>
      <xdr:rowOff>57978</xdr:rowOff>
    </xdr:from>
    <xdr:ext cx="361950" cy="368577"/>
    <xdr:pic>
      <xdr:nvPicPr>
        <xdr:cNvPr id="21" name="Kuva 20" descr="Tulostin">
          <a:hlinkClick xmlns:r="http://schemas.openxmlformats.org/officeDocument/2006/relationships" r:id="rId16"/>
          <a:extLst>
            <a:ext uri="{FF2B5EF4-FFF2-40B4-BE49-F238E27FC236}">
              <a16:creationId xmlns:a16="http://schemas.microsoft.com/office/drawing/2014/main" id="{8390B69F-0076-4451-9927-ADB343BBEB7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98783" y="10316403"/>
          <a:ext cx="361950" cy="368577"/>
        </a:xfrm>
        <a:prstGeom prst="rect">
          <a:avLst/>
        </a:prstGeom>
      </xdr:spPr>
    </xdr:pic>
    <xdr:clientData/>
  </xdr:oneCellAnchor>
  <xdr:twoCellAnchor editAs="oneCell">
    <xdr:from>
      <xdr:col>6</xdr:col>
      <xdr:colOff>800099</xdr:colOff>
      <xdr:row>1</xdr:row>
      <xdr:rowOff>168730</xdr:rowOff>
    </xdr:from>
    <xdr:to>
      <xdr:col>8</xdr:col>
      <xdr:colOff>679</xdr:colOff>
      <xdr:row>3</xdr:row>
      <xdr:rowOff>167869</xdr:rowOff>
    </xdr:to>
    <xdr:pic>
      <xdr:nvPicPr>
        <xdr:cNvPr id="4" name="Picture 3">
          <a:extLst>
            <a:ext uri="{FF2B5EF4-FFF2-40B4-BE49-F238E27FC236}">
              <a16:creationId xmlns:a16="http://schemas.microsoft.com/office/drawing/2014/main" id="{AD9B9DFB-1B1C-45AC-96C9-8E25EBF937C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92685" y="326573"/>
          <a:ext cx="1071834" cy="360000"/>
        </a:xfrm>
        <a:prstGeom prst="rect">
          <a:avLst/>
        </a:prstGeom>
      </xdr:spPr>
    </xdr:pic>
    <xdr:clientData/>
  </xdr:twoCellAnchor>
  <xdr:twoCellAnchor>
    <xdr:from>
      <xdr:col>2</xdr:col>
      <xdr:colOff>577355</xdr:colOff>
      <xdr:row>0</xdr:row>
      <xdr:rowOff>123008</xdr:rowOff>
    </xdr:from>
    <xdr:to>
      <xdr:col>12</xdr:col>
      <xdr:colOff>645524</xdr:colOff>
      <xdr:row>4</xdr:row>
      <xdr:rowOff>53611</xdr:rowOff>
    </xdr:to>
    <xdr:sp macro="" textlink="">
      <xdr:nvSpPr>
        <xdr:cNvPr id="24" name="AutoShape 189">
          <a:extLst>
            <a:ext uri="{FF2B5EF4-FFF2-40B4-BE49-F238E27FC236}">
              <a16:creationId xmlns:a16="http://schemas.microsoft.com/office/drawing/2014/main" id="{E0CB61E8-DE76-4AED-A596-5F50E053C67D}"/>
            </a:ext>
          </a:extLst>
        </xdr:cNvPr>
        <xdr:cNvSpPr>
          <a:spLocks noChangeArrowheads="1"/>
        </xdr:cNvSpPr>
      </xdr:nvSpPr>
      <xdr:spPr bwMode="auto">
        <a:xfrm>
          <a:off x="3636241" y="123008"/>
          <a:ext cx="6289354" cy="670832"/>
        </a:xfrm>
        <a:prstGeom prst="foldedCorner">
          <a:avLst>
            <a:gd name="adj" fmla="val 12500"/>
          </a:avLst>
        </a:prstGeom>
        <a:solidFill>
          <a:srgbClr val="FFC000"/>
        </a:solidFill>
        <a:ln w="15875">
          <a:solidFill>
            <a:srgbClr val="FFC000"/>
          </a:solidFill>
          <a:round/>
          <a:headEnd/>
          <a:tailEnd/>
        </a:ln>
      </xdr:spPr>
      <xdr:txBody>
        <a:bodyPr vertOverflow="clip" wrap="square" lIns="72000" tIns="36000" rIns="36000" bIns="36000" anchor="t" anchorCtr="0" upright="1"/>
        <a:lstStyle/>
        <a:p>
          <a:pPr rtl="0" eaLnBrk="1" fontAlgn="auto" latinLnBrk="0" hangingPunct="1"/>
          <a:r>
            <a:rPr lang="fi-FI" sz="1100" b="1" i="0">
              <a:effectLst/>
              <a:latin typeface="+mn-lt"/>
              <a:ea typeface="+mn-ea"/>
              <a:cs typeface="+mn-cs"/>
            </a:rPr>
            <a:t>IFYLLNADSDIREKTIV (KAN DRAGS BORT MED DATORMUS</a:t>
          </a:r>
          <a:r>
            <a:rPr lang="fi-FI" sz="1100" b="1" i="0" baseline="0">
              <a:effectLst/>
              <a:latin typeface="+mn-lt"/>
              <a:ea typeface="+mn-ea"/>
              <a:cs typeface="+mn-cs"/>
            </a:rPr>
            <a:t>)</a:t>
          </a:r>
          <a:endParaRPr lang="fi-FI" sz="800">
            <a:effectLst/>
          </a:endParaRPr>
        </a:p>
        <a:p>
          <a:pPr algn="l" rtl="0">
            <a:lnSpc>
              <a:spcPts val="1300"/>
            </a:lnSpc>
            <a:defRPr sz="1000"/>
          </a:pPr>
          <a:r>
            <a:rPr lang="fi-FI" sz="1000" b="0" i="0" strike="noStrike">
              <a:solidFill>
                <a:srgbClr val="000000"/>
              </a:solidFill>
              <a:latin typeface="Arial"/>
              <a:cs typeface="Arial"/>
            </a:rPr>
            <a:t>Observera räkenskapsperiodens</a:t>
          </a:r>
          <a:r>
            <a:rPr lang="fi-FI" sz="1000" b="0" i="0" strike="noStrike" baseline="0">
              <a:solidFill>
                <a:srgbClr val="000000"/>
              </a:solidFill>
              <a:latin typeface="Arial"/>
              <a:cs typeface="Arial"/>
            </a:rPr>
            <a:t> längd vid kalkylering av omsättning. FYLL I GYLA CELLERNA! Välj rätta Moms-% enligt produkten</a:t>
          </a:r>
          <a:r>
            <a:rPr lang="fi-FI" sz="1100" b="0" i="0" strike="noStrike" baseline="0">
              <a:solidFill>
                <a:srgbClr val="000000"/>
              </a:solidFill>
              <a:latin typeface="Arial"/>
              <a:cs typeface="Arial"/>
            </a:rPr>
            <a:t>! </a:t>
          </a:r>
          <a:r>
            <a:rPr lang="fi-FI" sz="1000" b="1" i="0" baseline="0">
              <a:solidFill>
                <a:srgbClr val="FF0000"/>
              </a:solidFill>
              <a:effectLst/>
              <a:latin typeface="Arial" panose="020B0604020202020204" pitchFamily="34" charset="0"/>
              <a:ea typeface="+mn-ea"/>
              <a:cs typeface="Arial" panose="020B0604020202020204" pitchFamily="34" charset="0"/>
            </a:rPr>
            <a:t>MATERIALBRUK MED + TECKEN</a:t>
          </a:r>
          <a:r>
            <a:rPr lang="fi-FI" sz="1000" b="0" i="0" baseline="0">
              <a:effectLst/>
              <a:latin typeface="Arial" panose="020B0604020202020204" pitchFamily="34" charset="0"/>
              <a:ea typeface="+mn-ea"/>
              <a:cs typeface="Arial" panose="020B0604020202020204" pitchFamily="34" charset="0"/>
            </a:rPr>
            <a:t>.</a:t>
          </a:r>
          <a:r>
            <a:rPr lang="fi-FI" sz="1000" b="0" i="0" strike="noStrike" baseline="0">
              <a:solidFill>
                <a:srgbClr val="000000"/>
              </a:solidFill>
              <a:latin typeface="Arial" panose="020B0604020202020204" pitchFamily="34" charset="0"/>
              <a:cs typeface="Arial" panose="020B0604020202020204" pitchFamily="34" charset="0"/>
            </a:rPr>
            <a:t> </a:t>
          </a:r>
          <a:r>
            <a:rPr lang="fi-FI" sz="1000" b="0" i="0" strike="noStrike" baseline="0">
              <a:solidFill>
                <a:srgbClr val="000000"/>
              </a:solidFill>
              <a:latin typeface="Arial"/>
              <a:cs typeface="Arial"/>
            </a:rPr>
            <a:t>Observera %-höjning på höger!</a:t>
          </a:r>
          <a:endParaRPr lang="fi-FI" sz="900" b="0" i="0" strike="noStrike">
            <a:solidFill>
              <a:srgbClr val="004990"/>
            </a:solidFill>
            <a:latin typeface="Arial"/>
            <a:cs typeface="Arial"/>
          </a:endParaRPr>
        </a:p>
      </xdr:txBody>
    </xdr:sp>
    <xdr:clientData fLocksWithSheet="0" fPrintsWithSheet="0"/>
  </xdr:twoCellAnchor>
</xdr:wsDr>
</file>

<file path=xl/drawings/drawing6.xml><?xml version="1.0" encoding="utf-8"?>
<xdr:wsDr xmlns:xdr="http://schemas.openxmlformats.org/drawingml/2006/spreadsheetDrawing" xmlns:a="http://schemas.openxmlformats.org/drawingml/2006/main">
  <xdr:twoCellAnchor>
    <xdr:from>
      <xdr:col>3</xdr:col>
      <xdr:colOff>472443</xdr:colOff>
      <xdr:row>0</xdr:row>
      <xdr:rowOff>12383</xdr:rowOff>
    </xdr:from>
    <xdr:to>
      <xdr:col>7</xdr:col>
      <xdr:colOff>495300</xdr:colOff>
      <xdr:row>3</xdr:row>
      <xdr:rowOff>59872</xdr:rowOff>
    </xdr:to>
    <xdr:sp macro="" textlink="">
      <xdr:nvSpPr>
        <xdr:cNvPr id="20" name="AutoShape 189">
          <a:extLst>
            <a:ext uri="{FF2B5EF4-FFF2-40B4-BE49-F238E27FC236}">
              <a16:creationId xmlns:a16="http://schemas.microsoft.com/office/drawing/2014/main" id="{00000000-0008-0000-0400-000014000000}"/>
            </a:ext>
          </a:extLst>
        </xdr:cNvPr>
        <xdr:cNvSpPr>
          <a:spLocks noChangeArrowheads="1"/>
        </xdr:cNvSpPr>
      </xdr:nvSpPr>
      <xdr:spPr bwMode="auto">
        <a:xfrm>
          <a:off x="3411586" y="12383"/>
          <a:ext cx="2722514" cy="559118"/>
        </a:xfrm>
        <a:prstGeom prst="foldedCorner">
          <a:avLst>
            <a:gd name="adj" fmla="val 12500"/>
          </a:avLst>
        </a:prstGeom>
        <a:solidFill>
          <a:srgbClr val="FFC000"/>
        </a:solidFill>
        <a:ln w="15875">
          <a:noFill/>
          <a:round/>
          <a:headEnd/>
          <a:tailEnd/>
        </a:ln>
      </xdr:spPr>
      <xdr:txBody>
        <a:bodyPr vertOverflow="clip" wrap="square" lIns="72000" tIns="72000" rIns="36000" bIns="36000" anchor="ctr" upright="1"/>
        <a:lstStyle/>
        <a:p>
          <a:pPr algn="l" rtl="0">
            <a:lnSpc>
              <a:spcPts val="1300"/>
            </a:lnSpc>
            <a:defRPr sz="1000"/>
          </a:pPr>
          <a:r>
            <a:rPr lang="fi-FI" sz="1000" b="1" i="0" strike="noStrike">
              <a:solidFill>
                <a:srgbClr val="000000"/>
              </a:solidFill>
              <a:latin typeface="Arial"/>
              <a:cs typeface="Arial"/>
            </a:rPr>
            <a:t>IFYLLNADSDIREKTIV</a:t>
          </a:r>
          <a:br>
            <a:rPr lang="fi-FI" sz="1000" b="1" i="0" strike="noStrike">
              <a:solidFill>
                <a:srgbClr val="000000"/>
              </a:solidFill>
              <a:latin typeface="Arial"/>
              <a:cs typeface="Arial"/>
            </a:rPr>
          </a:br>
          <a:r>
            <a:rPr lang="fi-FI" sz="1000" b="1" i="0" strike="noStrike">
              <a:solidFill>
                <a:srgbClr val="000000"/>
              </a:solidFill>
              <a:latin typeface="Arial"/>
              <a:cs typeface="Arial"/>
            </a:rPr>
            <a:t>Kontrollera speciellt</a:t>
          </a:r>
          <a:r>
            <a:rPr lang="fi-FI" sz="1000" b="1" i="0" strike="noStrike" baseline="0">
              <a:solidFill>
                <a:srgbClr val="000000"/>
              </a:solidFill>
              <a:latin typeface="Arial"/>
              <a:cs typeface="Arial"/>
            </a:rPr>
            <a:t> punkten</a:t>
          </a:r>
          <a:r>
            <a:rPr lang="fi-FI" sz="1000" b="1" i="0" strike="noStrike" baseline="0">
              <a:solidFill>
                <a:sysClr val="windowText" lastClr="000000"/>
              </a:solidFill>
              <a:latin typeface="Arial"/>
              <a:cs typeface="Arial"/>
            </a:rPr>
            <a:t> 28 - 34! </a:t>
          </a:r>
          <a:endParaRPr lang="fi-FI" sz="900" b="1" i="0" strike="noStrike">
            <a:solidFill>
              <a:sysClr val="windowText" lastClr="000000"/>
            </a:solidFill>
            <a:latin typeface="Arial"/>
            <a:cs typeface="Arial"/>
          </a:endParaRPr>
        </a:p>
      </xdr:txBody>
    </xdr:sp>
    <xdr:clientData fLocksWithSheet="0" fPrintsWithSheet="0"/>
  </xdr:twoCellAnchor>
  <xdr:oneCellAnchor>
    <xdr:from>
      <xdr:col>0</xdr:col>
      <xdr:colOff>186928</xdr:colOff>
      <xdr:row>30</xdr:row>
      <xdr:rowOff>123262</xdr:rowOff>
    </xdr:from>
    <xdr:ext cx="406703" cy="396000"/>
    <xdr:pic>
      <xdr:nvPicPr>
        <xdr:cNvPr id="14" name="Kuva 13">
          <a:hlinkClick xmlns:r="http://schemas.openxmlformats.org/officeDocument/2006/relationships" r:id="rId1"/>
          <a:extLst>
            <a:ext uri="{FF2B5EF4-FFF2-40B4-BE49-F238E27FC236}">
              <a16:creationId xmlns:a16="http://schemas.microsoft.com/office/drawing/2014/main" id="{B13A546D-44C4-4779-B848-E92FF56B36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6928" y="11848537"/>
          <a:ext cx="406703" cy="396000"/>
        </a:xfrm>
        <a:prstGeom prst="rect">
          <a:avLst/>
        </a:prstGeom>
      </xdr:spPr>
    </xdr:pic>
    <xdr:clientData/>
  </xdr:oneCellAnchor>
  <xdr:oneCellAnchor>
    <xdr:from>
      <xdr:col>0</xdr:col>
      <xdr:colOff>181996</xdr:colOff>
      <xdr:row>33</xdr:row>
      <xdr:rowOff>45191</xdr:rowOff>
    </xdr:from>
    <xdr:ext cx="406703" cy="396000"/>
    <xdr:pic>
      <xdr:nvPicPr>
        <xdr:cNvPr id="15" name="Kuva 14">
          <a:hlinkClick xmlns:r="http://schemas.openxmlformats.org/officeDocument/2006/relationships" r:id="rId3"/>
          <a:extLst>
            <a:ext uri="{FF2B5EF4-FFF2-40B4-BE49-F238E27FC236}">
              <a16:creationId xmlns:a16="http://schemas.microsoft.com/office/drawing/2014/main" id="{37E24602-7F76-440E-BCE5-4C1538D4CE3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1996" y="12256241"/>
          <a:ext cx="406703" cy="396000"/>
        </a:xfrm>
        <a:prstGeom prst="rect">
          <a:avLst/>
        </a:prstGeom>
      </xdr:spPr>
    </xdr:pic>
    <xdr:clientData/>
  </xdr:oneCellAnchor>
  <xdr:oneCellAnchor>
    <xdr:from>
      <xdr:col>0</xdr:col>
      <xdr:colOff>183677</xdr:colOff>
      <xdr:row>45</xdr:row>
      <xdr:rowOff>158693</xdr:rowOff>
    </xdr:from>
    <xdr:ext cx="406703" cy="396000"/>
    <xdr:pic>
      <xdr:nvPicPr>
        <xdr:cNvPr id="16" name="Kuva 15">
          <a:hlinkClick xmlns:r="http://schemas.openxmlformats.org/officeDocument/2006/relationships" r:id="rId5"/>
          <a:extLst>
            <a:ext uri="{FF2B5EF4-FFF2-40B4-BE49-F238E27FC236}">
              <a16:creationId xmlns:a16="http://schemas.microsoft.com/office/drawing/2014/main" id="{1776F0BE-B66A-435C-9871-78845594F24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3677" y="14312843"/>
          <a:ext cx="406703" cy="396000"/>
        </a:xfrm>
        <a:prstGeom prst="rect">
          <a:avLst/>
        </a:prstGeom>
      </xdr:spPr>
    </xdr:pic>
    <xdr:clientData/>
  </xdr:oneCellAnchor>
  <xdr:oneCellAnchor>
    <xdr:from>
      <xdr:col>0</xdr:col>
      <xdr:colOff>185358</xdr:colOff>
      <xdr:row>43</xdr:row>
      <xdr:rowOff>72816</xdr:rowOff>
    </xdr:from>
    <xdr:ext cx="406702" cy="393278"/>
    <xdr:pic>
      <xdr:nvPicPr>
        <xdr:cNvPr id="17" name="Kuva 16">
          <a:hlinkClick xmlns:r="http://schemas.openxmlformats.org/officeDocument/2006/relationships" r:id="rId7"/>
          <a:extLst>
            <a:ext uri="{FF2B5EF4-FFF2-40B4-BE49-F238E27FC236}">
              <a16:creationId xmlns:a16="http://schemas.microsoft.com/office/drawing/2014/main" id="{AACEA930-380B-406B-870B-9E5B04C807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5358" y="13903116"/>
          <a:ext cx="406702" cy="393278"/>
        </a:xfrm>
        <a:prstGeom prst="rect">
          <a:avLst/>
        </a:prstGeom>
      </xdr:spPr>
    </xdr:pic>
    <xdr:clientData/>
  </xdr:oneCellAnchor>
  <xdr:oneCellAnchor>
    <xdr:from>
      <xdr:col>0</xdr:col>
      <xdr:colOff>180975</xdr:colOff>
      <xdr:row>35</xdr:row>
      <xdr:rowOff>134637</xdr:rowOff>
    </xdr:from>
    <xdr:ext cx="406703" cy="396000"/>
    <xdr:pic>
      <xdr:nvPicPr>
        <xdr:cNvPr id="18" name="Kuva 17">
          <a:hlinkClick xmlns:r="http://schemas.openxmlformats.org/officeDocument/2006/relationships" r:id="rId9"/>
          <a:extLst>
            <a:ext uri="{FF2B5EF4-FFF2-40B4-BE49-F238E27FC236}">
              <a16:creationId xmlns:a16="http://schemas.microsoft.com/office/drawing/2014/main" id="{30130F1F-B597-4C5A-BCE5-33F6899DFE7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0975" y="12669537"/>
          <a:ext cx="406703" cy="396000"/>
        </a:xfrm>
        <a:prstGeom prst="rect">
          <a:avLst/>
        </a:prstGeom>
      </xdr:spPr>
    </xdr:pic>
    <xdr:clientData/>
  </xdr:oneCellAnchor>
  <xdr:oneCellAnchor>
    <xdr:from>
      <xdr:col>0</xdr:col>
      <xdr:colOff>188118</xdr:colOff>
      <xdr:row>40</xdr:row>
      <xdr:rowOff>148318</xdr:rowOff>
    </xdr:from>
    <xdr:ext cx="406703" cy="393619"/>
    <xdr:pic>
      <xdr:nvPicPr>
        <xdr:cNvPr id="19" name="Kuva 18">
          <a:hlinkClick xmlns:r="http://schemas.openxmlformats.org/officeDocument/2006/relationships" r:id="rId11"/>
          <a:extLst>
            <a:ext uri="{FF2B5EF4-FFF2-40B4-BE49-F238E27FC236}">
              <a16:creationId xmlns:a16="http://schemas.microsoft.com/office/drawing/2014/main" id="{C8A57965-C34D-4419-BD8D-72D902CA1A5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8118" y="13492843"/>
          <a:ext cx="406703" cy="393619"/>
        </a:xfrm>
        <a:prstGeom prst="rect">
          <a:avLst/>
        </a:prstGeom>
      </xdr:spPr>
    </xdr:pic>
    <xdr:clientData/>
  </xdr:oneCellAnchor>
  <xdr:oneCellAnchor>
    <xdr:from>
      <xdr:col>0</xdr:col>
      <xdr:colOff>180984</xdr:colOff>
      <xdr:row>38</xdr:row>
      <xdr:rowOff>53068</xdr:rowOff>
    </xdr:from>
    <xdr:ext cx="406702" cy="396000"/>
    <xdr:pic>
      <xdr:nvPicPr>
        <xdr:cNvPr id="21" name="Kuva 20">
          <a:extLst>
            <a:ext uri="{FF2B5EF4-FFF2-40B4-BE49-F238E27FC236}">
              <a16:creationId xmlns:a16="http://schemas.microsoft.com/office/drawing/2014/main" id="{9FC0BEAE-47B3-446E-BD28-46639373176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80984" y="13073743"/>
          <a:ext cx="406702" cy="396000"/>
        </a:xfrm>
        <a:prstGeom prst="rect">
          <a:avLst/>
        </a:prstGeom>
      </xdr:spPr>
    </xdr:pic>
    <xdr:clientData/>
  </xdr:oneCellAnchor>
  <xdr:oneCellAnchor>
    <xdr:from>
      <xdr:col>0</xdr:col>
      <xdr:colOff>179358</xdr:colOff>
      <xdr:row>28</xdr:row>
      <xdr:rowOff>38564</xdr:rowOff>
    </xdr:from>
    <xdr:ext cx="406702" cy="396000"/>
    <xdr:pic>
      <xdr:nvPicPr>
        <xdr:cNvPr id="22" name="Kuva 21">
          <a:hlinkClick xmlns:r="http://schemas.openxmlformats.org/officeDocument/2006/relationships" r:id="rId14"/>
          <a:extLst>
            <a:ext uri="{FF2B5EF4-FFF2-40B4-BE49-F238E27FC236}">
              <a16:creationId xmlns:a16="http://schemas.microsoft.com/office/drawing/2014/main" id="{94FC765E-C974-4B9A-89EC-6B6B1A49F05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79358" y="11439989"/>
          <a:ext cx="406702" cy="396000"/>
        </a:xfrm>
        <a:prstGeom prst="rect">
          <a:avLst/>
        </a:prstGeom>
      </xdr:spPr>
    </xdr:pic>
    <xdr:clientData/>
  </xdr:oneCellAnchor>
  <xdr:oneCellAnchor>
    <xdr:from>
      <xdr:col>0</xdr:col>
      <xdr:colOff>209550</xdr:colOff>
      <xdr:row>48</xdr:row>
      <xdr:rowOff>76200</xdr:rowOff>
    </xdr:from>
    <xdr:ext cx="361950" cy="361951"/>
    <xdr:pic>
      <xdr:nvPicPr>
        <xdr:cNvPr id="34" name="Kuva 33" descr="Tulostin">
          <a:hlinkClick xmlns:r="http://schemas.openxmlformats.org/officeDocument/2006/relationships" r:id="rId16"/>
          <a:extLst>
            <a:ext uri="{FF2B5EF4-FFF2-40B4-BE49-F238E27FC236}">
              <a16:creationId xmlns:a16="http://schemas.microsoft.com/office/drawing/2014/main" id="{AF6EB088-104D-453B-BC2F-7FA5E6D6F5C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209550" y="14716125"/>
          <a:ext cx="361950" cy="361951"/>
        </a:xfrm>
        <a:prstGeom prst="rect">
          <a:avLst/>
        </a:prstGeom>
      </xdr:spPr>
    </xdr:pic>
    <xdr:clientData/>
  </xdr:oneCellAnchor>
  <xdr:twoCellAnchor editAs="oneCell">
    <xdr:from>
      <xdr:col>8</xdr:col>
      <xdr:colOff>402771</xdr:colOff>
      <xdr:row>1</xdr:row>
      <xdr:rowOff>87086</xdr:rowOff>
    </xdr:from>
    <xdr:to>
      <xdr:col>10</xdr:col>
      <xdr:colOff>2857</xdr:colOff>
      <xdr:row>3</xdr:row>
      <xdr:rowOff>97110</xdr:rowOff>
    </xdr:to>
    <xdr:pic>
      <xdr:nvPicPr>
        <xdr:cNvPr id="4" name="Picture 3">
          <a:extLst>
            <a:ext uri="{FF2B5EF4-FFF2-40B4-BE49-F238E27FC236}">
              <a16:creationId xmlns:a16="http://schemas.microsoft.com/office/drawing/2014/main" id="{036FD97A-FC5A-4E8D-A4ED-CB277451CB7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81800" y="244929"/>
          <a:ext cx="1071834" cy="360000"/>
        </a:xfrm>
        <a:prstGeom prst="rect">
          <a:avLst/>
        </a:prstGeom>
      </xdr:spPr>
    </xdr:pic>
    <xdr:clientData/>
  </xdr:twoCellAnchor>
  <xdr:twoCellAnchor editAs="oneCell">
    <xdr:from>
      <xdr:col>18</xdr:col>
      <xdr:colOff>620486</xdr:colOff>
      <xdr:row>1</xdr:row>
      <xdr:rowOff>81643</xdr:rowOff>
    </xdr:from>
    <xdr:to>
      <xdr:col>19</xdr:col>
      <xdr:colOff>820647</xdr:colOff>
      <xdr:row>3</xdr:row>
      <xdr:rowOff>91667</xdr:rowOff>
    </xdr:to>
    <xdr:pic>
      <xdr:nvPicPr>
        <xdr:cNvPr id="23" name="Picture 22">
          <a:extLst>
            <a:ext uri="{FF2B5EF4-FFF2-40B4-BE49-F238E27FC236}">
              <a16:creationId xmlns:a16="http://schemas.microsoft.com/office/drawing/2014/main" id="{23729F29-2532-456E-B8F5-4FB3F3452C2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075229" y="239486"/>
          <a:ext cx="1071834" cy="36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438150</xdr:colOff>
      <xdr:row>1</xdr:row>
      <xdr:rowOff>109538</xdr:rowOff>
    </xdr:from>
    <xdr:to>
      <xdr:col>10</xdr:col>
      <xdr:colOff>2667</xdr:colOff>
      <xdr:row>3</xdr:row>
      <xdr:rowOff>20519</xdr:rowOff>
    </xdr:to>
    <xdr:pic>
      <xdr:nvPicPr>
        <xdr:cNvPr id="3" name="Kuva 2">
          <a:extLst>
            <a:ext uri="{FF2B5EF4-FFF2-40B4-BE49-F238E27FC236}">
              <a16:creationId xmlns:a16="http://schemas.microsoft.com/office/drawing/2014/main" id="{E540F92D-D8C9-4FE3-93D9-2EADB389F1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10325" y="271463"/>
          <a:ext cx="1078992" cy="371856"/>
        </a:xfrm>
        <a:prstGeom prst="rect">
          <a:avLst/>
        </a:prstGeom>
      </xdr:spPr>
    </xdr:pic>
    <xdr:clientData/>
  </xdr:twoCellAnchor>
  <xdr:twoCellAnchor>
    <xdr:from>
      <xdr:col>2</xdr:col>
      <xdr:colOff>1390650</xdr:colOff>
      <xdr:row>0</xdr:row>
      <xdr:rowOff>97290</xdr:rowOff>
    </xdr:from>
    <xdr:to>
      <xdr:col>10</xdr:col>
      <xdr:colOff>1361</xdr:colOff>
      <xdr:row>7</xdr:row>
      <xdr:rowOff>123144</xdr:rowOff>
    </xdr:to>
    <xdr:sp macro="" textlink="">
      <xdr:nvSpPr>
        <xdr:cNvPr id="26" name="AutoShape 189">
          <a:extLst>
            <a:ext uri="{FF2B5EF4-FFF2-40B4-BE49-F238E27FC236}">
              <a16:creationId xmlns:a16="http://schemas.microsoft.com/office/drawing/2014/main" id="{0ED70AEE-DFA8-4E18-87D8-0ACB07868B5F}"/>
            </a:ext>
          </a:extLst>
        </xdr:cNvPr>
        <xdr:cNvSpPr>
          <a:spLocks noChangeArrowheads="1"/>
        </xdr:cNvSpPr>
      </xdr:nvSpPr>
      <xdr:spPr bwMode="auto">
        <a:xfrm>
          <a:off x="2435679" y="97290"/>
          <a:ext cx="4995182" cy="1277711"/>
        </a:xfrm>
        <a:prstGeom prst="foldedCorner">
          <a:avLst>
            <a:gd name="adj" fmla="val 12500"/>
          </a:avLst>
        </a:prstGeom>
        <a:solidFill>
          <a:srgbClr val="FFC000"/>
        </a:solidFill>
        <a:ln w="15875">
          <a:solidFill>
            <a:srgbClr val="FFC000"/>
          </a:solidFill>
          <a:round/>
          <a:headEnd/>
          <a:tailEnd/>
        </a:ln>
      </xdr:spPr>
      <xdr:txBody>
        <a:bodyPr vertOverflow="clip" wrap="square" lIns="72000" tIns="72000" rIns="36000" bIns="0" anchor="ctr" upright="1"/>
        <a:lstStyle/>
        <a:p>
          <a:pPr rtl="0"/>
          <a:r>
            <a:rPr lang="fi-FI" sz="1100" b="1" i="0" baseline="0">
              <a:effectLst/>
              <a:latin typeface="+mn-lt"/>
              <a:ea typeface="+mn-ea"/>
              <a:cs typeface="+mn-cs"/>
            </a:rPr>
            <a:t>IFYLLNADSDIREKTIV (KAN DRAGS BORT MED DATORMUS)</a:t>
          </a:r>
          <a:endParaRPr lang="fi-FI" sz="1100" i="0">
            <a:effectLst/>
          </a:endParaRPr>
        </a:p>
        <a:p>
          <a:pPr rtl="0"/>
          <a:r>
            <a:rPr lang="fi-FI" sz="1100" b="1" i="0" baseline="0">
              <a:effectLst/>
              <a:latin typeface="+mn-lt"/>
              <a:ea typeface="+mn-ea"/>
              <a:cs typeface="+mn-cs"/>
            </a:rPr>
            <a:t>1. KONTROLLERA GYLA CELLEN OCH TILLÄGG FATTANDE SIFFRORNA! </a:t>
          </a:r>
          <a:br>
            <a:rPr lang="fi-FI" sz="1100" b="1" i="0" baseline="0">
              <a:effectLst/>
              <a:latin typeface="+mn-lt"/>
              <a:ea typeface="+mn-ea"/>
              <a:cs typeface="+mn-cs"/>
            </a:rPr>
          </a:br>
          <a:r>
            <a:rPr lang="fi-FI" sz="1100" b="1" i="0" baseline="0">
              <a:effectLst/>
              <a:latin typeface="+mn-lt"/>
              <a:ea typeface="+mn-ea"/>
              <a:cs typeface="+mn-cs"/>
            </a:rPr>
            <a:t>2. Kontrollera avskrivningsprocenten och investeringarnas bruksmånaderna</a:t>
          </a:r>
          <a:br>
            <a:rPr lang="fi-FI" sz="1100" b="1" i="0" baseline="0">
              <a:effectLst/>
              <a:latin typeface="+mn-lt"/>
              <a:ea typeface="+mn-ea"/>
              <a:cs typeface="+mn-cs"/>
            </a:rPr>
          </a:br>
          <a:r>
            <a:rPr lang="fi-FI" sz="1100" b="1" i="0" baseline="0">
              <a:effectLst/>
              <a:latin typeface="+mn-lt"/>
              <a:ea typeface="+mn-ea"/>
              <a:cs typeface="+mn-cs"/>
            </a:rPr>
            <a:t>    (Anteckningar-tomt)</a:t>
          </a:r>
        </a:p>
        <a:p>
          <a:pPr rtl="0"/>
          <a:r>
            <a:rPr lang="fi-FI" sz="1100" b="1" i="0" baseline="0">
              <a:effectLst/>
              <a:latin typeface="+mn-lt"/>
              <a:ea typeface="+mn-ea"/>
              <a:cs typeface="+mn-cs"/>
            </a:rPr>
            <a:t>3. Kontrollera speciellt procentar i cellen G85 och G93!</a:t>
          </a:r>
          <a:endParaRPr lang="fi-FI" sz="1100" i="0">
            <a:effectLst/>
          </a:endParaRPr>
        </a:p>
        <a:p>
          <a:pPr rtl="0"/>
          <a:r>
            <a:rPr lang="fi-FI" sz="1100" b="1" i="0" baseline="0">
              <a:effectLst/>
              <a:latin typeface="+mn-lt"/>
              <a:ea typeface="+mn-ea"/>
              <a:cs typeface="+mn-cs"/>
            </a:rPr>
            <a:t>4. Tillägg kortfristiga lån av penningväsenden i cellen G77 - J77.</a:t>
          </a:r>
        </a:p>
      </xdr:txBody>
    </xdr:sp>
    <xdr:clientData fLocksWithSheet="0" fPrintsWithSheet="0"/>
  </xdr:twoCellAnchor>
  <xdr:oneCellAnchor>
    <xdr:from>
      <xdr:col>0</xdr:col>
      <xdr:colOff>186928</xdr:colOff>
      <xdr:row>65</xdr:row>
      <xdr:rowOff>123262</xdr:rowOff>
    </xdr:from>
    <xdr:ext cx="406703" cy="396000"/>
    <xdr:pic>
      <xdr:nvPicPr>
        <xdr:cNvPr id="46" name="Kuva 45">
          <a:hlinkClick xmlns:r="http://schemas.openxmlformats.org/officeDocument/2006/relationships" r:id="rId2"/>
          <a:extLst>
            <a:ext uri="{FF2B5EF4-FFF2-40B4-BE49-F238E27FC236}">
              <a16:creationId xmlns:a16="http://schemas.microsoft.com/office/drawing/2014/main" id="{59681FFA-2E5E-4AC4-92F2-AE23DFBD467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6928" y="2761687"/>
          <a:ext cx="406703" cy="396000"/>
        </a:xfrm>
        <a:prstGeom prst="rect">
          <a:avLst/>
        </a:prstGeom>
      </xdr:spPr>
    </xdr:pic>
    <xdr:clientData/>
  </xdr:oneCellAnchor>
  <xdr:oneCellAnchor>
    <xdr:from>
      <xdr:col>0</xdr:col>
      <xdr:colOff>181996</xdr:colOff>
      <xdr:row>68</xdr:row>
      <xdr:rowOff>45191</xdr:rowOff>
    </xdr:from>
    <xdr:ext cx="406703" cy="396000"/>
    <xdr:pic>
      <xdr:nvPicPr>
        <xdr:cNvPr id="47" name="Kuva 46">
          <a:hlinkClick xmlns:r="http://schemas.openxmlformats.org/officeDocument/2006/relationships" r:id="rId4"/>
          <a:extLst>
            <a:ext uri="{FF2B5EF4-FFF2-40B4-BE49-F238E27FC236}">
              <a16:creationId xmlns:a16="http://schemas.microsoft.com/office/drawing/2014/main" id="{AB0146C8-6818-4C73-B8F6-03E849D9032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1996" y="3169391"/>
          <a:ext cx="406703" cy="396000"/>
        </a:xfrm>
        <a:prstGeom prst="rect">
          <a:avLst/>
        </a:prstGeom>
      </xdr:spPr>
    </xdr:pic>
    <xdr:clientData/>
  </xdr:oneCellAnchor>
  <xdr:oneCellAnchor>
    <xdr:from>
      <xdr:col>0</xdr:col>
      <xdr:colOff>183677</xdr:colOff>
      <xdr:row>80</xdr:row>
      <xdr:rowOff>158693</xdr:rowOff>
    </xdr:from>
    <xdr:ext cx="406703" cy="396000"/>
    <xdr:pic>
      <xdr:nvPicPr>
        <xdr:cNvPr id="48" name="Kuva 47">
          <a:hlinkClick xmlns:r="http://schemas.openxmlformats.org/officeDocument/2006/relationships" r:id="rId6"/>
          <a:extLst>
            <a:ext uri="{FF2B5EF4-FFF2-40B4-BE49-F238E27FC236}">
              <a16:creationId xmlns:a16="http://schemas.microsoft.com/office/drawing/2014/main" id="{54587A58-6A37-457B-94A7-5AC87C9EDE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83677" y="5225993"/>
          <a:ext cx="406703" cy="396000"/>
        </a:xfrm>
        <a:prstGeom prst="rect">
          <a:avLst/>
        </a:prstGeom>
      </xdr:spPr>
    </xdr:pic>
    <xdr:clientData/>
  </xdr:oneCellAnchor>
  <xdr:oneCellAnchor>
    <xdr:from>
      <xdr:col>0</xdr:col>
      <xdr:colOff>185358</xdr:colOff>
      <xdr:row>78</xdr:row>
      <xdr:rowOff>72816</xdr:rowOff>
    </xdr:from>
    <xdr:ext cx="406702" cy="393278"/>
    <xdr:pic>
      <xdr:nvPicPr>
        <xdr:cNvPr id="49" name="Kuva 48">
          <a:hlinkClick xmlns:r="http://schemas.openxmlformats.org/officeDocument/2006/relationships" r:id="rId8"/>
          <a:extLst>
            <a:ext uri="{FF2B5EF4-FFF2-40B4-BE49-F238E27FC236}">
              <a16:creationId xmlns:a16="http://schemas.microsoft.com/office/drawing/2014/main" id="{228DF6AD-115C-4AA5-B55B-20ACE606D31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5358" y="4816266"/>
          <a:ext cx="406702" cy="393278"/>
        </a:xfrm>
        <a:prstGeom prst="rect">
          <a:avLst/>
        </a:prstGeom>
      </xdr:spPr>
    </xdr:pic>
    <xdr:clientData/>
  </xdr:oneCellAnchor>
  <xdr:oneCellAnchor>
    <xdr:from>
      <xdr:col>0</xdr:col>
      <xdr:colOff>180975</xdr:colOff>
      <xdr:row>70</xdr:row>
      <xdr:rowOff>134637</xdr:rowOff>
    </xdr:from>
    <xdr:ext cx="406703" cy="396000"/>
    <xdr:pic>
      <xdr:nvPicPr>
        <xdr:cNvPr id="50" name="Kuva 49">
          <a:hlinkClick xmlns:r="http://schemas.openxmlformats.org/officeDocument/2006/relationships" r:id="rId10"/>
          <a:extLst>
            <a:ext uri="{FF2B5EF4-FFF2-40B4-BE49-F238E27FC236}">
              <a16:creationId xmlns:a16="http://schemas.microsoft.com/office/drawing/2014/main" id="{5CAC386D-FAE5-409A-8650-B8ACA881681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0975" y="3582687"/>
          <a:ext cx="406703" cy="396000"/>
        </a:xfrm>
        <a:prstGeom prst="rect">
          <a:avLst/>
        </a:prstGeom>
      </xdr:spPr>
    </xdr:pic>
    <xdr:clientData/>
  </xdr:oneCellAnchor>
  <xdr:oneCellAnchor>
    <xdr:from>
      <xdr:col>0</xdr:col>
      <xdr:colOff>179358</xdr:colOff>
      <xdr:row>63</xdr:row>
      <xdr:rowOff>38564</xdr:rowOff>
    </xdr:from>
    <xdr:ext cx="406702" cy="396000"/>
    <xdr:pic>
      <xdr:nvPicPr>
        <xdr:cNvPr id="51" name="Kuva 50">
          <a:hlinkClick xmlns:r="http://schemas.openxmlformats.org/officeDocument/2006/relationships" r:id="rId12"/>
          <a:extLst>
            <a:ext uri="{FF2B5EF4-FFF2-40B4-BE49-F238E27FC236}">
              <a16:creationId xmlns:a16="http://schemas.microsoft.com/office/drawing/2014/main" id="{E853F563-28B2-4AF6-915C-0F2313EAAC9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79358" y="2353139"/>
          <a:ext cx="406702" cy="396000"/>
        </a:xfrm>
        <a:prstGeom prst="rect">
          <a:avLst/>
        </a:prstGeom>
      </xdr:spPr>
    </xdr:pic>
    <xdr:clientData/>
  </xdr:oneCellAnchor>
  <xdr:oneCellAnchor>
    <xdr:from>
      <xdr:col>0</xdr:col>
      <xdr:colOff>171450</xdr:colOff>
      <xdr:row>73</xdr:row>
      <xdr:rowOff>66675</xdr:rowOff>
    </xdr:from>
    <xdr:ext cx="406703" cy="396000"/>
    <xdr:pic>
      <xdr:nvPicPr>
        <xdr:cNvPr id="52" name="Kuva 51">
          <a:hlinkClick xmlns:r="http://schemas.openxmlformats.org/officeDocument/2006/relationships" r:id="rId14"/>
          <a:extLst>
            <a:ext uri="{FF2B5EF4-FFF2-40B4-BE49-F238E27FC236}">
              <a16:creationId xmlns:a16="http://schemas.microsoft.com/office/drawing/2014/main" id="{5A53A6E9-5D97-4139-828F-3002B75393C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71450" y="4000500"/>
          <a:ext cx="406703" cy="396000"/>
        </a:xfrm>
        <a:prstGeom prst="rect">
          <a:avLst/>
        </a:prstGeom>
      </xdr:spPr>
    </xdr:pic>
    <xdr:clientData/>
  </xdr:oneCellAnchor>
  <xdr:oneCellAnchor>
    <xdr:from>
      <xdr:col>0</xdr:col>
      <xdr:colOff>180975</xdr:colOff>
      <xdr:row>75</xdr:row>
      <xdr:rowOff>133350</xdr:rowOff>
    </xdr:from>
    <xdr:ext cx="417795" cy="406800"/>
    <xdr:pic>
      <xdr:nvPicPr>
        <xdr:cNvPr id="53" name="Kuva 52">
          <a:extLst>
            <a:ext uri="{FF2B5EF4-FFF2-40B4-BE49-F238E27FC236}">
              <a16:creationId xmlns:a16="http://schemas.microsoft.com/office/drawing/2014/main" id="{E7B97DAD-8391-41D0-9CF7-D22C309609E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80975" y="4391025"/>
          <a:ext cx="417795" cy="406800"/>
        </a:xfrm>
        <a:prstGeom prst="rect">
          <a:avLst/>
        </a:prstGeom>
      </xdr:spPr>
    </xdr:pic>
    <xdr:clientData/>
  </xdr:oneCellAnchor>
  <xdr:oneCellAnchor>
    <xdr:from>
      <xdr:col>0</xdr:col>
      <xdr:colOff>219075</xdr:colOff>
      <xdr:row>83</xdr:row>
      <xdr:rowOff>142875</xdr:rowOff>
    </xdr:from>
    <xdr:ext cx="361950" cy="371475"/>
    <xdr:pic>
      <xdr:nvPicPr>
        <xdr:cNvPr id="54" name="Kuva 53" descr="Tulostin">
          <a:hlinkClick xmlns:r="http://schemas.openxmlformats.org/officeDocument/2006/relationships" r:id="rId17"/>
          <a:extLst>
            <a:ext uri="{FF2B5EF4-FFF2-40B4-BE49-F238E27FC236}">
              <a16:creationId xmlns:a16="http://schemas.microsoft.com/office/drawing/2014/main" id="{709AC3B4-186B-482C-8B58-EEEC9F4BFFA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19075" y="13487400"/>
          <a:ext cx="361950" cy="371475"/>
        </a:xfrm>
        <a:prstGeom prst="rect">
          <a:avLst/>
        </a:prstGeom>
      </xdr:spPr>
    </xdr:pic>
    <xdr:clientData/>
  </xdr:oneCellAnchor>
  <xdr:oneCellAnchor>
    <xdr:from>
      <xdr:col>0</xdr:col>
      <xdr:colOff>186928</xdr:colOff>
      <xdr:row>16</xdr:row>
      <xdr:rowOff>123262</xdr:rowOff>
    </xdr:from>
    <xdr:ext cx="406703" cy="396000"/>
    <xdr:pic>
      <xdr:nvPicPr>
        <xdr:cNvPr id="55" name="Kuva 54">
          <a:hlinkClick xmlns:r="http://schemas.openxmlformats.org/officeDocument/2006/relationships" r:id="rId2"/>
          <a:extLst>
            <a:ext uri="{FF2B5EF4-FFF2-40B4-BE49-F238E27FC236}">
              <a16:creationId xmlns:a16="http://schemas.microsoft.com/office/drawing/2014/main" id="{95185035-1022-4915-808A-CE0620663F7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6928" y="10657912"/>
          <a:ext cx="406703" cy="396000"/>
        </a:xfrm>
        <a:prstGeom prst="rect">
          <a:avLst/>
        </a:prstGeom>
      </xdr:spPr>
    </xdr:pic>
    <xdr:clientData/>
  </xdr:oneCellAnchor>
  <xdr:oneCellAnchor>
    <xdr:from>
      <xdr:col>0</xdr:col>
      <xdr:colOff>181996</xdr:colOff>
      <xdr:row>19</xdr:row>
      <xdr:rowOff>45191</xdr:rowOff>
    </xdr:from>
    <xdr:ext cx="406703" cy="396000"/>
    <xdr:pic>
      <xdr:nvPicPr>
        <xdr:cNvPr id="56" name="Kuva 55">
          <a:hlinkClick xmlns:r="http://schemas.openxmlformats.org/officeDocument/2006/relationships" r:id="rId4"/>
          <a:extLst>
            <a:ext uri="{FF2B5EF4-FFF2-40B4-BE49-F238E27FC236}">
              <a16:creationId xmlns:a16="http://schemas.microsoft.com/office/drawing/2014/main" id="{A11E25DC-859A-4F59-B954-307F53950F5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1996" y="11065616"/>
          <a:ext cx="406703" cy="396000"/>
        </a:xfrm>
        <a:prstGeom prst="rect">
          <a:avLst/>
        </a:prstGeom>
      </xdr:spPr>
    </xdr:pic>
    <xdr:clientData/>
  </xdr:oneCellAnchor>
  <xdr:oneCellAnchor>
    <xdr:from>
      <xdr:col>0</xdr:col>
      <xdr:colOff>183677</xdr:colOff>
      <xdr:row>31</xdr:row>
      <xdr:rowOff>158693</xdr:rowOff>
    </xdr:from>
    <xdr:ext cx="406703" cy="396000"/>
    <xdr:pic>
      <xdr:nvPicPr>
        <xdr:cNvPr id="57" name="Kuva 56">
          <a:hlinkClick xmlns:r="http://schemas.openxmlformats.org/officeDocument/2006/relationships" r:id="rId6"/>
          <a:extLst>
            <a:ext uri="{FF2B5EF4-FFF2-40B4-BE49-F238E27FC236}">
              <a16:creationId xmlns:a16="http://schemas.microsoft.com/office/drawing/2014/main" id="{E267ED76-080C-4B86-8A76-27BE4EEC6F7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83677" y="13122218"/>
          <a:ext cx="406703" cy="396000"/>
        </a:xfrm>
        <a:prstGeom prst="rect">
          <a:avLst/>
        </a:prstGeom>
      </xdr:spPr>
    </xdr:pic>
    <xdr:clientData/>
  </xdr:oneCellAnchor>
  <xdr:oneCellAnchor>
    <xdr:from>
      <xdr:col>0</xdr:col>
      <xdr:colOff>185358</xdr:colOff>
      <xdr:row>29</xdr:row>
      <xdr:rowOff>72816</xdr:rowOff>
    </xdr:from>
    <xdr:ext cx="406702" cy="393278"/>
    <xdr:pic>
      <xdr:nvPicPr>
        <xdr:cNvPr id="58" name="Kuva 57">
          <a:hlinkClick xmlns:r="http://schemas.openxmlformats.org/officeDocument/2006/relationships" r:id="rId8"/>
          <a:extLst>
            <a:ext uri="{FF2B5EF4-FFF2-40B4-BE49-F238E27FC236}">
              <a16:creationId xmlns:a16="http://schemas.microsoft.com/office/drawing/2014/main" id="{6FC28DCA-BEDE-42BC-AE82-BAE90B43A2A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5358" y="12712491"/>
          <a:ext cx="406702" cy="393278"/>
        </a:xfrm>
        <a:prstGeom prst="rect">
          <a:avLst/>
        </a:prstGeom>
      </xdr:spPr>
    </xdr:pic>
    <xdr:clientData/>
  </xdr:oneCellAnchor>
  <xdr:oneCellAnchor>
    <xdr:from>
      <xdr:col>0</xdr:col>
      <xdr:colOff>180975</xdr:colOff>
      <xdr:row>21</xdr:row>
      <xdr:rowOff>134637</xdr:rowOff>
    </xdr:from>
    <xdr:ext cx="406703" cy="396000"/>
    <xdr:pic>
      <xdr:nvPicPr>
        <xdr:cNvPr id="59" name="Kuva 58">
          <a:hlinkClick xmlns:r="http://schemas.openxmlformats.org/officeDocument/2006/relationships" r:id="rId10"/>
          <a:extLst>
            <a:ext uri="{FF2B5EF4-FFF2-40B4-BE49-F238E27FC236}">
              <a16:creationId xmlns:a16="http://schemas.microsoft.com/office/drawing/2014/main" id="{84CC0519-CD08-4911-BCFF-26FE7C8BA52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0975" y="11478912"/>
          <a:ext cx="406703" cy="396000"/>
        </a:xfrm>
        <a:prstGeom prst="rect">
          <a:avLst/>
        </a:prstGeom>
      </xdr:spPr>
    </xdr:pic>
    <xdr:clientData/>
  </xdr:oneCellAnchor>
  <xdr:oneCellAnchor>
    <xdr:from>
      <xdr:col>0</xdr:col>
      <xdr:colOff>179358</xdr:colOff>
      <xdr:row>14</xdr:row>
      <xdr:rowOff>38564</xdr:rowOff>
    </xdr:from>
    <xdr:ext cx="406702" cy="396000"/>
    <xdr:pic>
      <xdr:nvPicPr>
        <xdr:cNvPr id="60" name="Kuva 59">
          <a:hlinkClick xmlns:r="http://schemas.openxmlformats.org/officeDocument/2006/relationships" r:id="rId12"/>
          <a:extLst>
            <a:ext uri="{FF2B5EF4-FFF2-40B4-BE49-F238E27FC236}">
              <a16:creationId xmlns:a16="http://schemas.microsoft.com/office/drawing/2014/main" id="{757BDE14-76B7-4F0D-8223-1D9FF2D2B96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79358" y="10249364"/>
          <a:ext cx="406702" cy="396000"/>
        </a:xfrm>
        <a:prstGeom prst="rect">
          <a:avLst/>
        </a:prstGeom>
      </xdr:spPr>
    </xdr:pic>
    <xdr:clientData/>
  </xdr:oneCellAnchor>
  <xdr:oneCellAnchor>
    <xdr:from>
      <xdr:col>0</xdr:col>
      <xdr:colOff>171450</xdr:colOff>
      <xdr:row>24</xdr:row>
      <xdr:rowOff>66675</xdr:rowOff>
    </xdr:from>
    <xdr:ext cx="406703" cy="396000"/>
    <xdr:pic>
      <xdr:nvPicPr>
        <xdr:cNvPr id="61" name="Kuva 60">
          <a:hlinkClick xmlns:r="http://schemas.openxmlformats.org/officeDocument/2006/relationships" r:id="rId14"/>
          <a:extLst>
            <a:ext uri="{FF2B5EF4-FFF2-40B4-BE49-F238E27FC236}">
              <a16:creationId xmlns:a16="http://schemas.microsoft.com/office/drawing/2014/main" id="{20288FD8-03CC-4B71-AE65-2EBD9F3E30A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71450" y="11896725"/>
          <a:ext cx="406703" cy="396000"/>
        </a:xfrm>
        <a:prstGeom prst="rect">
          <a:avLst/>
        </a:prstGeom>
      </xdr:spPr>
    </xdr:pic>
    <xdr:clientData/>
  </xdr:oneCellAnchor>
  <xdr:oneCellAnchor>
    <xdr:from>
      <xdr:col>0</xdr:col>
      <xdr:colOff>180975</xdr:colOff>
      <xdr:row>26</xdr:row>
      <xdr:rowOff>133350</xdr:rowOff>
    </xdr:from>
    <xdr:ext cx="417795" cy="406800"/>
    <xdr:pic>
      <xdr:nvPicPr>
        <xdr:cNvPr id="62" name="Kuva 61">
          <a:extLst>
            <a:ext uri="{FF2B5EF4-FFF2-40B4-BE49-F238E27FC236}">
              <a16:creationId xmlns:a16="http://schemas.microsoft.com/office/drawing/2014/main" id="{FE615EBA-54E2-4774-B4EB-AA3B850A852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80975" y="12287250"/>
          <a:ext cx="417795" cy="406800"/>
        </a:xfrm>
        <a:prstGeom prst="rect">
          <a:avLst/>
        </a:prstGeom>
      </xdr:spPr>
    </xdr:pic>
    <xdr:clientData/>
  </xdr:oneCellAnchor>
  <xdr:oneCellAnchor>
    <xdr:from>
      <xdr:col>0</xdr:col>
      <xdr:colOff>219075</xdr:colOff>
      <xdr:row>34</xdr:row>
      <xdr:rowOff>142875</xdr:rowOff>
    </xdr:from>
    <xdr:ext cx="361950" cy="371475"/>
    <xdr:pic>
      <xdr:nvPicPr>
        <xdr:cNvPr id="63" name="Kuva 62" descr="Tulostin">
          <a:hlinkClick xmlns:r="http://schemas.openxmlformats.org/officeDocument/2006/relationships" r:id="rId17"/>
          <a:extLst>
            <a:ext uri="{FF2B5EF4-FFF2-40B4-BE49-F238E27FC236}">
              <a16:creationId xmlns:a16="http://schemas.microsoft.com/office/drawing/2014/main" id="{592FC730-0037-4FFE-BF24-9E9F4244E35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19075" y="13592175"/>
          <a:ext cx="361950" cy="37147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16</xdr:col>
      <xdr:colOff>514350</xdr:colOff>
      <xdr:row>0</xdr:row>
      <xdr:rowOff>0</xdr:rowOff>
    </xdr:to>
    <xdr:pic>
      <xdr:nvPicPr>
        <xdr:cNvPr id="4973325" name="Kuva 12" descr="tulkki_vari2rivi.jpg">
          <a:extLst>
            <a:ext uri="{FF2B5EF4-FFF2-40B4-BE49-F238E27FC236}">
              <a16:creationId xmlns:a16="http://schemas.microsoft.com/office/drawing/2014/main" id="{00000000-0008-0000-0200-00000DE34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82175" y="0"/>
          <a:ext cx="1343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103549</xdr:colOff>
      <xdr:row>1</xdr:row>
      <xdr:rowOff>90488</xdr:rowOff>
    </xdr:from>
    <xdr:to>
      <xdr:col>10</xdr:col>
      <xdr:colOff>237171</xdr:colOff>
      <xdr:row>4</xdr:row>
      <xdr:rowOff>174308</xdr:rowOff>
    </xdr:to>
    <xdr:sp macro="" textlink="">
      <xdr:nvSpPr>
        <xdr:cNvPr id="21" name="AutoShape 189">
          <a:extLst>
            <a:ext uri="{FF2B5EF4-FFF2-40B4-BE49-F238E27FC236}">
              <a16:creationId xmlns:a16="http://schemas.microsoft.com/office/drawing/2014/main" id="{76107DF8-EA83-4062-9A59-4BE07A931617}"/>
            </a:ext>
          </a:extLst>
        </xdr:cNvPr>
        <xdr:cNvSpPr>
          <a:spLocks noChangeArrowheads="1"/>
        </xdr:cNvSpPr>
      </xdr:nvSpPr>
      <xdr:spPr bwMode="auto">
        <a:xfrm>
          <a:off x="3403009" y="258128"/>
          <a:ext cx="4263662" cy="701040"/>
        </a:xfrm>
        <a:prstGeom prst="foldedCorner">
          <a:avLst>
            <a:gd name="adj" fmla="val 12500"/>
          </a:avLst>
        </a:prstGeom>
        <a:solidFill>
          <a:srgbClr val="FFC000"/>
        </a:solidFill>
        <a:ln w="15875">
          <a:solidFill>
            <a:srgbClr val="FFC000"/>
          </a:solidFill>
          <a:round/>
          <a:headEnd/>
          <a:tailEnd/>
        </a:ln>
      </xdr:spPr>
      <xdr:txBody>
        <a:bodyPr vertOverflow="clip" wrap="square" lIns="72000" tIns="36000" rIns="36000" bIns="36000" anchor="t" anchorCtr="0" upright="1"/>
        <a:lstStyle/>
        <a:p>
          <a:pPr algn="l" rtl="0">
            <a:lnSpc>
              <a:spcPts val="1300"/>
            </a:lnSpc>
            <a:defRPr sz="1000"/>
          </a:pPr>
          <a:r>
            <a:rPr lang="fi-FI" sz="1000" b="1" i="0" strike="noStrike">
              <a:solidFill>
                <a:srgbClr val="000000"/>
              </a:solidFill>
              <a:latin typeface="Arial"/>
              <a:cs typeface="Arial"/>
            </a:rPr>
            <a:t>IFYLLNADSDIREKTIV</a:t>
          </a:r>
          <a:br>
            <a:rPr lang="fi-FI" sz="1000" b="1" i="0" strike="noStrike">
              <a:solidFill>
                <a:srgbClr val="000000"/>
              </a:solidFill>
              <a:latin typeface="Arial"/>
              <a:cs typeface="Arial"/>
            </a:rPr>
          </a:br>
          <a:r>
            <a:rPr lang="fi-FI" sz="1000" b="0" i="0" strike="noStrike">
              <a:solidFill>
                <a:srgbClr val="000000"/>
              </a:solidFill>
              <a:latin typeface="Arial" panose="020B0604020202020204" pitchFamily="34" charset="0"/>
              <a:cs typeface="Arial" panose="020B0604020202020204" pitchFamily="34" charset="0"/>
            </a:rPr>
            <a:t>Observera</a:t>
          </a:r>
          <a:r>
            <a:rPr lang="fi-FI" sz="1000" b="0" i="0" strike="noStrike" baseline="0">
              <a:solidFill>
                <a:srgbClr val="000000"/>
              </a:solidFill>
              <a:latin typeface="Arial" panose="020B0604020202020204" pitchFamily="34" charset="0"/>
              <a:cs typeface="Arial" panose="020B0604020202020204" pitchFamily="34" charset="0"/>
            </a:rPr>
            <a:t> förtecken och kommentarer i cellerna</a:t>
          </a:r>
          <a:r>
            <a:rPr lang="fi-FI" sz="1000" b="0" i="0" strike="noStrike" baseline="0">
              <a:solidFill>
                <a:sysClr val="windowText" lastClr="000000"/>
              </a:solidFill>
              <a:latin typeface="Arial" panose="020B0604020202020204" pitchFamily="34" charset="0"/>
              <a:cs typeface="Arial" panose="020B0604020202020204" pitchFamily="34" charset="0"/>
            </a:rPr>
            <a:t>. Fyll i gula cellerna. </a:t>
          </a:r>
        </a:p>
        <a:p>
          <a:pPr marL="0" marR="0" indent="0" algn="l" defTabSz="914400" rtl="0" eaLnBrk="1" fontAlgn="auto" latinLnBrk="0" hangingPunct="1">
            <a:lnSpc>
              <a:spcPts val="1300"/>
            </a:lnSpc>
            <a:spcBef>
              <a:spcPts val="0"/>
            </a:spcBef>
            <a:spcAft>
              <a:spcPts val="0"/>
            </a:spcAft>
            <a:buClrTx/>
            <a:buSzTx/>
            <a:buFontTx/>
            <a:buNone/>
            <a:tabLst/>
            <a:defRPr sz="1000"/>
          </a:pPr>
          <a:r>
            <a:rPr lang="fi-FI" sz="1000" b="1" i="1" baseline="0">
              <a:effectLst/>
              <a:latin typeface="Arial" panose="020B0604020202020204" pitchFamily="34" charset="0"/>
              <a:ea typeface="+mn-ea"/>
              <a:cs typeface="Arial" panose="020B0604020202020204" pitchFamily="34" charset="0"/>
            </a:rPr>
            <a:t>KAN DRAGS BORT MED DATORMUS.</a:t>
          </a:r>
          <a:endParaRPr lang="fi-FI" sz="1000" b="1">
            <a:effectLst/>
            <a:latin typeface="Arial" panose="020B0604020202020204" pitchFamily="34" charset="0"/>
            <a:cs typeface="Arial" panose="020B0604020202020204" pitchFamily="34" charset="0"/>
          </a:endParaRPr>
        </a:p>
        <a:p>
          <a:pPr algn="l" rtl="0">
            <a:lnSpc>
              <a:spcPts val="1300"/>
            </a:lnSpc>
            <a:defRPr sz="1000"/>
          </a:pPr>
          <a:endParaRPr lang="fi-FI" sz="900" b="1" i="0" strike="noStrike">
            <a:solidFill>
              <a:sysClr val="windowText" lastClr="000000"/>
            </a:solidFill>
            <a:latin typeface="Arial"/>
            <a:cs typeface="Arial"/>
          </a:endParaRPr>
        </a:p>
      </xdr:txBody>
    </xdr:sp>
    <xdr:clientData fLocksWithSheet="0" fPrintsWithSheet="0"/>
  </xdr:twoCellAnchor>
  <xdr:twoCellAnchor editAs="oneCell">
    <xdr:from>
      <xdr:col>0</xdr:col>
      <xdr:colOff>101203</xdr:colOff>
      <xdr:row>10</xdr:row>
      <xdr:rowOff>113737</xdr:rowOff>
    </xdr:from>
    <xdr:to>
      <xdr:col>0</xdr:col>
      <xdr:colOff>515526</xdr:colOff>
      <xdr:row>13</xdr:row>
      <xdr:rowOff>60157</xdr:rowOff>
    </xdr:to>
    <xdr:pic>
      <xdr:nvPicPr>
        <xdr:cNvPr id="5" name="Kuva 4">
          <a:hlinkClick xmlns:r="http://schemas.openxmlformats.org/officeDocument/2006/relationships" r:id="rId2"/>
          <a:extLst>
            <a:ext uri="{FF2B5EF4-FFF2-40B4-BE49-F238E27FC236}">
              <a16:creationId xmlns:a16="http://schemas.microsoft.com/office/drawing/2014/main" id="{22BFF149-D58E-475D-ABEC-4AAAD6C1F1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203" y="1904437"/>
          <a:ext cx="406703" cy="396000"/>
        </a:xfrm>
        <a:prstGeom prst="rect">
          <a:avLst/>
        </a:prstGeom>
      </xdr:spPr>
    </xdr:pic>
    <xdr:clientData/>
  </xdr:twoCellAnchor>
  <xdr:twoCellAnchor editAs="oneCell">
    <xdr:from>
      <xdr:col>0</xdr:col>
      <xdr:colOff>96271</xdr:colOff>
      <xdr:row>13</xdr:row>
      <xdr:rowOff>64241</xdr:rowOff>
    </xdr:from>
    <xdr:to>
      <xdr:col>0</xdr:col>
      <xdr:colOff>514404</xdr:colOff>
      <xdr:row>16</xdr:row>
      <xdr:rowOff>3041</xdr:rowOff>
    </xdr:to>
    <xdr:pic>
      <xdr:nvPicPr>
        <xdr:cNvPr id="6" name="Kuva 5">
          <a:hlinkClick xmlns:r="http://schemas.openxmlformats.org/officeDocument/2006/relationships" r:id="rId4"/>
          <a:extLst>
            <a:ext uri="{FF2B5EF4-FFF2-40B4-BE49-F238E27FC236}">
              <a16:creationId xmlns:a16="http://schemas.microsoft.com/office/drawing/2014/main" id="{9564C03C-075B-4213-BAD9-7E7B02D6758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6271" y="2312141"/>
          <a:ext cx="406703" cy="396000"/>
        </a:xfrm>
        <a:prstGeom prst="rect">
          <a:avLst/>
        </a:prstGeom>
      </xdr:spPr>
    </xdr:pic>
    <xdr:clientData/>
  </xdr:twoCellAnchor>
  <xdr:twoCellAnchor editAs="oneCell">
    <xdr:from>
      <xdr:col>0</xdr:col>
      <xdr:colOff>97952</xdr:colOff>
      <xdr:row>25</xdr:row>
      <xdr:rowOff>292043</xdr:rowOff>
    </xdr:from>
    <xdr:to>
      <xdr:col>0</xdr:col>
      <xdr:colOff>516085</xdr:colOff>
      <xdr:row>28</xdr:row>
      <xdr:rowOff>59393</xdr:rowOff>
    </xdr:to>
    <xdr:pic>
      <xdr:nvPicPr>
        <xdr:cNvPr id="7" name="Kuva 6">
          <a:hlinkClick xmlns:r="http://schemas.openxmlformats.org/officeDocument/2006/relationships" r:id="rId6"/>
          <a:extLst>
            <a:ext uri="{FF2B5EF4-FFF2-40B4-BE49-F238E27FC236}">
              <a16:creationId xmlns:a16="http://schemas.microsoft.com/office/drawing/2014/main" id="{40017737-4476-4E6B-9126-2E0CFBE080E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952" y="4368743"/>
          <a:ext cx="406703" cy="396000"/>
        </a:xfrm>
        <a:prstGeom prst="rect">
          <a:avLst/>
        </a:prstGeom>
      </xdr:spPr>
    </xdr:pic>
    <xdr:clientData/>
  </xdr:twoCellAnchor>
  <xdr:twoCellAnchor editAs="oneCell">
    <xdr:from>
      <xdr:col>0</xdr:col>
      <xdr:colOff>99255</xdr:colOff>
      <xdr:row>18</xdr:row>
      <xdr:rowOff>123571</xdr:rowOff>
    </xdr:from>
    <xdr:to>
      <xdr:col>0</xdr:col>
      <xdr:colOff>511673</xdr:colOff>
      <xdr:row>21</xdr:row>
      <xdr:rowOff>54751</xdr:rowOff>
    </xdr:to>
    <xdr:pic>
      <xdr:nvPicPr>
        <xdr:cNvPr id="8" name="Kuva 7">
          <a:hlinkClick xmlns:r="http://schemas.openxmlformats.org/officeDocument/2006/relationships" r:id="rId8"/>
          <a:extLst>
            <a:ext uri="{FF2B5EF4-FFF2-40B4-BE49-F238E27FC236}">
              <a16:creationId xmlns:a16="http://schemas.microsoft.com/office/drawing/2014/main" id="{2104C1A3-00F5-49E0-8F0D-D85C3F64D48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9255" y="3133471"/>
          <a:ext cx="406703" cy="396000"/>
        </a:xfrm>
        <a:prstGeom prst="rect">
          <a:avLst/>
        </a:prstGeom>
      </xdr:spPr>
    </xdr:pic>
    <xdr:clientData/>
  </xdr:twoCellAnchor>
  <xdr:twoCellAnchor editAs="oneCell">
    <xdr:from>
      <xdr:col>0</xdr:col>
      <xdr:colOff>95250</xdr:colOff>
      <xdr:row>16</xdr:row>
      <xdr:rowOff>20337</xdr:rowOff>
    </xdr:from>
    <xdr:to>
      <xdr:col>0</xdr:col>
      <xdr:colOff>511478</xdr:colOff>
      <xdr:row>18</xdr:row>
      <xdr:rowOff>111537</xdr:rowOff>
    </xdr:to>
    <xdr:pic>
      <xdr:nvPicPr>
        <xdr:cNvPr id="9" name="Kuva 8">
          <a:hlinkClick xmlns:r="http://schemas.openxmlformats.org/officeDocument/2006/relationships" r:id="rId10"/>
          <a:extLst>
            <a:ext uri="{FF2B5EF4-FFF2-40B4-BE49-F238E27FC236}">
              <a16:creationId xmlns:a16="http://schemas.microsoft.com/office/drawing/2014/main" id="{FC829ABF-D669-45C9-8E0F-39859521D9F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5250" y="2725437"/>
          <a:ext cx="406703" cy="396000"/>
        </a:xfrm>
        <a:prstGeom prst="rect">
          <a:avLst/>
        </a:prstGeom>
      </xdr:spPr>
    </xdr:pic>
    <xdr:clientData/>
  </xdr:twoCellAnchor>
  <xdr:twoCellAnchor editAs="oneCell">
    <xdr:from>
      <xdr:col>0</xdr:col>
      <xdr:colOff>102393</xdr:colOff>
      <xdr:row>21</xdr:row>
      <xdr:rowOff>81643</xdr:rowOff>
    </xdr:from>
    <xdr:to>
      <xdr:col>0</xdr:col>
      <xdr:colOff>516716</xdr:colOff>
      <xdr:row>24</xdr:row>
      <xdr:rowOff>18062</xdr:rowOff>
    </xdr:to>
    <xdr:pic>
      <xdr:nvPicPr>
        <xdr:cNvPr id="10" name="Kuva 9">
          <a:hlinkClick xmlns:r="http://schemas.openxmlformats.org/officeDocument/2006/relationships" r:id="rId12"/>
          <a:extLst>
            <a:ext uri="{FF2B5EF4-FFF2-40B4-BE49-F238E27FC236}">
              <a16:creationId xmlns:a16="http://schemas.microsoft.com/office/drawing/2014/main" id="{EF44AC61-0E5D-493D-B5FD-C3087D1661E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2393" y="3548743"/>
          <a:ext cx="406703" cy="393619"/>
        </a:xfrm>
        <a:prstGeom prst="rect">
          <a:avLst/>
        </a:prstGeom>
      </xdr:spPr>
    </xdr:pic>
    <xdr:clientData/>
  </xdr:twoCellAnchor>
  <xdr:twoCellAnchor editAs="oneCell">
    <xdr:from>
      <xdr:col>0</xdr:col>
      <xdr:colOff>94944</xdr:colOff>
      <xdr:row>24</xdr:row>
      <xdr:rowOff>25503</xdr:rowOff>
    </xdr:from>
    <xdr:to>
      <xdr:col>0</xdr:col>
      <xdr:colOff>512739</xdr:colOff>
      <xdr:row>25</xdr:row>
      <xdr:rowOff>287523</xdr:rowOff>
    </xdr:to>
    <xdr:pic>
      <xdr:nvPicPr>
        <xdr:cNvPr id="11" name="Kuva 10">
          <a:extLst>
            <a:ext uri="{FF2B5EF4-FFF2-40B4-BE49-F238E27FC236}">
              <a16:creationId xmlns:a16="http://schemas.microsoft.com/office/drawing/2014/main" id="{F29F735F-FC9C-4D18-A78B-C2AB0AEEF86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4944" y="3949803"/>
          <a:ext cx="417795" cy="406800"/>
        </a:xfrm>
        <a:prstGeom prst="rect">
          <a:avLst/>
        </a:prstGeom>
      </xdr:spPr>
    </xdr:pic>
    <xdr:clientData/>
  </xdr:twoCellAnchor>
  <xdr:twoCellAnchor editAs="oneCell">
    <xdr:from>
      <xdr:col>0</xdr:col>
      <xdr:colOff>92179</xdr:colOff>
      <xdr:row>8</xdr:row>
      <xdr:rowOff>30726</xdr:rowOff>
    </xdr:from>
    <xdr:to>
      <xdr:col>0</xdr:col>
      <xdr:colOff>517594</xdr:colOff>
      <xdr:row>10</xdr:row>
      <xdr:rowOff>98436</xdr:rowOff>
    </xdr:to>
    <xdr:pic>
      <xdr:nvPicPr>
        <xdr:cNvPr id="12" name="Kuva 11">
          <a:hlinkClick xmlns:r="http://schemas.openxmlformats.org/officeDocument/2006/relationships" r:id="rId15"/>
          <a:extLst>
            <a:ext uri="{FF2B5EF4-FFF2-40B4-BE49-F238E27FC236}">
              <a16:creationId xmlns:a16="http://schemas.microsoft.com/office/drawing/2014/main" id="{38BE9EA3-B618-4D9F-ABFF-5B26833AEB0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2179" y="1488051"/>
          <a:ext cx="417795" cy="406800"/>
        </a:xfrm>
        <a:prstGeom prst="rect">
          <a:avLst/>
        </a:prstGeom>
      </xdr:spPr>
    </xdr:pic>
    <xdr:clientData/>
  </xdr:twoCellAnchor>
  <xdr:twoCellAnchor editAs="oneCell">
    <xdr:from>
      <xdr:col>0</xdr:col>
      <xdr:colOff>124558</xdr:colOff>
      <xdr:row>28</xdr:row>
      <xdr:rowOff>117231</xdr:rowOff>
    </xdr:from>
    <xdr:to>
      <xdr:col>0</xdr:col>
      <xdr:colOff>475078</xdr:colOff>
      <xdr:row>31</xdr:row>
      <xdr:rowOff>17586</xdr:rowOff>
    </xdr:to>
    <xdr:pic>
      <xdr:nvPicPr>
        <xdr:cNvPr id="13" name="Kuva 12" descr="Tulostin">
          <a:hlinkClick xmlns:r="http://schemas.openxmlformats.org/officeDocument/2006/relationships" r:id="rId17"/>
          <a:extLst>
            <a:ext uri="{FF2B5EF4-FFF2-40B4-BE49-F238E27FC236}">
              <a16:creationId xmlns:a16="http://schemas.microsoft.com/office/drawing/2014/main" id="{CA08BFF2-2B12-45FC-BDB9-9B86B7EF5E4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24558" y="4794006"/>
          <a:ext cx="361950" cy="357555"/>
        </a:xfrm>
        <a:prstGeom prst="rect">
          <a:avLst/>
        </a:prstGeom>
      </xdr:spPr>
    </xdr:pic>
    <xdr:clientData/>
  </xdr:twoCellAnchor>
  <xdr:twoCellAnchor editAs="oneCell">
    <xdr:from>
      <xdr:col>12</xdr:col>
      <xdr:colOff>201385</xdr:colOff>
      <xdr:row>1</xdr:row>
      <xdr:rowOff>16329</xdr:rowOff>
    </xdr:from>
    <xdr:to>
      <xdr:col>13</xdr:col>
      <xdr:colOff>347934</xdr:colOff>
      <xdr:row>3</xdr:row>
      <xdr:rowOff>22543</xdr:rowOff>
    </xdr:to>
    <xdr:pic>
      <xdr:nvPicPr>
        <xdr:cNvPr id="4" name="Picture 3">
          <a:extLst>
            <a:ext uri="{FF2B5EF4-FFF2-40B4-BE49-F238E27FC236}">
              <a16:creationId xmlns:a16="http://schemas.microsoft.com/office/drawing/2014/main" id="{118CE8A6-B69B-4BA7-9386-B91ADBD0886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209314" y="174172"/>
          <a:ext cx="1071834" cy="36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771525</xdr:colOff>
      <xdr:row>66</xdr:row>
      <xdr:rowOff>66675</xdr:rowOff>
    </xdr:from>
    <xdr:to>
      <xdr:col>16</xdr:col>
      <xdr:colOff>381000</xdr:colOff>
      <xdr:row>93</xdr:row>
      <xdr:rowOff>19050</xdr:rowOff>
    </xdr:to>
    <xdr:graphicFrame macro="">
      <xdr:nvGraphicFramePr>
        <xdr:cNvPr id="5010635" name="Kaavio 3">
          <a:extLst>
            <a:ext uri="{FF2B5EF4-FFF2-40B4-BE49-F238E27FC236}">
              <a16:creationId xmlns:a16="http://schemas.microsoft.com/office/drawing/2014/main" id="{00000000-0008-0000-0600-0000CB744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175940</xdr:colOff>
      <xdr:row>4</xdr:row>
      <xdr:rowOff>228599</xdr:rowOff>
    </xdr:from>
    <xdr:to>
      <xdr:col>10</xdr:col>
      <xdr:colOff>389337</xdr:colOff>
      <xdr:row>6</xdr:row>
      <xdr:rowOff>31023</xdr:rowOff>
    </xdr:to>
    <xdr:sp macro="" textlink="">
      <xdr:nvSpPr>
        <xdr:cNvPr id="3" name="Kuvaseliteviiva 1 2">
          <a:extLst>
            <a:ext uri="{FF2B5EF4-FFF2-40B4-BE49-F238E27FC236}">
              <a16:creationId xmlns:a16="http://schemas.microsoft.com/office/drawing/2014/main" id="{00000000-0008-0000-0600-000003000000}"/>
            </a:ext>
          </a:extLst>
        </xdr:cNvPr>
        <xdr:cNvSpPr/>
      </xdr:nvSpPr>
      <xdr:spPr>
        <a:xfrm>
          <a:off x="5923597" y="859970"/>
          <a:ext cx="1628540" cy="286839"/>
        </a:xfrm>
        <a:prstGeom prst="borderCallout1">
          <a:avLst>
            <a:gd name="adj1" fmla="val 42296"/>
            <a:gd name="adj2" fmla="val 102064"/>
            <a:gd name="adj3" fmla="val -71213"/>
            <a:gd name="adj4" fmla="val 186763"/>
          </a:avLst>
        </a:prstGeom>
        <a:solidFill>
          <a:srgbClr val="FFC000"/>
        </a:solidFill>
        <a:ln>
          <a:noFill/>
        </a:ln>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sv-FI" sz="1000" b="1">
              <a:solidFill>
                <a:sysClr val="windowText" lastClr="000000"/>
              </a:solidFill>
              <a:latin typeface="Arial" pitchFamily="34" charset="0"/>
              <a:cs typeface="Arial" pitchFamily="34" charset="0"/>
            </a:rPr>
            <a:t>Välj år 1 eller 2</a:t>
          </a:r>
        </a:p>
      </xdr:txBody>
    </xdr:sp>
    <xdr:clientData fLocksWithSheet="0" fPrintsWithSheet="0"/>
  </xdr:twoCellAnchor>
  <xdr:twoCellAnchor>
    <xdr:from>
      <xdr:col>0</xdr:col>
      <xdr:colOff>133505</xdr:colOff>
      <xdr:row>14</xdr:row>
      <xdr:rowOff>0</xdr:rowOff>
    </xdr:from>
    <xdr:to>
      <xdr:col>0</xdr:col>
      <xdr:colOff>537064</xdr:colOff>
      <xdr:row>16</xdr:row>
      <xdr:rowOff>96407</xdr:rowOff>
    </xdr:to>
    <xdr:sp macro="" textlink="">
      <xdr:nvSpPr>
        <xdr:cNvPr id="10" name="Vuokaaviosymboli: Valinta 9">
          <a:hlinkClick xmlns:r="http://schemas.openxmlformats.org/officeDocument/2006/relationships" r:id="rId2"/>
          <a:extLst>
            <a:ext uri="{FF2B5EF4-FFF2-40B4-BE49-F238E27FC236}">
              <a16:creationId xmlns:a16="http://schemas.microsoft.com/office/drawing/2014/main" id="{00000000-0008-0000-0600-00000A000000}"/>
            </a:ext>
          </a:extLst>
        </xdr:cNvPr>
        <xdr:cNvSpPr/>
      </xdr:nvSpPr>
      <xdr:spPr>
        <a:xfrm>
          <a:off x="133505" y="1428750"/>
          <a:ext cx="403559" cy="401207"/>
        </a:xfrm>
        <a:prstGeom prst="flowChartDecision">
          <a:avLst/>
        </a:prstGeom>
        <a:no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sv-FI" sz="1800" b="1">
            <a:solidFill>
              <a:sysClr val="windowText" lastClr="000000"/>
            </a:solidFill>
            <a:latin typeface="Arial" pitchFamily="34" charset="0"/>
            <a:cs typeface="Arial" pitchFamily="34" charset="0"/>
          </a:endParaRPr>
        </a:p>
      </xdr:txBody>
    </xdr:sp>
    <xdr:clientData/>
  </xdr:twoCellAnchor>
  <xdr:twoCellAnchor editAs="oneCell">
    <xdr:from>
      <xdr:col>14</xdr:col>
      <xdr:colOff>0</xdr:colOff>
      <xdr:row>7</xdr:row>
      <xdr:rowOff>0</xdr:rowOff>
    </xdr:from>
    <xdr:to>
      <xdr:col>16</xdr:col>
      <xdr:colOff>514350</xdr:colOff>
      <xdr:row>8</xdr:row>
      <xdr:rowOff>19051</xdr:rowOff>
    </xdr:to>
    <xdr:pic>
      <xdr:nvPicPr>
        <xdr:cNvPr id="28" name="Kuva 27">
          <a:extLst>
            <a:ext uri="{FF2B5EF4-FFF2-40B4-BE49-F238E27FC236}">
              <a16:creationId xmlns:a16="http://schemas.microsoft.com/office/drawing/2014/main" id="{2CB11F65-85F1-4E85-97AB-505D09F5FA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48775" y="1952625"/>
          <a:ext cx="18383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95</xdr:row>
      <xdr:rowOff>136072</xdr:rowOff>
    </xdr:from>
    <xdr:to>
      <xdr:col>0</xdr:col>
      <xdr:colOff>478155</xdr:colOff>
      <xdr:row>97</xdr:row>
      <xdr:rowOff>132806</xdr:rowOff>
    </xdr:to>
    <xdr:pic>
      <xdr:nvPicPr>
        <xdr:cNvPr id="31" name="Kuva 30" descr="Tulostin">
          <a:hlinkClick xmlns:r="http://schemas.openxmlformats.org/officeDocument/2006/relationships" r:id="rId4"/>
          <a:extLst>
            <a:ext uri="{FF2B5EF4-FFF2-40B4-BE49-F238E27FC236}">
              <a16:creationId xmlns:a16="http://schemas.microsoft.com/office/drawing/2014/main" id="{ECAFB797-E29A-4C80-A056-8BFF968C48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3825" y="8222797"/>
          <a:ext cx="361950" cy="360590"/>
        </a:xfrm>
        <a:prstGeom prst="rect">
          <a:avLst/>
        </a:prstGeom>
      </xdr:spPr>
    </xdr:pic>
    <xdr:clientData/>
  </xdr:twoCellAnchor>
  <xdr:twoCellAnchor editAs="oneCell">
    <xdr:from>
      <xdr:col>0</xdr:col>
      <xdr:colOff>110728</xdr:colOff>
      <xdr:row>74</xdr:row>
      <xdr:rowOff>142312</xdr:rowOff>
    </xdr:from>
    <xdr:to>
      <xdr:col>0</xdr:col>
      <xdr:colOff>513621</xdr:colOff>
      <xdr:row>77</xdr:row>
      <xdr:rowOff>16342</xdr:rowOff>
    </xdr:to>
    <xdr:pic>
      <xdr:nvPicPr>
        <xdr:cNvPr id="32" name="Kuva 31">
          <a:hlinkClick xmlns:r="http://schemas.openxmlformats.org/officeDocument/2006/relationships" r:id="rId7"/>
          <a:extLst>
            <a:ext uri="{FF2B5EF4-FFF2-40B4-BE49-F238E27FC236}">
              <a16:creationId xmlns:a16="http://schemas.microsoft.com/office/drawing/2014/main" id="{8DCB36F7-70D8-4350-8756-FB8279DA3E1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0728" y="6114487"/>
          <a:ext cx="406703" cy="396000"/>
        </a:xfrm>
        <a:prstGeom prst="rect">
          <a:avLst/>
        </a:prstGeom>
      </xdr:spPr>
    </xdr:pic>
    <xdr:clientData/>
  </xdr:twoCellAnchor>
  <xdr:twoCellAnchor editAs="oneCell">
    <xdr:from>
      <xdr:col>0</xdr:col>
      <xdr:colOff>105796</xdr:colOff>
      <xdr:row>77</xdr:row>
      <xdr:rowOff>121391</xdr:rowOff>
    </xdr:from>
    <xdr:to>
      <xdr:col>0</xdr:col>
      <xdr:colOff>516309</xdr:colOff>
      <xdr:row>80</xdr:row>
      <xdr:rowOff>20186</xdr:rowOff>
    </xdr:to>
    <xdr:pic>
      <xdr:nvPicPr>
        <xdr:cNvPr id="33" name="Kuva 32">
          <a:hlinkClick xmlns:r="http://schemas.openxmlformats.org/officeDocument/2006/relationships" r:id="rId9"/>
          <a:extLst>
            <a:ext uri="{FF2B5EF4-FFF2-40B4-BE49-F238E27FC236}">
              <a16:creationId xmlns:a16="http://schemas.microsoft.com/office/drawing/2014/main" id="{86836E31-659D-4E6D-8225-91CFD9878A3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5796" y="6522191"/>
          <a:ext cx="406703" cy="396000"/>
        </a:xfrm>
        <a:prstGeom prst="rect">
          <a:avLst/>
        </a:prstGeom>
      </xdr:spPr>
    </xdr:pic>
    <xdr:clientData/>
  </xdr:twoCellAnchor>
  <xdr:twoCellAnchor editAs="oneCell">
    <xdr:from>
      <xdr:col>0</xdr:col>
      <xdr:colOff>109158</xdr:colOff>
      <xdr:row>89</xdr:row>
      <xdr:rowOff>63291</xdr:rowOff>
    </xdr:from>
    <xdr:to>
      <xdr:col>0</xdr:col>
      <xdr:colOff>512050</xdr:colOff>
      <xdr:row>91</xdr:row>
      <xdr:rowOff>94618</xdr:rowOff>
    </xdr:to>
    <xdr:pic>
      <xdr:nvPicPr>
        <xdr:cNvPr id="34" name="Kuva 33">
          <a:hlinkClick xmlns:r="http://schemas.openxmlformats.org/officeDocument/2006/relationships" r:id="rId11"/>
          <a:extLst>
            <a:ext uri="{FF2B5EF4-FFF2-40B4-BE49-F238E27FC236}">
              <a16:creationId xmlns:a16="http://schemas.microsoft.com/office/drawing/2014/main" id="{C274D7A6-C279-4B9D-B1DE-4B29F0C3622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9158" y="7349916"/>
          <a:ext cx="406702" cy="393278"/>
        </a:xfrm>
        <a:prstGeom prst="rect">
          <a:avLst/>
        </a:prstGeom>
      </xdr:spPr>
    </xdr:pic>
    <xdr:clientData/>
  </xdr:twoCellAnchor>
  <xdr:twoCellAnchor editAs="oneCell">
    <xdr:from>
      <xdr:col>0</xdr:col>
      <xdr:colOff>108780</xdr:colOff>
      <xdr:row>83</xdr:row>
      <xdr:rowOff>85471</xdr:rowOff>
    </xdr:from>
    <xdr:to>
      <xdr:col>0</xdr:col>
      <xdr:colOff>511673</xdr:colOff>
      <xdr:row>85</xdr:row>
      <xdr:rowOff>132856</xdr:rowOff>
    </xdr:to>
    <xdr:pic>
      <xdr:nvPicPr>
        <xdr:cNvPr id="35" name="Kuva 34">
          <a:hlinkClick xmlns:r="http://schemas.openxmlformats.org/officeDocument/2006/relationships" r:id="rId13"/>
          <a:extLst>
            <a:ext uri="{FF2B5EF4-FFF2-40B4-BE49-F238E27FC236}">
              <a16:creationId xmlns:a16="http://schemas.microsoft.com/office/drawing/2014/main" id="{09FD813F-6BAB-4FBE-BFF9-76FD6D03AED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8780" y="7343521"/>
          <a:ext cx="406703" cy="396000"/>
        </a:xfrm>
        <a:prstGeom prst="rect">
          <a:avLst/>
        </a:prstGeom>
      </xdr:spPr>
    </xdr:pic>
    <xdr:clientData/>
  </xdr:twoCellAnchor>
  <xdr:twoCellAnchor editAs="oneCell">
    <xdr:from>
      <xdr:col>0</xdr:col>
      <xdr:colOff>104775</xdr:colOff>
      <xdr:row>80</xdr:row>
      <xdr:rowOff>106062</xdr:rowOff>
    </xdr:from>
    <xdr:to>
      <xdr:col>0</xdr:col>
      <xdr:colOff>515288</xdr:colOff>
      <xdr:row>83</xdr:row>
      <xdr:rowOff>1047</xdr:rowOff>
    </xdr:to>
    <xdr:pic>
      <xdr:nvPicPr>
        <xdr:cNvPr id="36" name="Kuva 35">
          <a:hlinkClick xmlns:r="http://schemas.openxmlformats.org/officeDocument/2006/relationships" r:id="rId15"/>
          <a:extLst>
            <a:ext uri="{FF2B5EF4-FFF2-40B4-BE49-F238E27FC236}">
              <a16:creationId xmlns:a16="http://schemas.microsoft.com/office/drawing/2014/main" id="{9C6652DD-CD40-43CE-8152-5BC7A019B6B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4775" y="6935487"/>
          <a:ext cx="406703" cy="396000"/>
        </a:xfrm>
        <a:prstGeom prst="rect">
          <a:avLst/>
        </a:prstGeom>
      </xdr:spPr>
    </xdr:pic>
    <xdr:clientData/>
  </xdr:twoCellAnchor>
  <xdr:twoCellAnchor editAs="oneCell">
    <xdr:from>
      <xdr:col>0</xdr:col>
      <xdr:colOff>111918</xdr:colOff>
      <xdr:row>86</xdr:row>
      <xdr:rowOff>72118</xdr:rowOff>
    </xdr:from>
    <xdr:to>
      <xdr:col>0</xdr:col>
      <xdr:colOff>514811</xdr:colOff>
      <xdr:row>88</xdr:row>
      <xdr:rowOff>130458</xdr:rowOff>
    </xdr:to>
    <xdr:pic>
      <xdr:nvPicPr>
        <xdr:cNvPr id="37" name="Kuva 36">
          <a:hlinkClick xmlns:r="http://schemas.openxmlformats.org/officeDocument/2006/relationships" r:id="rId17"/>
          <a:extLst>
            <a:ext uri="{FF2B5EF4-FFF2-40B4-BE49-F238E27FC236}">
              <a16:creationId xmlns:a16="http://schemas.microsoft.com/office/drawing/2014/main" id="{EB6ED5C2-01D8-4891-AF5A-E38255BDAA2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1918" y="6930118"/>
          <a:ext cx="406703" cy="393619"/>
        </a:xfrm>
        <a:prstGeom prst="rect">
          <a:avLst/>
        </a:prstGeom>
      </xdr:spPr>
    </xdr:pic>
    <xdr:clientData/>
  </xdr:twoCellAnchor>
  <xdr:twoCellAnchor editAs="oneCell">
    <xdr:from>
      <xdr:col>0</xdr:col>
      <xdr:colOff>103415</xdr:colOff>
      <xdr:row>72</xdr:row>
      <xdr:rowOff>21772</xdr:rowOff>
    </xdr:from>
    <xdr:to>
      <xdr:col>0</xdr:col>
      <xdr:colOff>517400</xdr:colOff>
      <xdr:row>74</xdr:row>
      <xdr:rowOff>96558</xdr:rowOff>
    </xdr:to>
    <xdr:pic>
      <xdr:nvPicPr>
        <xdr:cNvPr id="38" name="Kuva 37">
          <a:hlinkClick xmlns:r="http://schemas.openxmlformats.org/officeDocument/2006/relationships" r:id="rId19"/>
          <a:extLst>
            <a:ext uri="{FF2B5EF4-FFF2-40B4-BE49-F238E27FC236}">
              <a16:creationId xmlns:a16="http://schemas.microsoft.com/office/drawing/2014/main" id="{F516588A-8830-4C9A-A863-5948235390A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3415" y="5708197"/>
          <a:ext cx="417795" cy="408160"/>
        </a:xfrm>
        <a:prstGeom prst="rect">
          <a:avLst/>
        </a:prstGeom>
      </xdr:spPr>
    </xdr:pic>
    <xdr:clientData/>
  </xdr:twoCellAnchor>
  <xdr:twoCellAnchor editAs="oneCell">
    <xdr:from>
      <xdr:col>0</xdr:col>
      <xdr:colOff>95251</xdr:colOff>
      <xdr:row>92</xdr:row>
      <xdr:rowOff>40821</xdr:rowOff>
    </xdr:from>
    <xdr:to>
      <xdr:col>0</xdr:col>
      <xdr:colOff>516856</xdr:colOff>
      <xdr:row>94</xdr:row>
      <xdr:rowOff>134113</xdr:rowOff>
    </xdr:to>
    <xdr:pic>
      <xdr:nvPicPr>
        <xdr:cNvPr id="39" name="Kuva 38">
          <a:extLst>
            <a:ext uri="{FF2B5EF4-FFF2-40B4-BE49-F238E27FC236}">
              <a16:creationId xmlns:a16="http://schemas.microsoft.com/office/drawing/2014/main" id="{328ADDA0-3BC8-4AD6-AADF-F2D7106809B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5251" y="7756071"/>
          <a:ext cx="417795" cy="406800"/>
        </a:xfrm>
        <a:prstGeom prst="rect">
          <a:avLst/>
        </a:prstGeom>
      </xdr:spPr>
    </xdr:pic>
    <xdr:clientData/>
  </xdr:twoCellAnchor>
  <xdr:twoCellAnchor editAs="oneCell">
    <xdr:from>
      <xdr:col>17</xdr:col>
      <xdr:colOff>337457</xdr:colOff>
      <xdr:row>5</xdr:row>
      <xdr:rowOff>32658</xdr:rowOff>
    </xdr:from>
    <xdr:to>
      <xdr:col>19</xdr:col>
      <xdr:colOff>680</xdr:colOff>
      <xdr:row>6</xdr:row>
      <xdr:rowOff>208689</xdr:rowOff>
    </xdr:to>
    <xdr:pic>
      <xdr:nvPicPr>
        <xdr:cNvPr id="8" name="Picture 7">
          <a:extLst>
            <a:ext uri="{FF2B5EF4-FFF2-40B4-BE49-F238E27FC236}">
              <a16:creationId xmlns:a16="http://schemas.microsoft.com/office/drawing/2014/main" id="{AE60645F-73C0-45B8-818A-BFB2BC3A6FC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2453257" y="1926772"/>
          <a:ext cx="1071834" cy="360000"/>
        </a:xfrm>
        <a:prstGeom prst="rect">
          <a:avLst/>
        </a:prstGeom>
      </xdr:spPr>
    </xdr:pic>
    <xdr:clientData/>
  </xdr:twoCellAnchor>
  <xdr:twoCellAnchor editAs="oneCell">
    <xdr:from>
      <xdr:col>17</xdr:col>
      <xdr:colOff>272144</xdr:colOff>
      <xdr:row>60</xdr:row>
      <xdr:rowOff>81642</xdr:rowOff>
    </xdr:from>
    <xdr:to>
      <xdr:col>18</xdr:col>
      <xdr:colOff>630692</xdr:colOff>
      <xdr:row>63</xdr:row>
      <xdr:rowOff>20637</xdr:rowOff>
    </xdr:to>
    <xdr:pic>
      <xdr:nvPicPr>
        <xdr:cNvPr id="22" name="Picture 21">
          <a:extLst>
            <a:ext uri="{FF2B5EF4-FFF2-40B4-BE49-F238E27FC236}">
              <a16:creationId xmlns:a16="http://schemas.microsoft.com/office/drawing/2014/main" id="{4CEAC489-3218-4A8C-A7B7-0F51B830A6A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2387944" y="9976756"/>
          <a:ext cx="1071834" cy="360000"/>
        </a:xfrm>
        <a:prstGeom prst="rect">
          <a:avLst/>
        </a:prstGeom>
      </xdr:spPr>
    </xdr:pic>
    <xdr:clientData/>
  </xdr:twoCellAnchor>
</xdr:wsDr>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04990"/>
        </a:solidFill>
        <a:ln>
          <a:noFill/>
        </a:ln>
        <a:effectLst>
          <a:outerShdw blurRad="50800" dist="38100" dir="2700000" algn="tl" rotWithShape="0">
            <a:prstClr val="black">
              <a:alpha val="40000"/>
            </a:prstClr>
          </a:outerShdw>
        </a:effectLst>
      </a:spPr>
      <a:bodyPr vertOverflow="clip" horzOverflow="clip" rtlCol="0" anchor="t"/>
      <a:lstStyle>
        <a:defPPr>
          <a:defRPr/>
        </a:defPPr>
      </a:lstStyle>
      <a:style>
        <a:lnRef idx="2">
          <a:schemeClr val="accent3">
            <a:shade val="50000"/>
          </a:schemeClr>
        </a:lnRef>
        <a:fillRef idx="1">
          <a:schemeClr val="accent3"/>
        </a:fillRef>
        <a:effectRef idx="0">
          <a:schemeClr val="accent3"/>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1:N46"/>
  <sheetViews>
    <sheetView showGridLines="0" tabSelected="1" zoomScaleNormal="100" workbookViewId="0">
      <selection activeCell="K13" sqref="K13"/>
    </sheetView>
  </sheetViews>
  <sheetFormatPr defaultRowHeight="12.45"/>
  <cols>
    <col min="1" max="1" width="2.4609375" customWidth="1"/>
    <col min="2" max="2" width="5.07421875" style="41" customWidth="1"/>
    <col min="3" max="3" width="2.53515625" style="41" customWidth="1"/>
    <col min="4" max="4" width="35.07421875" customWidth="1"/>
    <col min="5" max="5" width="41.84375" customWidth="1"/>
    <col min="6" max="6" width="2.69140625" customWidth="1"/>
    <col min="7" max="7" width="29.3046875" customWidth="1"/>
  </cols>
  <sheetData>
    <row r="1" spans="2:14" ht="7.5" customHeight="1"/>
    <row r="2" spans="2:14" ht="5.25" customHeight="1">
      <c r="H2" s="84"/>
    </row>
    <row r="3" spans="2:14" ht="5.25" customHeight="1"/>
    <row r="4" spans="2:14" hidden="1"/>
    <row r="5" spans="2:14" ht="27.75" customHeight="1">
      <c r="B5" s="1829" t="s">
        <v>573</v>
      </c>
      <c r="C5" s="1830"/>
      <c r="D5" s="1830"/>
      <c r="E5" s="1830"/>
    </row>
    <row r="6" spans="2:14" ht="12.75" customHeight="1">
      <c r="B6" s="43"/>
      <c r="C6" s="43"/>
      <c r="D6" s="1"/>
      <c r="H6" s="506"/>
    </row>
    <row r="7" spans="2:14" ht="45" customHeight="1">
      <c r="E7" s="1356"/>
      <c r="G7" s="1831" t="s">
        <v>725</v>
      </c>
      <c r="H7" s="1831"/>
    </row>
    <row r="8" spans="2:14" ht="7.5" customHeight="1">
      <c r="G8" s="1831"/>
      <c r="H8" s="1831"/>
    </row>
    <row r="9" spans="2:14" ht="30" customHeight="1">
      <c r="B9" s="43" t="s">
        <v>0</v>
      </c>
      <c r="E9" s="1357"/>
      <c r="G9" s="1358"/>
    </row>
    <row r="10" spans="2:14" ht="12.75" customHeight="1"/>
    <row r="11" spans="2:14" ht="30" customHeight="1">
      <c r="E11" s="1357"/>
      <c r="M11" s="258"/>
    </row>
    <row r="12" spans="2:14" ht="12.75" customHeight="1"/>
    <row r="13" spans="2:14" ht="30" customHeight="1">
      <c r="E13" s="1357"/>
      <c r="K13" s="258"/>
      <c r="N13" s="572" t="s">
        <v>0</v>
      </c>
    </row>
    <row r="14" spans="2:14" ht="12.75" customHeight="1"/>
    <row r="15" spans="2:14" ht="56.25" customHeight="1">
      <c r="E15" s="1357"/>
      <c r="N15" s="669"/>
    </row>
    <row r="16" spans="2:14" ht="12.75" customHeight="1"/>
    <row r="17" spans="2:9" ht="30" customHeight="1">
      <c r="E17" s="1357"/>
    </row>
    <row r="18" spans="2:9" ht="12.75" customHeight="1"/>
    <row r="19" spans="2:9" ht="30" customHeight="1">
      <c r="E19" s="1357"/>
    </row>
    <row r="20" spans="2:9" ht="12.75" customHeight="1">
      <c r="E20" s="1"/>
    </row>
    <row r="21" spans="2:9" ht="33.65" customHeight="1">
      <c r="E21" s="1357"/>
    </row>
    <row r="22" spans="2:9">
      <c r="B22" s="43"/>
      <c r="C22" s="43"/>
    </row>
    <row r="23" spans="2:9" ht="33.65" customHeight="1">
      <c r="E23" s="1357"/>
      <c r="F23" s="52"/>
      <c r="G23" s="52"/>
      <c r="H23" s="52"/>
      <c r="I23" s="52"/>
    </row>
    <row r="26" spans="2:9">
      <c r="G26" s="76" t="s">
        <v>574</v>
      </c>
    </row>
    <row r="27" spans="2:9">
      <c r="E27" s="87"/>
    </row>
    <row r="28" spans="2:9">
      <c r="G28" s="52"/>
    </row>
    <row r="30" spans="2:9">
      <c r="D30" s="1781" t="s">
        <v>724</v>
      </c>
    </row>
    <row r="37" spans="4:5">
      <c r="D37" s="18"/>
      <c r="E37" s="18"/>
    </row>
    <row r="46" spans="4:5">
      <c r="D46" s="473" t="s">
        <v>0</v>
      </c>
    </row>
  </sheetData>
  <sheetProtection algorithmName="SHA-512" hashValue="mZbz2Ni6rsDbQR4RWQligWOk1xB3rKi+j9H2N40Cst8Ulc0SUHyy6Q3yfLF8eYgwbycJLFVgOobvusegaXC03A==" saltValue="LjyYP0ETSvCnD5s+ViNrDA==" spinCount="100000" sheet="1" objects="1" scenarios="1" selectLockedCells="1" selectUnlockedCells="1"/>
  <mergeCells count="2">
    <mergeCell ref="B5:E5"/>
    <mergeCell ref="G7:H8"/>
  </mergeCells>
  <pageMargins left="0.70866141732283472" right="0.70866141732283472" top="0.55118110236220474" bottom="0.55118110236220474" header="0.31496062992125984" footer="0.31496062992125984"/>
  <pageSetup paperSize="9" scale="90"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3"/>
  <sheetViews>
    <sheetView workbookViewId="0">
      <selection activeCell="Q5" sqref="Q5"/>
    </sheetView>
  </sheetViews>
  <sheetFormatPr defaultRowHeight="12.45"/>
  <cols>
    <col min="2" max="2" width="23.07421875" customWidth="1"/>
    <col min="16" max="16" width="23.69140625" customWidth="1"/>
  </cols>
  <sheetData>
    <row r="1" spans="1:19" ht="12.9" thickBot="1"/>
    <row r="2" spans="1:19">
      <c r="A2" s="30"/>
      <c r="B2" s="30"/>
      <c r="C2" s="422" t="str">
        <f>'8. T5 KASSABUDGET'!G10</f>
        <v>jan</v>
      </c>
      <c r="D2" s="422" t="str">
        <f>'8. T5 KASSABUDGET'!H10</f>
        <v>feb</v>
      </c>
      <c r="E2" s="422" t="str">
        <f>'8. T5 KASSABUDGET'!I10</f>
        <v>mars</v>
      </c>
      <c r="F2" s="422" t="str">
        <f>'8. T5 KASSABUDGET'!J10</f>
        <v>april</v>
      </c>
      <c r="G2" s="422" t="str">
        <f>'8. T5 KASSABUDGET'!K10</f>
        <v>maj</v>
      </c>
      <c r="H2" s="422" t="str">
        <f>'8. T5 KASSABUDGET'!L10</f>
        <v>juni</v>
      </c>
      <c r="I2" s="422" t="str">
        <f>'8. T5 KASSABUDGET'!M10</f>
        <v>juli</v>
      </c>
      <c r="J2" s="422" t="str">
        <f>'8. T5 KASSABUDGET'!N10</f>
        <v>aug</v>
      </c>
      <c r="K2" s="422" t="str">
        <f>'8. T5 KASSABUDGET'!O10</f>
        <v>sep</v>
      </c>
      <c r="L2" s="422" t="str">
        <f>'8. T5 KASSABUDGET'!P10</f>
        <v>okt</v>
      </c>
      <c r="M2" s="422" t="str">
        <f>'8. T5 KASSABUDGET'!Q10</f>
        <v>nov</v>
      </c>
      <c r="N2" s="422" t="str">
        <f>'8. T5 KASSABUDGET'!R10</f>
        <v>dec</v>
      </c>
      <c r="P2" s="1798" t="s">
        <v>720</v>
      </c>
      <c r="Q2" s="1799" t="str">
        <f>C2</f>
        <v>jan</v>
      </c>
      <c r="R2" s="1799" t="str">
        <f t="shared" ref="R2:S2" si="0">D2</f>
        <v>feb</v>
      </c>
      <c r="S2" s="1799" t="str">
        <f t="shared" si="0"/>
        <v>mars</v>
      </c>
    </row>
    <row r="3" spans="1:19">
      <c r="A3" s="30"/>
      <c r="B3" s="30" t="s">
        <v>115</v>
      </c>
      <c r="C3" s="423">
        <f>'8. T5 KASSABUDGET'!E17</f>
        <v>14</v>
      </c>
      <c r="D3" s="423">
        <f>C3</f>
        <v>14</v>
      </c>
      <c r="E3" s="423">
        <f t="shared" ref="E3:N3" si="1">D3</f>
        <v>14</v>
      </c>
      <c r="F3" s="423">
        <f t="shared" si="1"/>
        <v>14</v>
      </c>
      <c r="G3" s="423">
        <f t="shared" si="1"/>
        <v>14</v>
      </c>
      <c r="H3" s="423">
        <f t="shared" si="1"/>
        <v>14</v>
      </c>
      <c r="I3" s="423">
        <f t="shared" si="1"/>
        <v>14</v>
      </c>
      <c r="J3" s="423">
        <f t="shared" si="1"/>
        <v>14</v>
      </c>
      <c r="K3" s="423">
        <f t="shared" si="1"/>
        <v>14</v>
      </c>
      <c r="L3" s="423">
        <f t="shared" si="1"/>
        <v>14</v>
      </c>
      <c r="M3" s="423">
        <f t="shared" si="1"/>
        <v>14</v>
      </c>
      <c r="N3" s="423">
        <f t="shared" si="1"/>
        <v>14</v>
      </c>
      <c r="P3" s="1800" t="s">
        <v>721</v>
      </c>
      <c r="Q3" s="423">
        <f>IF('8. T5 KASSABUDGET'!H6=1,0,'5. T4 FINANSIERINGSB.'!H55)</f>
        <v>0</v>
      </c>
      <c r="R3" s="423">
        <f>Q3</f>
        <v>0</v>
      </c>
      <c r="S3" s="1801">
        <f t="shared" ref="S3" si="2">R3</f>
        <v>0</v>
      </c>
    </row>
    <row r="4" spans="1:19">
      <c r="A4" s="30" t="s">
        <v>115</v>
      </c>
      <c r="B4" s="30" t="s">
        <v>116</v>
      </c>
      <c r="C4" s="58">
        <f>IF('8. T5 KASSABUDGET'!H6=1,0,'6. T3 BALANS'!G42)</f>
        <v>0</v>
      </c>
      <c r="D4" s="58"/>
      <c r="E4" s="58"/>
      <c r="F4" s="58"/>
      <c r="G4" s="58"/>
      <c r="H4" s="58"/>
      <c r="I4" s="30"/>
      <c r="J4" s="30"/>
      <c r="K4" s="30"/>
      <c r="L4" s="30"/>
      <c r="M4" s="30"/>
      <c r="N4" s="30"/>
      <c r="P4" s="1800" t="s">
        <v>722</v>
      </c>
      <c r="Q4" s="58">
        <f>IF(Q3=0,0,IF('8. T5 KASSABUDGET'!H6=1,'6. T3 BALANS'!G80/Q3,'6. T3 BALANS'!H80/Q3))</f>
        <v>0</v>
      </c>
      <c r="R4" s="58"/>
      <c r="S4" s="1802"/>
    </row>
    <row r="5" spans="1:19">
      <c r="A5" s="4" t="s">
        <v>117</v>
      </c>
      <c r="B5" s="4" t="s">
        <v>118</v>
      </c>
      <c r="C5" s="32">
        <f>IF(C3&lt;31,C4,0)</f>
        <v>0</v>
      </c>
      <c r="D5" s="32"/>
      <c r="E5" s="32"/>
      <c r="F5" s="32"/>
      <c r="G5" s="32"/>
      <c r="H5" s="32"/>
      <c r="I5" s="4"/>
      <c r="J5" s="4"/>
      <c r="K5" s="4"/>
      <c r="L5" s="4"/>
      <c r="M5" s="4"/>
      <c r="N5" s="4"/>
      <c r="P5" s="1803" t="s">
        <v>118</v>
      </c>
      <c r="Q5" s="32">
        <f>IF(Q3&lt;31,Q4*Q3,0)</f>
        <v>0</v>
      </c>
      <c r="R5" s="32"/>
      <c r="S5" s="1804"/>
    </row>
    <row r="6" spans="1:19">
      <c r="A6" s="4" t="s">
        <v>119</v>
      </c>
      <c r="B6" s="4" t="s">
        <v>120</v>
      </c>
      <c r="C6" s="32">
        <f>D6</f>
        <v>0</v>
      </c>
      <c r="D6" s="32">
        <f>IF(D$3&lt;31,0,IF(D$3&lt;61,$C$4/3,0))</f>
        <v>0</v>
      </c>
      <c r="E6" s="32"/>
      <c r="F6" s="32"/>
      <c r="G6" s="32"/>
      <c r="H6" s="32"/>
      <c r="I6" s="4"/>
      <c r="J6" s="4"/>
      <c r="K6" s="4"/>
      <c r="L6" s="4"/>
      <c r="M6" s="4"/>
      <c r="N6" s="4"/>
      <c r="P6" s="1803" t="s">
        <v>120</v>
      </c>
      <c r="Q6" s="32">
        <f>IF(Q$3&lt;31,0,IF(Q$3&lt;61,30*Q$4,0))</f>
        <v>0</v>
      </c>
      <c r="R6" s="32">
        <f>IF(R$3&lt;31,0,IF(R$3&lt;61,$Q$4*(30-(60-$Q$3)),0))</f>
        <v>0</v>
      </c>
      <c r="S6" s="1804"/>
    </row>
    <row r="7" spans="1:19">
      <c r="A7" s="4" t="s">
        <v>121</v>
      </c>
      <c r="B7" s="4" t="s">
        <v>122</v>
      </c>
      <c r="C7" s="32">
        <f>E7</f>
        <v>0</v>
      </c>
      <c r="D7" s="32">
        <f>E7</f>
        <v>0</v>
      </c>
      <c r="E7" s="32">
        <f>IF(E$3&lt;61,0,IF(E$3&lt;91,$C$4/3,0))</f>
        <v>0</v>
      </c>
      <c r="F7" s="32"/>
      <c r="G7" s="32"/>
      <c r="H7" s="32"/>
      <c r="I7" s="4"/>
      <c r="J7" s="4"/>
      <c r="K7" s="4"/>
      <c r="L7" s="4"/>
      <c r="M7" s="4"/>
      <c r="N7" s="4"/>
      <c r="P7" s="1803" t="s">
        <v>122</v>
      </c>
      <c r="Q7" s="32">
        <f>IF(Q$3&lt;61,0,IF(Q$3&lt;91,30*Q$4,0))</f>
        <v>0</v>
      </c>
      <c r="R7" s="32">
        <f t="shared" ref="R7" si="3">Q7</f>
        <v>0</v>
      </c>
      <c r="S7" s="1804">
        <f>IF(S$3&lt;61,0,IF(S$3&lt;91,$Q$4*(30-(90-$Q$3)),0))</f>
        <v>0</v>
      </c>
    </row>
    <row r="8" spans="1:19" ht="12.9" thickBot="1">
      <c r="A8" s="4" t="s">
        <v>123</v>
      </c>
      <c r="B8" s="4" t="s">
        <v>124</v>
      </c>
      <c r="C8" s="32">
        <f>F8</f>
        <v>0</v>
      </c>
      <c r="D8" s="32">
        <f>F8</f>
        <v>0</v>
      </c>
      <c r="E8" s="32">
        <f>F8</f>
        <v>0</v>
      </c>
      <c r="F8" s="32">
        <f>IF(F$3&lt;91,0,IF(F$3&lt;121,$C$4/4,0))</f>
        <v>0</v>
      </c>
      <c r="G8" s="32"/>
      <c r="H8" s="32"/>
      <c r="I8" s="4"/>
      <c r="J8" s="4"/>
      <c r="K8" s="4"/>
      <c r="L8" s="4"/>
      <c r="M8" s="4"/>
      <c r="N8" s="4"/>
      <c r="P8" s="1805"/>
      <c r="Q8" s="276">
        <f>SUM(Q5:Q7)</f>
        <v>0</v>
      </c>
      <c r="R8" s="276">
        <f t="shared" ref="R8:S8" si="4">SUM(R5:R7)</f>
        <v>0</v>
      </c>
      <c r="S8" s="1806">
        <f t="shared" si="4"/>
        <v>0</v>
      </c>
    </row>
    <row r="9" spans="1:19">
      <c r="A9" s="4" t="s">
        <v>125</v>
      </c>
      <c r="B9" s="4" t="s">
        <v>126</v>
      </c>
      <c r="C9" s="32">
        <f>D9</f>
        <v>0</v>
      </c>
      <c r="D9" s="32">
        <f>G9</f>
        <v>0</v>
      </c>
      <c r="E9" s="32">
        <f>G9</f>
        <v>0</v>
      </c>
      <c r="F9" s="32">
        <f>G9</f>
        <v>0</v>
      </c>
      <c r="G9" s="32">
        <f>IF(G$3&lt;121,0,IF(G$3&lt;151,$C$4/5,0))</f>
        <v>0</v>
      </c>
      <c r="H9" s="32"/>
      <c r="I9" s="4"/>
      <c r="J9" s="4"/>
      <c r="K9" s="4"/>
      <c r="L9" s="4"/>
      <c r="M9" s="4"/>
      <c r="N9" s="4"/>
    </row>
    <row r="10" spans="1:19">
      <c r="A10" s="4" t="s">
        <v>127</v>
      </c>
      <c r="B10" s="4" t="s">
        <v>128</v>
      </c>
      <c r="C10" s="32">
        <f>D10</f>
        <v>0</v>
      </c>
      <c r="D10" s="32">
        <f>E10</f>
        <v>0</v>
      </c>
      <c r="E10" s="32">
        <f>H10</f>
        <v>0</v>
      </c>
      <c r="F10" s="32">
        <f>H10</f>
        <v>0</v>
      </c>
      <c r="G10" s="32">
        <f>H10</f>
        <v>0</v>
      </c>
      <c r="H10" s="32">
        <f>IF(H$3&lt;151,0,IF(H$3&lt;181,$C$4/6,0))</f>
        <v>0</v>
      </c>
      <c r="I10" s="4"/>
      <c r="J10" s="4"/>
      <c r="K10" s="4"/>
      <c r="L10" s="4"/>
      <c r="M10" s="4"/>
      <c r="N10" s="4"/>
    </row>
    <row r="11" spans="1:19">
      <c r="A11" s="4"/>
      <c r="B11" s="424" t="s">
        <v>55</v>
      </c>
      <c r="C11" s="58">
        <f t="shared" ref="C11:H11" si="5">SUM(C5:C10)</f>
        <v>0</v>
      </c>
      <c r="D11" s="58">
        <f t="shared" si="5"/>
        <v>0</v>
      </c>
      <c r="E11" s="58">
        <f t="shared" si="5"/>
        <v>0</v>
      </c>
      <c r="F11" s="58">
        <f t="shared" si="5"/>
        <v>0</v>
      </c>
      <c r="G11" s="58">
        <f t="shared" si="5"/>
        <v>0</v>
      </c>
      <c r="H11" s="58">
        <f t="shared" si="5"/>
        <v>0</v>
      </c>
      <c r="I11" s="30"/>
      <c r="J11" s="30"/>
      <c r="K11" s="30"/>
      <c r="L11" s="30"/>
      <c r="M11" s="30"/>
      <c r="N11" s="30"/>
    </row>
    <row r="12" spans="1:19">
      <c r="A12" s="30" t="s">
        <v>0</v>
      </c>
      <c r="B12" s="30" t="s">
        <v>129</v>
      </c>
      <c r="C12" s="58">
        <f>'8. T5 KASSABUDGET'!G15</f>
        <v>0</v>
      </c>
      <c r="D12" s="58">
        <f>'8. T5 KASSABUDGET'!H15</f>
        <v>0</v>
      </c>
      <c r="E12" s="58">
        <f>'8. T5 KASSABUDGET'!I15</f>
        <v>0</v>
      </c>
      <c r="F12" s="58">
        <f>'8. T5 KASSABUDGET'!J15</f>
        <v>0</v>
      </c>
      <c r="G12" s="58">
        <f>'8. T5 KASSABUDGET'!K15</f>
        <v>0</v>
      </c>
      <c r="H12" s="58">
        <f>'8. T5 KASSABUDGET'!L15</f>
        <v>0</v>
      </c>
      <c r="I12" s="58">
        <f>'8. T5 KASSABUDGET'!M15</f>
        <v>0</v>
      </c>
      <c r="J12" s="58">
        <f>'8. T5 KASSABUDGET'!N15</f>
        <v>0</v>
      </c>
      <c r="K12" s="58">
        <f>'8. T5 KASSABUDGET'!O15</f>
        <v>0</v>
      </c>
      <c r="L12" s="58">
        <f>'8. T5 KASSABUDGET'!P15</f>
        <v>0</v>
      </c>
      <c r="M12" s="58">
        <f>'8. T5 KASSABUDGET'!Q15</f>
        <v>0</v>
      </c>
      <c r="N12" s="58">
        <f>'8. T5 KASSABUDGET'!R15</f>
        <v>0</v>
      </c>
    </row>
    <row r="13" spans="1:19">
      <c r="A13" s="425" t="s">
        <v>117</v>
      </c>
      <c r="B13" s="425" t="s">
        <v>130</v>
      </c>
      <c r="C13" s="426">
        <f t="shared" ref="C13:N13" si="6">IF(C$3&lt;31,C$12*(30-C3)/30,0)</f>
        <v>0</v>
      </c>
      <c r="D13" s="426">
        <f t="shared" si="6"/>
        <v>0</v>
      </c>
      <c r="E13" s="426">
        <f t="shared" si="6"/>
        <v>0</v>
      </c>
      <c r="F13" s="426">
        <f t="shared" si="6"/>
        <v>0</v>
      </c>
      <c r="G13" s="426">
        <f t="shared" si="6"/>
        <v>0</v>
      </c>
      <c r="H13" s="426">
        <f t="shared" si="6"/>
        <v>0</v>
      </c>
      <c r="I13" s="426">
        <f t="shared" si="6"/>
        <v>0</v>
      </c>
      <c r="J13" s="426">
        <f t="shared" si="6"/>
        <v>0</v>
      </c>
      <c r="K13" s="426">
        <f t="shared" si="6"/>
        <v>0</v>
      </c>
      <c r="L13" s="426">
        <f t="shared" si="6"/>
        <v>0</v>
      </c>
      <c r="M13" s="426">
        <f t="shared" si="6"/>
        <v>0</v>
      </c>
      <c r="N13" s="426">
        <f t="shared" si="6"/>
        <v>0</v>
      </c>
    </row>
    <row r="14" spans="1:19">
      <c r="A14" s="4" t="s">
        <v>119</v>
      </c>
      <c r="B14" s="4" t="s">
        <v>131</v>
      </c>
      <c r="C14" s="32">
        <f t="shared" ref="C14:N14" si="7">IF(C3&gt;30,0,C12-C13)</f>
        <v>0</v>
      </c>
      <c r="D14" s="32">
        <f t="shared" si="7"/>
        <v>0</v>
      </c>
      <c r="E14" s="32">
        <f t="shared" si="7"/>
        <v>0</v>
      </c>
      <c r="F14" s="32">
        <f t="shared" si="7"/>
        <v>0</v>
      </c>
      <c r="G14" s="32">
        <f t="shared" si="7"/>
        <v>0</v>
      </c>
      <c r="H14" s="32">
        <f t="shared" si="7"/>
        <v>0</v>
      </c>
      <c r="I14" s="32">
        <f t="shared" si="7"/>
        <v>0</v>
      </c>
      <c r="J14" s="32">
        <f t="shared" si="7"/>
        <v>0</v>
      </c>
      <c r="K14" s="32">
        <f t="shared" si="7"/>
        <v>0</v>
      </c>
      <c r="L14" s="32">
        <f t="shared" si="7"/>
        <v>0</v>
      </c>
      <c r="M14" s="32">
        <f t="shared" si="7"/>
        <v>0</v>
      </c>
      <c r="N14" s="32">
        <f t="shared" si="7"/>
        <v>0</v>
      </c>
    </row>
    <row r="15" spans="1:19">
      <c r="A15" s="425" t="s">
        <v>119</v>
      </c>
      <c r="B15" s="425" t="s">
        <v>131</v>
      </c>
      <c r="C15" s="426">
        <f t="shared" ref="C15:N15" si="8">IF(C$3&lt;31,0,IF(C$3&gt;60,0,C$12*(60-C$3))/30)</f>
        <v>0</v>
      </c>
      <c r="D15" s="426">
        <f t="shared" si="8"/>
        <v>0</v>
      </c>
      <c r="E15" s="426">
        <f t="shared" si="8"/>
        <v>0</v>
      </c>
      <c r="F15" s="426">
        <f t="shared" si="8"/>
        <v>0</v>
      </c>
      <c r="G15" s="426">
        <f t="shared" si="8"/>
        <v>0</v>
      </c>
      <c r="H15" s="426">
        <f t="shared" si="8"/>
        <v>0</v>
      </c>
      <c r="I15" s="426">
        <f t="shared" si="8"/>
        <v>0</v>
      </c>
      <c r="J15" s="426">
        <f t="shared" si="8"/>
        <v>0</v>
      </c>
      <c r="K15" s="426">
        <f t="shared" si="8"/>
        <v>0</v>
      </c>
      <c r="L15" s="426">
        <f t="shared" si="8"/>
        <v>0</v>
      </c>
      <c r="M15" s="426">
        <f t="shared" si="8"/>
        <v>0</v>
      </c>
      <c r="N15" s="426">
        <f t="shared" si="8"/>
        <v>0</v>
      </c>
    </row>
    <row r="16" spans="1:19">
      <c r="A16" s="4" t="s">
        <v>121</v>
      </c>
      <c r="B16" s="4" t="s">
        <v>132</v>
      </c>
      <c r="C16" s="32">
        <f>IF(C$3&lt;31,0,IF(C$3&gt;60,0,C12-C15))</f>
        <v>0</v>
      </c>
      <c r="D16" s="32">
        <f t="shared" ref="D16:N16" si="9">IF(D$3&lt;31,0,IF(D$3&gt;60,0,D12-D15))</f>
        <v>0</v>
      </c>
      <c r="E16" s="32">
        <f t="shared" si="9"/>
        <v>0</v>
      </c>
      <c r="F16" s="32">
        <f t="shared" si="9"/>
        <v>0</v>
      </c>
      <c r="G16" s="32">
        <f t="shared" si="9"/>
        <v>0</v>
      </c>
      <c r="H16" s="32">
        <f t="shared" si="9"/>
        <v>0</v>
      </c>
      <c r="I16" s="32">
        <f t="shared" si="9"/>
        <v>0</v>
      </c>
      <c r="J16" s="32">
        <f t="shared" si="9"/>
        <v>0</v>
      </c>
      <c r="K16" s="32">
        <f t="shared" si="9"/>
        <v>0</v>
      </c>
      <c r="L16" s="32">
        <f t="shared" si="9"/>
        <v>0</v>
      </c>
      <c r="M16" s="32">
        <f t="shared" si="9"/>
        <v>0</v>
      </c>
      <c r="N16" s="32">
        <f t="shared" si="9"/>
        <v>0</v>
      </c>
    </row>
    <row r="17" spans="1:14">
      <c r="A17" s="425" t="s">
        <v>121</v>
      </c>
      <c r="B17" s="425" t="s">
        <v>132</v>
      </c>
      <c r="C17" s="426">
        <f t="shared" ref="C17:N17" si="10">IF(C$3&lt;61,0,IF(C$3&gt;90,0,C$12*(90-C$3))/30)</f>
        <v>0</v>
      </c>
      <c r="D17" s="426">
        <f t="shared" si="10"/>
        <v>0</v>
      </c>
      <c r="E17" s="426">
        <f t="shared" si="10"/>
        <v>0</v>
      </c>
      <c r="F17" s="426">
        <f t="shared" si="10"/>
        <v>0</v>
      </c>
      <c r="G17" s="426">
        <f t="shared" si="10"/>
        <v>0</v>
      </c>
      <c r="H17" s="426">
        <f t="shared" si="10"/>
        <v>0</v>
      </c>
      <c r="I17" s="426">
        <f t="shared" si="10"/>
        <v>0</v>
      </c>
      <c r="J17" s="426">
        <f t="shared" si="10"/>
        <v>0</v>
      </c>
      <c r="K17" s="426">
        <f t="shared" si="10"/>
        <v>0</v>
      </c>
      <c r="L17" s="426">
        <f t="shared" si="10"/>
        <v>0</v>
      </c>
      <c r="M17" s="426">
        <f t="shared" si="10"/>
        <v>0</v>
      </c>
      <c r="N17" s="426">
        <f t="shared" si="10"/>
        <v>0</v>
      </c>
    </row>
    <row r="18" spans="1:14">
      <c r="A18" s="4" t="s">
        <v>123</v>
      </c>
      <c r="B18" s="4" t="s">
        <v>133</v>
      </c>
      <c r="C18" s="32">
        <f>IF(C$3&lt;61,0,IF(C$3&gt;90,0,C12-C17))</f>
        <v>0</v>
      </c>
      <c r="D18" s="32">
        <f t="shared" ref="D18:N18" si="11">IF(D$3&lt;61,0,IF(D$3&gt;90,0,D12-D17))</f>
        <v>0</v>
      </c>
      <c r="E18" s="32">
        <f t="shared" si="11"/>
        <v>0</v>
      </c>
      <c r="F18" s="32">
        <f t="shared" si="11"/>
        <v>0</v>
      </c>
      <c r="G18" s="32">
        <f t="shared" si="11"/>
        <v>0</v>
      </c>
      <c r="H18" s="32">
        <f t="shared" si="11"/>
        <v>0</v>
      </c>
      <c r="I18" s="32">
        <f t="shared" si="11"/>
        <v>0</v>
      </c>
      <c r="J18" s="32">
        <f t="shared" si="11"/>
        <v>0</v>
      </c>
      <c r="K18" s="32">
        <f t="shared" si="11"/>
        <v>0</v>
      </c>
      <c r="L18" s="32">
        <f t="shared" si="11"/>
        <v>0</v>
      </c>
      <c r="M18" s="32">
        <f t="shared" si="11"/>
        <v>0</v>
      </c>
      <c r="N18" s="32">
        <f t="shared" si="11"/>
        <v>0</v>
      </c>
    </row>
    <row r="19" spans="1:14">
      <c r="A19" s="425" t="s">
        <v>123</v>
      </c>
      <c r="B19" s="425" t="s">
        <v>133</v>
      </c>
      <c r="C19" s="426">
        <f t="shared" ref="C19:N19" si="12">IF(C$3&lt;91,0,IF(C$3&gt;120,0,C$12*(120-C$3))/30)</f>
        <v>0</v>
      </c>
      <c r="D19" s="426">
        <f t="shared" si="12"/>
        <v>0</v>
      </c>
      <c r="E19" s="426">
        <f t="shared" si="12"/>
        <v>0</v>
      </c>
      <c r="F19" s="426">
        <f t="shared" si="12"/>
        <v>0</v>
      </c>
      <c r="G19" s="426">
        <f t="shared" si="12"/>
        <v>0</v>
      </c>
      <c r="H19" s="426">
        <f t="shared" si="12"/>
        <v>0</v>
      </c>
      <c r="I19" s="426">
        <f t="shared" si="12"/>
        <v>0</v>
      </c>
      <c r="J19" s="426">
        <f t="shared" si="12"/>
        <v>0</v>
      </c>
      <c r="K19" s="426">
        <f t="shared" si="12"/>
        <v>0</v>
      </c>
      <c r="L19" s="426">
        <f t="shared" si="12"/>
        <v>0</v>
      </c>
      <c r="M19" s="426">
        <f t="shared" si="12"/>
        <v>0</v>
      </c>
      <c r="N19" s="426">
        <f t="shared" si="12"/>
        <v>0</v>
      </c>
    </row>
    <row r="20" spans="1:14">
      <c r="A20" s="4" t="s">
        <v>125</v>
      </c>
      <c r="B20" s="4" t="s">
        <v>134</v>
      </c>
      <c r="C20" s="32">
        <f>IF(C$3&lt;91,0,IF(C$3&gt;120,0,C12-C19))</f>
        <v>0</v>
      </c>
      <c r="D20" s="32">
        <f t="shared" ref="D20:N20" si="13">IF(D$3&lt;91,0,IF(D$3&gt;120,0,D12-D19))</f>
        <v>0</v>
      </c>
      <c r="E20" s="32">
        <f t="shared" si="13"/>
        <v>0</v>
      </c>
      <c r="F20" s="32">
        <f t="shared" si="13"/>
        <v>0</v>
      </c>
      <c r="G20" s="32">
        <f t="shared" si="13"/>
        <v>0</v>
      </c>
      <c r="H20" s="32">
        <f t="shared" si="13"/>
        <v>0</v>
      </c>
      <c r="I20" s="32">
        <f t="shared" si="13"/>
        <v>0</v>
      </c>
      <c r="J20" s="32">
        <f t="shared" si="13"/>
        <v>0</v>
      </c>
      <c r="K20" s="32">
        <f t="shared" si="13"/>
        <v>0</v>
      </c>
      <c r="L20" s="32">
        <f t="shared" si="13"/>
        <v>0</v>
      </c>
      <c r="M20" s="32">
        <f t="shared" si="13"/>
        <v>0</v>
      </c>
      <c r="N20" s="32">
        <f t="shared" si="13"/>
        <v>0</v>
      </c>
    </row>
    <row r="21" spans="1:14">
      <c r="A21" s="425" t="s">
        <v>125</v>
      </c>
      <c r="B21" s="425" t="s">
        <v>134</v>
      </c>
      <c r="C21" s="426">
        <f t="shared" ref="C21:N21" si="14">IF(C$3&lt;121,0,IF(C$3&gt;150,0,C$12*(150-C$3))/30)</f>
        <v>0</v>
      </c>
      <c r="D21" s="426">
        <f t="shared" si="14"/>
        <v>0</v>
      </c>
      <c r="E21" s="426">
        <f t="shared" si="14"/>
        <v>0</v>
      </c>
      <c r="F21" s="426">
        <f t="shared" si="14"/>
        <v>0</v>
      </c>
      <c r="G21" s="426">
        <f t="shared" si="14"/>
        <v>0</v>
      </c>
      <c r="H21" s="426">
        <f t="shared" si="14"/>
        <v>0</v>
      </c>
      <c r="I21" s="426">
        <f t="shared" si="14"/>
        <v>0</v>
      </c>
      <c r="J21" s="426">
        <f t="shared" si="14"/>
        <v>0</v>
      </c>
      <c r="K21" s="426">
        <f t="shared" si="14"/>
        <v>0</v>
      </c>
      <c r="L21" s="426">
        <f t="shared" si="14"/>
        <v>0</v>
      </c>
      <c r="M21" s="426">
        <f t="shared" si="14"/>
        <v>0</v>
      </c>
      <c r="N21" s="426">
        <f t="shared" si="14"/>
        <v>0</v>
      </c>
    </row>
    <row r="22" spans="1:14">
      <c r="A22" s="4" t="s">
        <v>127</v>
      </c>
      <c r="B22" s="4" t="s">
        <v>135</v>
      </c>
      <c r="C22" s="32">
        <f>IF(C$3&lt;121,0,IF(C$3&gt;150,0,C12-C21))</f>
        <v>0</v>
      </c>
      <c r="D22" s="32">
        <f t="shared" ref="D22:N22" si="15">IF(D$3&lt;121,0,IF(D$3&gt;150,0,D12-D21))</f>
        <v>0</v>
      </c>
      <c r="E22" s="32">
        <f t="shared" si="15"/>
        <v>0</v>
      </c>
      <c r="F22" s="32">
        <f t="shared" si="15"/>
        <v>0</v>
      </c>
      <c r="G22" s="32">
        <f t="shared" si="15"/>
        <v>0</v>
      </c>
      <c r="H22" s="32">
        <f t="shared" si="15"/>
        <v>0</v>
      </c>
      <c r="I22" s="32">
        <f t="shared" si="15"/>
        <v>0</v>
      </c>
      <c r="J22" s="32">
        <f t="shared" si="15"/>
        <v>0</v>
      </c>
      <c r="K22" s="32">
        <f t="shared" si="15"/>
        <v>0</v>
      </c>
      <c r="L22" s="32">
        <f t="shared" si="15"/>
        <v>0</v>
      </c>
      <c r="M22" s="32">
        <f t="shared" si="15"/>
        <v>0</v>
      </c>
      <c r="N22" s="32">
        <f t="shared" si="15"/>
        <v>0</v>
      </c>
    </row>
    <row r="23" spans="1:14">
      <c r="A23" s="425" t="s">
        <v>127</v>
      </c>
      <c r="B23" s="425" t="s">
        <v>135</v>
      </c>
      <c r="C23" s="426">
        <f t="shared" ref="C23:N23" si="16">IF(C$3&lt;151,0,IF(C$3&gt;180,0,C$12*(180-C$3))/30)</f>
        <v>0</v>
      </c>
      <c r="D23" s="426">
        <f t="shared" si="16"/>
        <v>0</v>
      </c>
      <c r="E23" s="426">
        <f t="shared" si="16"/>
        <v>0</v>
      </c>
      <c r="F23" s="426">
        <f t="shared" si="16"/>
        <v>0</v>
      </c>
      <c r="G23" s="426">
        <f t="shared" si="16"/>
        <v>0</v>
      </c>
      <c r="H23" s="426">
        <f t="shared" si="16"/>
        <v>0</v>
      </c>
      <c r="I23" s="426">
        <f t="shared" si="16"/>
        <v>0</v>
      </c>
      <c r="J23" s="426">
        <f t="shared" si="16"/>
        <v>0</v>
      </c>
      <c r="K23" s="426">
        <f t="shared" si="16"/>
        <v>0</v>
      </c>
      <c r="L23" s="426">
        <f t="shared" si="16"/>
        <v>0</v>
      </c>
      <c r="M23" s="426">
        <f t="shared" si="16"/>
        <v>0</v>
      </c>
      <c r="N23" s="426">
        <f t="shared" si="16"/>
        <v>0</v>
      </c>
    </row>
    <row r="24" spans="1:14">
      <c r="A24" s="4"/>
      <c r="B24" s="4" t="s">
        <v>136</v>
      </c>
      <c r="C24" s="32">
        <f>IF(C$3&lt;151,0,IF(C$3&gt;180,0,C12-C23))</f>
        <v>0</v>
      </c>
      <c r="D24" s="32">
        <f t="shared" ref="D24:N24" si="17">IF(D$3&lt;151,0,IF(D$3&gt;180,0,D12-D23))</f>
        <v>0</v>
      </c>
      <c r="E24" s="32">
        <f t="shared" si="17"/>
        <v>0</v>
      </c>
      <c r="F24" s="32">
        <f t="shared" si="17"/>
        <v>0</v>
      </c>
      <c r="G24" s="32">
        <f t="shared" si="17"/>
        <v>0</v>
      </c>
      <c r="H24" s="32">
        <f t="shared" si="17"/>
        <v>0</v>
      </c>
      <c r="I24" s="32">
        <f t="shared" si="17"/>
        <v>0</v>
      </c>
      <c r="J24" s="32">
        <f t="shared" si="17"/>
        <v>0</v>
      </c>
      <c r="K24" s="32">
        <f t="shared" si="17"/>
        <v>0</v>
      </c>
      <c r="L24" s="32">
        <f t="shared" si="17"/>
        <v>0</v>
      </c>
      <c r="M24" s="32">
        <f t="shared" si="17"/>
        <v>0</v>
      </c>
      <c r="N24" s="32">
        <f t="shared" si="17"/>
        <v>0</v>
      </c>
    </row>
    <row r="25" spans="1:14">
      <c r="A25" s="30"/>
      <c r="B25" s="30" t="s">
        <v>137</v>
      </c>
      <c r="C25" s="422" t="str">
        <f t="shared" ref="C25:N25" si="18">C2</f>
        <v>jan</v>
      </c>
      <c r="D25" s="422" t="str">
        <f t="shared" si="18"/>
        <v>feb</v>
      </c>
      <c r="E25" s="422" t="str">
        <f t="shared" si="18"/>
        <v>mars</v>
      </c>
      <c r="F25" s="422" t="str">
        <f t="shared" si="18"/>
        <v>april</v>
      </c>
      <c r="G25" s="422" t="str">
        <f t="shared" si="18"/>
        <v>maj</v>
      </c>
      <c r="H25" s="422" t="str">
        <f t="shared" si="18"/>
        <v>juni</v>
      </c>
      <c r="I25" s="422" t="str">
        <f t="shared" si="18"/>
        <v>juli</v>
      </c>
      <c r="J25" s="422" t="str">
        <f t="shared" si="18"/>
        <v>aug</v>
      </c>
      <c r="K25" s="422" t="str">
        <f t="shared" si="18"/>
        <v>sep</v>
      </c>
      <c r="L25" s="422" t="str">
        <f t="shared" si="18"/>
        <v>okt</v>
      </c>
      <c r="M25" s="422" t="str">
        <f t="shared" si="18"/>
        <v>nov</v>
      </c>
      <c r="N25" s="422" t="str">
        <f t="shared" si="18"/>
        <v>dec</v>
      </c>
    </row>
    <row r="26" spans="1:14">
      <c r="A26" s="4"/>
      <c r="B26" s="4" t="s">
        <v>138</v>
      </c>
      <c r="C26" s="32">
        <f>C11+C13</f>
        <v>0</v>
      </c>
      <c r="D26" s="32">
        <f t="shared" ref="D26:N26" si="19">D5+D13</f>
        <v>0</v>
      </c>
      <c r="E26" s="32">
        <f t="shared" si="19"/>
        <v>0</v>
      </c>
      <c r="F26" s="32">
        <f t="shared" si="19"/>
        <v>0</v>
      </c>
      <c r="G26" s="32">
        <f t="shared" si="19"/>
        <v>0</v>
      </c>
      <c r="H26" s="32">
        <f t="shared" si="19"/>
        <v>0</v>
      </c>
      <c r="I26" s="32">
        <f t="shared" si="19"/>
        <v>0</v>
      </c>
      <c r="J26" s="32">
        <f t="shared" si="19"/>
        <v>0</v>
      </c>
      <c r="K26" s="32">
        <f t="shared" si="19"/>
        <v>0</v>
      </c>
      <c r="L26" s="32">
        <f t="shared" si="19"/>
        <v>0</v>
      </c>
      <c r="M26" s="32">
        <f t="shared" si="19"/>
        <v>0</v>
      </c>
      <c r="N26" s="32">
        <f t="shared" si="19"/>
        <v>0</v>
      </c>
    </row>
    <row r="27" spans="1:14">
      <c r="A27" s="4"/>
      <c r="B27" s="4" t="s">
        <v>131</v>
      </c>
      <c r="C27" s="32"/>
      <c r="D27" s="32">
        <f>C14+C15+D11</f>
        <v>0</v>
      </c>
      <c r="E27" s="32">
        <f t="shared" ref="E27:M27" si="20">D14+D15</f>
        <v>0</v>
      </c>
      <c r="F27" s="32">
        <f t="shared" si="20"/>
        <v>0</v>
      </c>
      <c r="G27" s="32">
        <f t="shared" si="20"/>
        <v>0</v>
      </c>
      <c r="H27" s="32">
        <f t="shared" si="20"/>
        <v>0</v>
      </c>
      <c r="I27" s="32">
        <f t="shared" si="20"/>
        <v>0</v>
      </c>
      <c r="J27" s="32">
        <f t="shared" si="20"/>
        <v>0</v>
      </c>
      <c r="K27" s="32">
        <f t="shared" si="20"/>
        <v>0</v>
      </c>
      <c r="L27" s="32">
        <f t="shared" si="20"/>
        <v>0</v>
      </c>
      <c r="M27" s="32">
        <f t="shared" si="20"/>
        <v>0</v>
      </c>
      <c r="N27" s="32">
        <f>M14+M15</f>
        <v>0</v>
      </c>
    </row>
    <row r="28" spans="1:14">
      <c r="A28" s="4"/>
      <c r="B28" s="4" t="s">
        <v>132</v>
      </c>
      <c r="C28" s="32"/>
      <c r="D28" s="32"/>
      <c r="E28" s="32">
        <f>C16+C17+E11</f>
        <v>0</v>
      </c>
      <c r="F28" s="32">
        <f t="shared" ref="F28:M28" si="21">D16+D17</f>
        <v>0</v>
      </c>
      <c r="G28" s="32">
        <f t="shared" si="21"/>
        <v>0</v>
      </c>
      <c r="H28" s="32">
        <f t="shared" si="21"/>
        <v>0</v>
      </c>
      <c r="I28" s="32">
        <f t="shared" si="21"/>
        <v>0</v>
      </c>
      <c r="J28" s="32">
        <f t="shared" si="21"/>
        <v>0</v>
      </c>
      <c r="K28" s="32">
        <f t="shared" si="21"/>
        <v>0</v>
      </c>
      <c r="L28" s="32">
        <f t="shared" si="21"/>
        <v>0</v>
      </c>
      <c r="M28" s="32">
        <f t="shared" si="21"/>
        <v>0</v>
      </c>
      <c r="N28" s="32">
        <f>L16+L17</f>
        <v>0</v>
      </c>
    </row>
    <row r="29" spans="1:14">
      <c r="A29" s="4"/>
      <c r="B29" s="4" t="s">
        <v>133</v>
      </c>
      <c r="C29" s="32"/>
      <c r="D29" s="32"/>
      <c r="E29" s="32"/>
      <c r="F29" s="32">
        <f>C18+C19+F11</f>
        <v>0</v>
      </c>
      <c r="G29" s="32">
        <f t="shared" ref="G29:M29" si="22">D18+D19</f>
        <v>0</v>
      </c>
      <c r="H29" s="32">
        <f t="shared" si="22"/>
        <v>0</v>
      </c>
      <c r="I29" s="32">
        <f t="shared" si="22"/>
        <v>0</v>
      </c>
      <c r="J29" s="32">
        <f t="shared" si="22"/>
        <v>0</v>
      </c>
      <c r="K29" s="32">
        <f t="shared" si="22"/>
        <v>0</v>
      </c>
      <c r="L29" s="32">
        <f t="shared" si="22"/>
        <v>0</v>
      </c>
      <c r="M29" s="32">
        <f t="shared" si="22"/>
        <v>0</v>
      </c>
      <c r="N29" s="32">
        <f>K18+K19</f>
        <v>0</v>
      </c>
    </row>
    <row r="30" spans="1:14">
      <c r="A30" s="4"/>
      <c r="B30" s="4" t="s">
        <v>134</v>
      </c>
      <c r="C30" s="32"/>
      <c r="D30" s="32"/>
      <c r="E30" s="32"/>
      <c r="F30" s="32"/>
      <c r="G30" s="32">
        <f>C20+C21+G11</f>
        <v>0</v>
      </c>
      <c r="H30" s="32">
        <f t="shared" ref="H30:M30" si="23">D20+D21</f>
        <v>0</v>
      </c>
      <c r="I30" s="32">
        <f t="shared" si="23"/>
        <v>0</v>
      </c>
      <c r="J30" s="32">
        <f t="shared" si="23"/>
        <v>0</v>
      </c>
      <c r="K30" s="32">
        <f t="shared" si="23"/>
        <v>0</v>
      </c>
      <c r="L30" s="32">
        <f t="shared" si="23"/>
        <v>0</v>
      </c>
      <c r="M30" s="32">
        <f t="shared" si="23"/>
        <v>0</v>
      </c>
      <c r="N30" s="32">
        <f>J20+J21</f>
        <v>0</v>
      </c>
    </row>
    <row r="31" spans="1:14">
      <c r="A31" s="4"/>
      <c r="B31" s="4" t="s">
        <v>135</v>
      </c>
      <c r="C31" s="32"/>
      <c r="D31" s="32"/>
      <c r="E31" s="32"/>
      <c r="F31" s="32"/>
      <c r="G31" s="32"/>
      <c r="H31" s="32">
        <f>C22+C23+H11</f>
        <v>0</v>
      </c>
      <c r="I31" s="32">
        <f t="shared" ref="I31:N31" si="24">D22+D23</f>
        <v>0</v>
      </c>
      <c r="J31" s="32">
        <f t="shared" si="24"/>
        <v>0</v>
      </c>
      <c r="K31" s="32">
        <f t="shared" si="24"/>
        <v>0</v>
      </c>
      <c r="L31" s="32">
        <f t="shared" si="24"/>
        <v>0</v>
      </c>
      <c r="M31" s="32">
        <f t="shared" si="24"/>
        <v>0</v>
      </c>
      <c r="N31" s="32">
        <f t="shared" si="24"/>
        <v>0</v>
      </c>
    </row>
    <row r="32" spans="1:14">
      <c r="A32" s="4"/>
      <c r="B32" s="4" t="s">
        <v>136</v>
      </c>
      <c r="C32" s="32"/>
      <c r="D32" s="32"/>
      <c r="E32" s="32"/>
      <c r="F32" s="32"/>
      <c r="G32" s="32"/>
      <c r="H32" s="32"/>
      <c r="I32" s="32">
        <f t="shared" ref="I32:N32" si="25">C24</f>
        <v>0</v>
      </c>
      <c r="J32" s="32">
        <f t="shared" si="25"/>
        <v>0</v>
      </c>
      <c r="K32" s="32">
        <f t="shared" si="25"/>
        <v>0</v>
      </c>
      <c r="L32" s="32">
        <f t="shared" si="25"/>
        <v>0</v>
      </c>
      <c r="M32" s="32">
        <f t="shared" si="25"/>
        <v>0</v>
      </c>
      <c r="N32" s="32">
        <f t="shared" si="25"/>
        <v>0</v>
      </c>
    </row>
    <row r="33" spans="1:14">
      <c r="A33" s="30"/>
      <c r="B33" s="30" t="s">
        <v>139</v>
      </c>
      <c r="C33" s="58">
        <f>SUM(C26:C32)</f>
        <v>0</v>
      </c>
      <c r="D33" s="58">
        <f t="shared" ref="D33:N33" si="26">SUM(D26:D32)</f>
        <v>0</v>
      </c>
      <c r="E33" s="58">
        <f t="shared" si="26"/>
        <v>0</v>
      </c>
      <c r="F33" s="58">
        <f t="shared" si="26"/>
        <v>0</v>
      </c>
      <c r="G33" s="58">
        <f t="shared" si="26"/>
        <v>0</v>
      </c>
      <c r="H33" s="58">
        <f t="shared" si="26"/>
        <v>0</v>
      </c>
      <c r="I33" s="58">
        <f t="shared" si="26"/>
        <v>0</v>
      </c>
      <c r="J33" s="58">
        <f t="shared" si="26"/>
        <v>0</v>
      </c>
      <c r="K33" s="58">
        <f t="shared" si="26"/>
        <v>0</v>
      </c>
      <c r="L33" s="58">
        <f t="shared" si="26"/>
        <v>0</v>
      </c>
      <c r="M33" s="58">
        <f t="shared" si="26"/>
        <v>0</v>
      </c>
      <c r="N33" s="58">
        <f t="shared" si="26"/>
        <v>0</v>
      </c>
    </row>
  </sheetData>
  <sheetProtection algorithmName="SHA-512" hashValue="084vhVz0ShH93hrpqTnBlLVwrsG9l4aa82GQ8ncoFMAC+Q3pJShAfVOjBn5aJZr2EjumEdllZIDFaOuZIlcWBw==" saltValue="fbV2cFTsguaSQOJHOUCrSg==" spinCount="100000" sheet="1" objects="1" scenarios="1" selectLockedCells="1" selectUn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53"/>
  <sheetViews>
    <sheetView zoomScale="115" zoomScaleNormal="115" workbookViewId="0">
      <selection activeCell="D24" sqref="D24"/>
    </sheetView>
  </sheetViews>
  <sheetFormatPr defaultRowHeight="12.45"/>
  <cols>
    <col min="2" max="2" width="30.69140625" customWidth="1"/>
    <col min="3" max="3" width="11.4609375" bestFit="1" customWidth="1"/>
    <col min="9" max="9" width="5.53515625" customWidth="1"/>
    <col min="10" max="10" width="31.69140625" customWidth="1"/>
    <col min="11" max="11" width="7.84375" customWidth="1"/>
  </cols>
  <sheetData>
    <row r="1" spans="1:23" ht="12.9" thickBot="1"/>
    <row r="2" spans="1:23" ht="15.75" customHeight="1">
      <c r="B2" s="2131" t="s">
        <v>65</v>
      </c>
      <c r="C2" s="46" t="s">
        <v>14</v>
      </c>
      <c r="D2" s="48" t="s">
        <v>15</v>
      </c>
      <c r="E2" s="48" t="s">
        <v>1</v>
      </c>
      <c r="F2" s="48" t="s">
        <v>12</v>
      </c>
      <c r="G2" s="190" t="s">
        <v>93</v>
      </c>
      <c r="H2" s="26"/>
      <c r="I2" s="26"/>
      <c r="J2" s="400" t="s">
        <v>109</v>
      </c>
      <c r="K2" s="399" t="s">
        <v>110</v>
      </c>
      <c r="L2" s="403" t="str">
        <f>'8. T5 KASSABUDGET'!G10</f>
        <v>jan</v>
      </c>
      <c r="M2" s="403" t="str">
        <f>'8. T5 KASSABUDGET'!H10</f>
        <v>feb</v>
      </c>
      <c r="N2" s="403" t="str">
        <f>'8. T5 KASSABUDGET'!I10</f>
        <v>mars</v>
      </c>
      <c r="O2" s="403" t="str">
        <f>'8. T5 KASSABUDGET'!J10</f>
        <v>april</v>
      </c>
      <c r="P2" s="403" t="str">
        <f>'8. T5 KASSABUDGET'!K10</f>
        <v>maj</v>
      </c>
      <c r="Q2" s="403" t="str">
        <f>'8. T5 KASSABUDGET'!L10</f>
        <v>juni</v>
      </c>
      <c r="R2" s="403" t="str">
        <f>'8. T5 KASSABUDGET'!M10</f>
        <v>juli</v>
      </c>
      <c r="S2" s="403" t="str">
        <f>'8. T5 KASSABUDGET'!N10</f>
        <v>aug</v>
      </c>
      <c r="T2" s="403" t="str">
        <f>'8. T5 KASSABUDGET'!O10</f>
        <v>sep</v>
      </c>
      <c r="U2" s="403" t="str">
        <f>'8. T5 KASSABUDGET'!P10</f>
        <v>okt</v>
      </c>
      <c r="V2" s="403" t="str">
        <f>'8. T5 KASSABUDGET'!Q10</f>
        <v>nov</v>
      </c>
      <c r="W2" s="403" t="str">
        <f>'8. T5 KASSABUDGET'!R10</f>
        <v>dec</v>
      </c>
    </row>
    <row r="3" spans="1:23">
      <c r="B3" s="2132"/>
      <c r="C3" s="191"/>
      <c r="D3" s="191">
        <f>'1. T1 INVESTERINGSP.'!D16</f>
        <v>2025</v>
      </c>
      <c r="E3" s="191">
        <f>'1. T1 INVESTERINGSP.'!E16</f>
        <v>2026</v>
      </c>
      <c r="F3" s="191">
        <f>'1. T1 INVESTERINGSP.'!F16</f>
        <v>2027</v>
      </c>
      <c r="G3" s="191">
        <f>'1. T1 INVESTERINGSP.'!G16</f>
        <v>2028</v>
      </c>
      <c r="H3" s="27"/>
      <c r="I3" s="27">
        <f>'8. T5 KASSABUDGET'!B13</f>
        <v>2</v>
      </c>
      <c r="J3" s="27" t="str">
        <f>'8. T5 KASSABUDGET'!C13</f>
        <v xml:space="preserve"> Kontantbetalning, andel av försäljning</v>
      </c>
      <c r="K3" s="90">
        <f>'8. T5 KASSABUDGET'!F13</f>
        <v>24</v>
      </c>
      <c r="L3">
        <f>'8. T5 KASSABUDGET'!G13</f>
        <v>0</v>
      </c>
      <c r="M3">
        <f>'8. T5 KASSABUDGET'!H13</f>
        <v>0</v>
      </c>
      <c r="N3">
        <f>'8. T5 KASSABUDGET'!I13</f>
        <v>0</v>
      </c>
      <c r="O3">
        <f>'8. T5 KASSABUDGET'!J13</f>
        <v>0</v>
      </c>
      <c r="P3">
        <f>'8. T5 KASSABUDGET'!K13</f>
        <v>0</v>
      </c>
      <c r="Q3">
        <f>'8. T5 KASSABUDGET'!L13</f>
        <v>0</v>
      </c>
      <c r="R3">
        <f>'8. T5 KASSABUDGET'!M13</f>
        <v>0</v>
      </c>
      <c r="S3">
        <f>'8. T5 KASSABUDGET'!N13</f>
        <v>0</v>
      </c>
      <c r="T3">
        <f>'8. T5 KASSABUDGET'!O13</f>
        <v>0</v>
      </c>
      <c r="U3">
        <f>'8. T5 KASSABUDGET'!P13</f>
        <v>0</v>
      </c>
      <c r="V3">
        <f>'8. T5 KASSABUDGET'!Q13</f>
        <v>0</v>
      </c>
      <c r="W3">
        <f>'8. T5 KASSABUDGET'!R13</f>
        <v>0</v>
      </c>
    </row>
    <row r="4" spans="1:23">
      <c r="A4" t="str">
        <f>'1. T1 INVESTERINGSP.'!B17</f>
        <v>1.</v>
      </c>
      <c r="B4" s="86" t="str">
        <f>'1. T1 INVESTERINGSP.'!C17</f>
        <v>Jordområden, anslutningar mm.</v>
      </c>
      <c r="C4" s="86"/>
      <c r="D4" s="86">
        <f>'1. T1 INVESTERINGSP.'!D17</f>
        <v>0</v>
      </c>
      <c r="E4" s="86">
        <f>'1. T1 INVESTERINGSP.'!E17</f>
        <v>0</v>
      </c>
      <c r="F4" s="86">
        <f>'1. T1 INVESTERINGSP.'!F17</f>
        <v>0</v>
      </c>
      <c r="G4" s="86">
        <f>'1. T1 INVESTERINGSP.'!G17</f>
        <v>0</v>
      </c>
      <c r="H4" s="27"/>
      <c r="J4" s="1" t="s">
        <v>111</v>
      </c>
      <c r="K4" s="90"/>
      <c r="L4">
        <f t="shared" ref="L4:W4" si="0">L3-L3/(1+$K3%)</f>
        <v>0</v>
      </c>
      <c r="M4">
        <f t="shared" si="0"/>
        <v>0</v>
      </c>
      <c r="N4">
        <f t="shared" si="0"/>
        <v>0</v>
      </c>
      <c r="O4">
        <f t="shared" si="0"/>
        <v>0</v>
      </c>
      <c r="P4">
        <f t="shared" si="0"/>
        <v>0</v>
      </c>
      <c r="Q4">
        <f t="shared" si="0"/>
        <v>0</v>
      </c>
      <c r="R4">
        <f t="shared" si="0"/>
        <v>0</v>
      </c>
      <c r="S4">
        <f t="shared" si="0"/>
        <v>0</v>
      </c>
      <c r="T4">
        <f t="shared" si="0"/>
        <v>0</v>
      </c>
      <c r="U4">
        <f t="shared" si="0"/>
        <v>0</v>
      </c>
      <c r="V4">
        <f t="shared" si="0"/>
        <v>0</v>
      </c>
      <c r="W4">
        <f t="shared" si="0"/>
        <v>0</v>
      </c>
    </row>
    <row r="5" spans="1:23">
      <c r="A5" s="1" t="s">
        <v>0</v>
      </c>
      <c r="B5" s="86" t="str">
        <f>'1. T1 INVESTERINGSP.'!C19</f>
        <v xml:space="preserve"> - bidrags-%</v>
      </c>
      <c r="C5" s="195"/>
      <c r="D5" s="195">
        <f>'1. T1 INVESTERINGSP.'!D19</f>
        <v>0</v>
      </c>
      <c r="E5" s="195">
        <f>'1. T1 INVESTERINGSP.'!E19</f>
        <v>0</v>
      </c>
      <c r="F5" s="195">
        <f>'1. T1 INVESTERINGSP.'!F19</f>
        <v>0</v>
      </c>
      <c r="G5" s="195">
        <f>'1. T1 INVESTERINGSP.'!G19</f>
        <v>0</v>
      </c>
      <c r="H5" s="27"/>
      <c r="I5" s="27">
        <f>'8. T5 KASSABUDGET'!B15</f>
        <v>3</v>
      </c>
      <c r="J5" s="27" t="str">
        <f>'8. T5 KASSABUDGET'!C15</f>
        <v xml:space="preserve"> Fakturaförsäljning</v>
      </c>
      <c r="K5" s="90">
        <f>'8. T5 KASSABUDGET'!F15</f>
        <v>24</v>
      </c>
      <c r="L5">
        <f>'8. T5 KASSABUDGET'!G15</f>
        <v>0</v>
      </c>
      <c r="M5">
        <f>'8. T5 KASSABUDGET'!H15</f>
        <v>0</v>
      </c>
      <c r="N5">
        <f>'8. T5 KASSABUDGET'!I15</f>
        <v>0</v>
      </c>
      <c r="O5">
        <f>'8. T5 KASSABUDGET'!J15</f>
        <v>0</v>
      </c>
      <c r="P5">
        <f>'8. T5 KASSABUDGET'!K15</f>
        <v>0</v>
      </c>
      <c r="Q5">
        <f>'8. T5 KASSABUDGET'!L15</f>
        <v>0</v>
      </c>
      <c r="R5">
        <f>'8. T5 KASSABUDGET'!M15</f>
        <v>0</v>
      </c>
      <c r="S5">
        <f>'8. T5 KASSABUDGET'!N15</f>
        <v>0</v>
      </c>
      <c r="T5">
        <f>'8. T5 KASSABUDGET'!O15</f>
        <v>0</v>
      </c>
      <c r="U5">
        <f>'8. T5 KASSABUDGET'!P15</f>
        <v>0</v>
      </c>
      <c r="V5">
        <f>'8. T5 KASSABUDGET'!Q15</f>
        <v>0</v>
      </c>
      <c r="W5">
        <f>'8. T5 KASSABUDGET'!R15</f>
        <v>0</v>
      </c>
    </row>
    <row r="6" spans="1:23">
      <c r="B6" s="192" t="s">
        <v>62</v>
      </c>
      <c r="C6" s="86"/>
      <c r="D6" s="86">
        <f>D4*D5</f>
        <v>0</v>
      </c>
      <c r="E6" s="86">
        <f>E4*E5</f>
        <v>0</v>
      </c>
      <c r="F6" s="86">
        <f>F4*F5</f>
        <v>0</v>
      </c>
      <c r="G6" s="86">
        <f>G4*G5</f>
        <v>0</v>
      </c>
      <c r="H6" s="27"/>
      <c r="J6" s="1" t="s">
        <v>111</v>
      </c>
      <c r="K6" s="90"/>
      <c r="L6">
        <f>L5-L5/(1+$K5%)</f>
        <v>0</v>
      </c>
      <c r="M6">
        <f t="shared" ref="M6:W6" si="1">M5-M5/(1+$K5%)</f>
        <v>0</v>
      </c>
      <c r="N6">
        <f t="shared" si="1"/>
        <v>0</v>
      </c>
      <c r="O6">
        <f t="shared" si="1"/>
        <v>0</v>
      </c>
      <c r="P6">
        <f t="shared" si="1"/>
        <v>0</v>
      </c>
      <c r="Q6">
        <f t="shared" si="1"/>
        <v>0</v>
      </c>
      <c r="R6">
        <f t="shared" si="1"/>
        <v>0</v>
      </c>
      <c r="S6">
        <f t="shared" si="1"/>
        <v>0</v>
      </c>
      <c r="T6">
        <f t="shared" si="1"/>
        <v>0</v>
      </c>
      <c r="U6">
        <f t="shared" si="1"/>
        <v>0</v>
      </c>
      <c r="V6">
        <f t="shared" si="1"/>
        <v>0</v>
      </c>
      <c r="W6">
        <f t="shared" si="1"/>
        <v>0</v>
      </c>
    </row>
    <row r="7" spans="1:23">
      <c r="B7" s="192" t="s">
        <v>542</v>
      </c>
      <c r="C7" s="86"/>
      <c r="D7" s="86">
        <f>D4-D6</f>
        <v>0</v>
      </c>
      <c r="E7" s="86">
        <f>E4-E6</f>
        <v>0</v>
      </c>
      <c r="F7" s="86">
        <f>F4-F6</f>
        <v>0</v>
      </c>
      <c r="G7" s="86">
        <f>G4-G6</f>
        <v>0</v>
      </c>
      <c r="H7" s="27"/>
      <c r="I7" s="27">
        <f>'8. T5 KASSABUDGET'!B18</f>
        <v>4</v>
      </c>
      <c r="J7" s="27" t="str">
        <f>'8. T5 KASSABUDGET'!C18</f>
        <v xml:space="preserve"> Extraordinära intäkter, försäljning av inventarier</v>
      </c>
      <c r="K7" s="90">
        <f>'8. T5 KASSABUDGET'!F18</f>
        <v>24</v>
      </c>
      <c r="L7">
        <f>'8. T5 KASSABUDGET'!G18</f>
        <v>0</v>
      </c>
      <c r="M7">
        <f>'8. T5 KASSABUDGET'!H18</f>
        <v>0</v>
      </c>
      <c r="N7">
        <f>'8. T5 KASSABUDGET'!I18</f>
        <v>0</v>
      </c>
      <c r="O7">
        <f>'8. T5 KASSABUDGET'!J18</f>
        <v>0</v>
      </c>
      <c r="P7">
        <f>'8. T5 KASSABUDGET'!K18</f>
        <v>0</v>
      </c>
      <c r="Q7">
        <f>'8. T5 KASSABUDGET'!L18</f>
        <v>0</v>
      </c>
      <c r="R7">
        <f>'8. T5 KASSABUDGET'!M18</f>
        <v>0</v>
      </c>
      <c r="S7">
        <f>'8. T5 KASSABUDGET'!N18</f>
        <v>0</v>
      </c>
      <c r="T7">
        <f>'8. T5 KASSABUDGET'!O18</f>
        <v>0</v>
      </c>
      <c r="U7">
        <f>'8. T5 KASSABUDGET'!P18</f>
        <v>0</v>
      </c>
      <c r="V7">
        <f>'8. T5 KASSABUDGET'!Q18</f>
        <v>0</v>
      </c>
      <c r="W7">
        <f>'8. T5 KASSABUDGET'!R18</f>
        <v>0</v>
      </c>
    </row>
    <row r="8" spans="1:23">
      <c r="A8" s="4" t="str">
        <f>'1. T1 INVESTERINGSP.'!B20</f>
        <v>2.</v>
      </c>
      <c r="B8" s="192" t="str">
        <f>'1. T1 INVESTERINGSP.'!C20</f>
        <v xml:space="preserve">Nybyggnation, renovering inkl. Moms </v>
      </c>
      <c r="C8" s="192"/>
      <c r="D8" s="192">
        <f>'1. T1 INVESTERINGSP.'!D20</f>
        <v>0</v>
      </c>
      <c r="E8" s="192">
        <f>'1. T1 INVESTERINGSP.'!E20</f>
        <v>0</v>
      </c>
      <c r="F8" s="192">
        <f>'1. T1 INVESTERINGSP.'!F20</f>
        <v>0</v>
      </c>
      <c r="G8" s="192">
        <f>'1. T1 INVESTERINGSP.'!G20</f>
        <v>0</v>
      </c>
      <c r="H8" s="40"/>
      <c r="I8" s="40"/>
      <c r="J8" s="1" t="s">
        <v>111</v>
      </c>
      <c r="K8" s="90"/>
      <c r="L8">
        <f>L7-L7/(1+$K7%)</f>
        <v>0</v>
      </c>
      <c r="M8">
        <f t="shared" ref="M8:W8" si="2">M7-M7/(1+$K7%)</f>
        <v>0</v>
      </c>
      <c r="N8">
        <f t="shared" si="2"/>
        <v>0</v>
      </c>
      <c r="O8">
        <f t="shared" si="2"/>
        <v>0</v>
      </c>
      <c r="P8">
        <f t="shared" si="2"/>
        <v>0</v>
      </c>
      <c r="Q8">
        <f t="shared" si="2"/>
        <v>0</v>
      </c>
      <c r="R8">
        <f>R7-R7/(1+$K7%)</f>
        <v>0</v>
      </c>
      <c r="S8">
        <f t="shared" si="2"/>
        <v>0</v>
      </c>
      <c r="T8">
        <f t="shared" si="2"/>
        <v>0</v>
      </c>
      <c r="U8">
        <f t="shared" si="2"/>
        <v>0</v>
      </c>
      <c r="V8">
        <f t="shared" si="2"/>
        <v>0</v>
      </c>
      <c r="W8">
        <f t="shared" si="2"/>
        <v>0</v>
      </c>
    </row>
    <row r="9" spans="1:23">
      <c r="A9" s="4"/>
      <c r="B9" s="192" t="str">
        <f>'1. T1 INVESTERINGSP.'!C22</f>
        <v xml:space="preserve"> - Moms-%</v>
      </c>
      <c r="C9" s="193"/>
      <c r="D9" s="193">
        <f>'1. T1 INVESTERINGSP.'!D22</f>
        <v>0.24</v>
      </c>
      <c r="E9" s="193">
        <f>'1. T1 INVESTERINGSP.'!E22</f>
        <v>0.24</v>
      </c>
      <c r="F9" s="193">
        <f>'1. T1 INVESTERINGSP.'!F22</f>
        <v>0.24</v>
      </c>
      <c r="G9" s="193">
        <f>'1. T1 INVESTERINGSP.'!G22</f>
        <v>0.24</v>
      </c>
      <c r="H9" s="40"/>
      <c r="I9" s="40"/>
      <c r="J9" s="401" t="s">
        <v>112</v>
      </c>
      <c r="K9" s="404"/>
      <c r="L9" s="401">
        <f t="shared" ref="L9:W9" si="3">L4+L6+L8</f>
        <v>0</v>
      </c>
      <c r="M9" s="401">
        <f t="shared" si="3"/>
        <v>0</v>
      </c>
      <c r="N9" s="401">
        <f t="shared" si="3"/>
        <v>0</v>
      </c>
      <c r="O9" s="401">
        <f t="shared" si="3"/>
        <v>0</v>
      </c>
      <c r="P9" s="401">
        <f t="shared" si="3"/>
        <v>0</v>
      </c>
      <c r="Q9" s="401">
        <f t="shared" si="3"/>
        <v>0</v>
      </c>
      <c r="R9" s="401">
        <f t="shared" si="3"/>
        <v>0</v>
      </c>
      <c r="S9" s="401">
        <f t="shared" si="3"/>
        <v>0</v>
      </c>
      <c r="T9" s="401">
        <f t="shared" si="3"/>
        <v>0</v>
      </c>
      <c r="U9" s="401">
        <f t="shared" si="3"/>
        <v>0</v>
      </c>
      <c r="V9" s="401">
        <f t="shared" si="3"/>
        <v>0</v>
      </c>
      <c r="W9" s="401">
        <f t="shared" si="3"/>
        <v>0</v>
      </c>
    </row>
    <row r="10" spans="1:23">
      <c r="A10" s="4"/>
      <c r="B10" s="192" t="s">
        <v>61</v>
      </c>
      <c r="C10" s="194"/>
      <c r="D10" s="194">
        <f>D8/(1+D9)</f>
        <v>0</v>
      </c>
      <c r="E10" s="194">
        <f>E8/(1+E9)</f>
        <v>0</v>
      </c>
      <c r="F10" s="194">
        <f>F8/(1+F9)</f>
        <v>0</v>
      </c>
      <c r="G10" s="194">
        <f>G8/(1+G9)</f>
        <v>0</v>
      </c>
      <c r="H10" s="40"/>
      <c r="I10" s="40">
        <f>'8. T5 KASSABUDGET'!B23</f>
        <v>6</v>
      </c>
      <c r="J10" s="40" t="str">
        <f>'8. T5 KASSABUDGET'!C23</f>
        <v xml:space="preserve"> Materialbruk och varor</v>
      </c>
      <c r="K10" s="90">
        <f>'8. T5 KASSABUDGET'!F23</f>
        <v>24</v>
      </c>
      <c r="L10">
        <f>'8. T5 KASSABUDGET'!G23</f>
        <v>0</v>
      </c>
      <c r="M10">
        <f>'8. T5 KASSABUDGET'!H23</f>
        <v>0</v>
      </c>
      <c r="N10">
        <f>'8. T5 KASSABUDGET'!I23</f>
        <v>0</v>
      </c>
      <c r="O10">
        <f>'8. T5 KASSABUDGET'!J23</f>
        <v>0</v>
      </c>
      <c r="P10">
        <f>'8. T5 KASSABUDGET'!K23</f>
        <v>0</v>
      </c>
      <c r="Q10">
        <f>'8. T5 KASSABUDGET'!L23</f>
        <v>0</v>
      </c>
      <c r="R10">
        <f>'8. T5 KASSABUDGET'!M23</f>
        <v>0</v>
      </c>
      <c r="S10">
        <f>'8. T5 KASSABUDGET'!N23</f>
        <v>0</v>
      </c>
      <c r="T10">
        <f>'8. T5 KASSABUDGET'!O23</f>
        <v>0</v>
      </c>
      <c r="U10">
        <f>'8. T5 KASSABUDGET'!P23</f>
        <v>0</v>
      </c>
      <c r="V10">
        <f>'8. T5 KASSABUDGET'!Q23</f>
        <v>0</v>
      </c>
      <c r="W10">
        <f>'8. T5 KASSABUDGET'!R23</f>
        <v>0</v>
      </c>
    </row>
    <row r="11" spans="1:23">
      <c r="A11" s="4" t="s">
        <v>0</v>
      </c>
      <c r="B11" s="192" t="s">
        <v>60</v>
      </c>
      <c r="C11" s="194"/>
      <c r="D11" s="194">
        <f>D8-D10</f>
        <v>0</v>
      </c>
      <c r="E11" s="194">
        <f>E8-E10</f>
        <v>0</v>
      </c>
      <c r="F11" s="194">
        <f>F8-F10</f>
        <v>0</v>
      </c>
      <c r="G11" s="194">
        <f>G8-G10</f>
        <v>0</v>
      </c>
      <c r="H11" s="40"/>
      <c r="J11" s="1" t="s">
        <v>111</v>
      </c>
      <c r="K11" s="90"/>
      <c r="L11">
        <f>L10-L10/(1+$K10%)</f>
        <v>0</v>
      </c>
      <c r="M11">
        <f t="shared" ref="M11:W11" si="4">M10-M10/(1+$K10%)</f>
        <v>0</v>
      </c>
      <c r="N11">
        <f t="shared" si="4"/>
        <v>0</v>
      </c>
      <c r="O11">
        <f t="shared" si="4"/>
        <v>0</v>
      </c>
      <c r="P11">
        <f t="shared" si="4"/>
        <v>0</v>
      </c>
      <c r="Q11">
        <f t="shared" si="4"/>
        <v>0</v>
      </c>
      <c r="R11">
        <f t="shared" si="4"/>
        <v>0</v>
      </c>
      <c r="S11">
        <f t="shared" si="4"/>
        <v>0</v>
      </c>
      <c r="T11">
        <f t="shared" si="4"/>
        <v>0</v>
      </c>
      <c r="U11">
        <f t="shared" si="4"/>
        <v>0</v>
      </c>
      <c r="V11">
        <f t="shared" si="4"/>
        <v>0</v>
      </c>
      <c r="W11">
        <f t="shared" si="4"/>
        <v>0</v>
      </c>
    </row>
    <row r="12" spans="1:23">
      <c r="A12" s="4"/>
      <c r="B12" s="192" t="str">
        <f>'1. T1 INVESTERINGSP.'!C23</f>
        <v xml:space="preserve"> - bidrags-%</v>
      </c>
      <c r="C12" s="193"/>
      <c r="D12" s="193">
        <f>'1. T1 INVESTERINGSP.'!D23</f>
        <v>0</v>
      </c>
      <c r="E12" s="193">
        <f>'1. T1 INVESTERINGSP.'!E23</f>
        <v>0</v>
      </c>
      <c r="F12" s="193">
        <f>'1. T1 INVESTERINGSP.'!F23</f>
        <v>0</v>
      </c>
      <c r="G12" s="193">
        <f>'1. T1 INVESTERINGSP.'!G23</f>
        <v>0</v>
      </c>
      <c r="H12" s="40"/>
      <c r="I12" s="40">
        <f>'8. T5 KASSABUDGET'!B25</f>
        <v>7</v>
      </c>
      <c r="J12" s="40" t="str">
        <f>'8. T5 KASSABUDGET'!C25</f>
        <v xml:space="preserve"> Varulagret vid företagsförvärv eller i början</v>
      </c>
      <c r="K12" s="90">
        <f>'8. T5 KASSABUDGET'!F25</f>
        <v>0</v>
      </c>
      <c r="L12">
        <f>'8. T5 KASSABUDGET'!G25</f>
        <v>0</v>
      </c>
      <c r="M12">
        <f>'8. T5 KASSABUDGET'!H25</f>
        <v>0</v>
      </c>
      <c r="N12">
        <f>'8. T5 KASSABUDGET'!I25</f>
        <v>0</v>
      </c>
      <c r="O12">
        <f>'8. T5 KASSABUDGET'!J25</f>
        <v>0</v>
      </c>
      <c r="P12">
        <f>'8. T5 KASSABUDGET'!K25</f>
        <v>0</v>
      </c>
      <c r="Q12">
        <f>'8. T5 KASSABUDGET'!L25</f>
        <v>0</v>
      </c>
      <c r="R12">
        <f>'8. T5 KASSABUDGET'!M25</f>
        <v>0</v>
      </c>
      <c r="S12">
        <f>'8. T5 KASSABUDGET'!N25</f>
        <v>0</v>
      </c>
      <c r="T12">
        <f>'8. T5 KASSABUDGET'!O25</f>
        <v>0</v>
      </c>
      <c r="U12">
        <f>'8. T5 KASSABUDGET'!P25</f>
        <v>0</v>
      </c>
      <c r="V12">
        <f>'8. T5 KASSABUDGET'!Q25</f>
        <v>0</v>
      </c>
      <c r="W12">
        <f>'8. T5 KASSABUDGET'!R25</f>
        <v>0</v>
      </c>
    </row>
    <row r="13" spans="1:23">
      <c r="A13" s="4"/>
      <c r="B13" s="192" t="s">
        <v>62</v>
      </c>
      <c r="C13" s="194"/>
      <c r="D13" s="194">
        <f>D10*D12</f>
        <v>0</v>
      </c>
      <c r="E13" s="194">
        <f>E10*E12</f>
        <v>0</v>
      </c>
      <c r="F13" s="194">
        <f>F10*F12</f>
        <v>0</v>
      </c>
      <c r="G13" s="194">
        <f>G10*G12</f>
        <v>0</v>
      </c>
      <c r="H13" s="40"/>
      <c r="J13" s="1" t="s">
        <v>111</v>
      </c>
      <c r="K13" s="90"/>
      <c r="L13">
        <f>L12-L12/(1+$K12%)</f>
        <v>0</v>
      </c>
      <c r="M13">
        <f t="shared" ref="M13:W13" si="5">M12-M12/(1+$K12%)</f>
        <v>0</v>
      </c>
      <c r="N13">
        <f t="shared" si="5"/>
        <v>0</v>
      </c>
      <c r="O13">
        <f t="shared" si="5"/>
        <v>0</v>
      </c>
      <c r="P13">
        <f t="shared" si="5"/>
        <v>0</v>
      </c>
      <c r="Q13">
        <f t="shared" si="5"/>
        <v>0</v>
      </c>
      <c r="R13">
        <f t="shared" si="5"/>
        <v>0</v>
      </c>
      <c r="S13">
        <f t="shared" si="5"/>
        <v>0</v>
      </c>
      <c r="T13">
        <f t="shared" si="5"/>
        <v>0</v>
      </c>
      <c r="U13">
        <f t="shared" si="5"/>
        <v>0</v>
      </c>
      <c r="V13">
        <f t="shared" si="5"/>
        <v>0</v>
      </c>
      <c r="W13">
        <f t="shared" si="5"/>
        <v>0</v>
      </c>
    </row>
    <row r="14" spans="1:23">
      <c r="B14" s="192" t="s">
        <v>542</v>
      </c>
      <c r="C14" s="214"/>
      <c r="D14" s="214">
        <f>D10-D13</f>
        <v>0</v>
      </c>
      <c r="E14" s="214">
        <f>E10-E13</f>
        <v>0</v>
      </c>
      <c r="F14" s="214">
        <f>F10-F13</f>
        <v>0</v>
      </c>
      <c r="G14" s="214">
        <f>G10-G13</f>
        <v>0</v>
      </c>
      <c r="H14" s="27"/>
      <c r="I14" s="40">
        <f>'8. T5 KASSABUDGET'!B26</f>
        <v>8</v>
      </c>
      <c r="J14" s="40" t="str">
        <f>'8. T5 KASSABUDGET'!C26</f>
        <v xml:space="preserve"> Köpta tjänster</v>
      </c>
      <c r="K14" s="90">
        <f>'8. T5 KASSABUDGET'!F26</f>
        <v>24</v>
      </c>
      <c r="L14">
        <f>'8. T5 KASSABUDGET'!G26</f>
        <v>0</v>
      </c>
      <c r="M14">
        <f>'8. T5 KASSABUDGET'!H26</f>
        <v>0</v>
      </c>
      <c r="N14">
        <f>'8. T5 KASSABUDGET'!I26</f>
        <v>0</v>
      </c>
      <c r="O14">
        <f>'8. T5 KASSABUDGET'!J26</f>
        <v>0</v>
      </c>
      <c r="P14">
        <f>'8. T5 KASSABUDGET'!K26</f>
        <v>0</v>
      </c>
      <c r="Q14">
        <f>'8. T5 KASSABUDGET'!L26</f>
        <v>0</v>
      </c>
      <c r="R14">
        <f>'8. T5 KASSABUDGET'!M26</f>
        <v>0</v>
      </c>
      <c r="S14">
        <f>'8. T5 KASSABUDGET'!N26</f>
        <v>0</v>
      </c>
      <c r="T14">
        <f>'8. T5 KASSABUDGET'!O26</f>
        <v>0</v>
      </c>
      <c r="U14">
        <f>'8. T5 KASSABUDGET'!P26</f>
        <v>0</v>
      </c>
      <c r="V14">
        <f>'8. T5 KASSABUDGET'!Q26</f>
        <v>0</v>
      </c>
      <c r="W14">
        <f>'8. T5 KASSABUDGET'!R26</f>
        <v>0</v>
      </c>
    </row>
    <row r="15" spans="1:23">
      <c r="A15" s="4" t="str">
        <f>'1. T1 INVESTERINGSP.'!B24</f>
        <v>3.</v>
      </c>
      <c r="B15" s="192" t="str">
        <f>'1. T1 INVESTERINGSP.'!C24</f>
        <v>Byggd fastighet eller konstruktion</v>
      </c>
      <c r="C15" s="192"/>
      <c r="D15" s="192">
        <f>'1. T1 INVESTERINGSP.'!D24</f>
        <v>0</v>
      </c>
      <c r="E15" s="192">
        <f>'1. T1 INVESTERINGSP.'!E24</f>
        <v>0</v>
      </c>
      <c r="F15" s="192">
        <f>'1. T1 INVESTERINGSP.'!F24</f>
        <v>0</v>
      </c>
      <c r="G15" s="192">
        <f>'1. T1 INVESTERINGSP.'!G24</f>
        <v>0</v>
      </c>
      <c r="H15" s="40"/>
      <c r="J15" s="1" t="s">
        <v>111</v>
      </c>
      <c r="K15" s="90"/>
      <c r="L15">
        <f>L14-L14/(1+$K14%)</f>
        <v>0</v>
      </c>
      <c r="M15">
        <f t="shared" ref="M15:W15" si="6">M14-M14/(1+$K14%)</f>
        <v>0</v>
      </c>
      <c r="N15">
        <f t="shared" si="6"/>
        <v>0</v>
      </c>
      <c r="O15">
        <f t="shared" si="6"/>
        <v>0</v>
      </c>
      <c r="P15">
        <f t="shared" si="6"/>
        <v>0</v>
      </c>
      <c r="Q15">
        <f t="shared" si="6"/>
        <v>0</v>
      </c>
      <c r="R15">
        <f t="shared" si="6"/>
        <v>0</v>
      </c>
      <c r="S15">
        <f t="shared" si="6"/>
        <v>0</v>
      </c>
      <c r="T15">
        <f t="shared" si="6"/>
        <v>0</v>
      </c>
      <c r="U15">
        <f t="shared" si="6"/>
        <v>0</v>
      </c>
      <c r="V15">
        <f t="shared" si="6"/>
        <v>0</v>
      </c>
      <c r="W15">
        <f t="shared" si="6"/>
        <v>0</v>
      </c>
    </row>
    <row r="16" spans="1:23">
      <c r="A16" s="4"/>
      <c r="B16" s="192" t="str">
        <f>'1. T1 INVESTERINGSP.'!C26</f>
        <v xml:space="preserve"> - bidrags-%</v>
      </c>
      <c r="C16" s="193"/>
      <c r="D16" s="193">
        <f>'1. T1 INVESTERINGSP.'!D26</f>
        <v>0</v>
      </c>
      <c r="E16" s="193">
        <f>'1. T1 INVESTERINGSP.'!E26</f>
        <v>0</v>
      </c>
      <c r="F16" s="193">
        <f>'1. T1 INVESTERINGSP.'!F26</f>
        <v>0</v>
      </c>
      <c r="G16" s="193">
        <f>'1. T1 INVESTERINGSP.'!G26</f>
        <v>0</v>
      </c>
      <c r="H16" s="40"/>
      <c r="I16" s="40">
        <f>'8. T5 KASSABUDGET'!B27</f>
        <v>9</v>
      </c>
      <c r="J16" s="40" t="str">
        <f>'8. T5 KASSABUDGET'!C27</f>
        <v xml:space="preserve"> Investeringar inkl. Moms</v>
      </c>
      <c r="K16" s="90">
        <f>'8. T5 KASSABUDGET'!F27</f>
        <v>24</v>
      </c>
      <c r="L16">
        <f>'8. T5 KASSABUDGET'!G27</f>
        <v>0</v>
      </c>
      <c r="M16">
        <f>'8. T5 KASSABUDGET'!H27</f>
        <v>0</v>
      </c>
      <c r="N16">
        <f>'8. T5 KASSABUDGET'!I27</f>
        <v>0</v>
      </c>
      <c r="O16">
        <f>'8. T5 KASSABUDGET'!J27</f>
        <v>0</v>
      </c>
      <c r="P16">
        <f>'8. T5 KASSABUDGET'!K27</f>
        <v>0</v>
      </c>
      <c r="Q16">
        <f>'8. T5 KASSABUDGET'!L27</f>
        <v>0</v>
      </c>
      <c r="R16">
        <f>'8. T5 KASSABUDGET'!M27</f>
        <v>0</v>
      </c>
      <c r="S16">
        <f>'8. T5 KASSABUDGET'!N27</f>
        <v>0</v>
      </c>
      <c r="T16">
        <f>'8. T5 KASSABUDGET'!O27</f>
        <v>0</v>
      </c>
      <c r="U16">
        <f>'8. T5 KASSABUDGET'!P27</f>
        <v>0</v>
      </c>
      <c r="V16">
        <f>'8. T5 KASSABUDGET'!Q27</f>
        <v>0</v>
      </c>
      <c r="W16">
        <f>'8. T5 KASSABUDGET'!R27</f>
        <v>0</v>
      </c>
    </row>
    <row r="17" spans="1:23">
      <c r="A17" s="4"/>
      <c r="B17" s="192" t="s">
        <v>62</v>
      </c>
      <c r="C17" s="194"/>
      <c r="D17" s="194">
        <f>D15*D16</f>
        <v>0</v>
      </c>
      <c r="E17" s="194">
        <f t="shared" ref="E17:G17" si="7">E15*E16</f>
        <v>0</v>
      </c>
      <c r="F17" s="194">
        <f t="shared" si="7"/>
        <v>0</v>
      </c>
      <c r="G17" s="194">
        <f t="shared" si="7"/>
        <v>0</v>
      </c>
      <c r="H17" s="40"/>
      <c r="J17" s="1" t="s">
        <v>111</v>
      </c>
      <c r="K17" s="90"/>
      <c r="L17">
        <f>L16-L16/(1+$K16%)</f>
        <v>0</v>
      </c>
      <c r="M17">
        <f t="shared" ref="M17:W17" si="8">M16-M16/(1+$K16%)</f>
        <v>0</v>
      </c>
      <c r="N17">
        <f t="shared" si="8"/>
        <v>0</v>
      </c>
      <c r="O17">
        <f t="shared" si="8"/>
        <v>0</v>
      </c>
      <c r="P17">
        <f t="shared" si="8"/>
        <v>0</v>
      </c>
      <c r="Q17">
        <f t="shared" si="8"/>
        <v>0</v>
      </c>
      <c r="R17">
        <f t="shared" si="8"/>
        <v>0</v>
      </c>
      <c r="S17">
        <f t="shared" si="8"/>
        <v>0</v>
      </c>
      <c r="T17">
        <f t="shared" si="8"/>
        <v>0</v>
      </c>
      <c r="U17">
        <f t="shared" si="8"/>
        <v>0</v>
      </c>
      <c r="V17">
        <f t="shared" si="8"/>
        <v>0</v>
      </c>
      <c r="W17">
        <f t="shared" si="8"/>
        <v>0</v>
      </c>
    </row>
    <row r="18" spans="1:23">
      <c r="B18" s="192" t="s">
        <v>542</v>
      </c>
      <c r="C18" s="214"/>
      <c r="D18" s="214">
        <f>D15-D17</f>
        <v>0</v>
      </c>
      <c r="E18" s="214">
        <f t="shared" ref="E18:G18" si="9">E15-E17</f>
        <v>0</v>
      </c>
      <c r="F18" s="214">
        <f t="shared" si="9"/>
        <v>0</v>
      </c>
      <c r="G18" s="214">
        <f t="shared" si="9"/>
        <v>0</v>
      </c>
      <c r="H18" s="27"/>
      <c r="I18" s="40">
        <f>'8. T5 KASSABUDGET'!B28</f>
        <v>10</v>
      </c>
      <c r="J18" s="40" t="str">
        <f>'8. T5 KASSABUDGET'!C28</f>
        <v xml:space="preserve"> Hyror och vederlag inklusive Moms</v>
      </c>
      <c r="K18" s="90">
        <f>'8. T5 KASSABUDGET'!F28</f>
        <v>24</v>
      </c>
      <c r="L18">
        <f>'8. T5 KASSABUDGET'!G28</f>
        <v>0</v>
      </c>
      <c r="M18">
        <f>'8. T5 KASSABUDGET'!H28</f>
        <v>0</v>
      </c>
      <c r="N18">
        <f>'8. T5 KASSABUDGET'!I28</f>
        <v>0</v>
      </c>
      <c r="O18">
        <f>'8. T5 KASSABUDGET'!J28</f>
        <v>0</v>
      </c>
      <c r="P18">
        <f>'8. T5 KASSABUDGET'!K28</f>
        <v>0</v>
      </c>
      <c r="Q18">
        <f>'8. T5 KASSABUDGET'!L28</f>
        <v>0</v>
      </c>
      <c r="R18">
        <f>'8. T5 KASSABUDGET'!M28</f>
        <v>0</v>
      </c>
      <c r="S18">
        <f>'8. T5 KASSABUDGET'!N28</f>
        <v>0</v>
      </c>
      <c r="T18">
        <f>'8. T5 KASSABUDGET'!O28</f>
        <v>0</v>
      </c>
      <c r="U18">
        <f>'8. T5 KASSABUDGET'!P28</f>
        <v>0</v>
      </c>
      <c r="V18">
        <f>'8. T5 KASSABUDGET'!Q28</f>
        <v>0</v>
      </c>
      <c r="W18">
        <f>'8. T5 KASSABUDGET'!R28</f>
        <v>0</v>
      </c>
    </row>
    <row r="19" spans="1:23">
      <c r="A19" s="4" t="str">
        <f>'1. T1 INVESTERINGSP.'!B27</f>
        <v>4.</v>
      </c>
      <c r="B19" s="192" t="str">
        <f>'1. T1 INVESTERINGSP.'!C27</f>
        <v>Maskiner och anläggningar inkl. Moms</v>
      </c>
      <c r="C19" s="192"/>
      <c r="D19" s="192">
        <f>'1. T1 INVESTERINGSP.'!D27</f>
        <v>0</v>
      </c>
      <c r="E19" s="192">
        <f>'1. T1 INVESTERINGSP.'!E27</f>
        <v>0</v>
      </c>
      <c r="F19" s="192">
        <f>'1. T1 INVESTERINGSP.'!F27</f>
        <v>0</v>
      </c>
      <c r="G19" s="192">
        <f>'1. T1 INVESTERINGSP.'!G27</f>
        <v>0</v>
      </c>
      <c r="H19" s="40"/>
      <c r="J19" s="1" t="s">
        <v>111</v>
      </c>
      <c r="K19" s="90"/>
      <c r="L19">
        <f>L18-L18/(1+$K18%)</f>
        <v>0</v>
      </c>
      <c r="M19">
        <f t="shared" ref="M19:W19" si="10">M18-M18/(1+$K18%)</f>
        <v>0</v>
      </c>
      <c r="N19">
        <f t="shared" si="10"/>
        <v>0</v>
      </c>
      <c r="O19">
        <f t="shared" si="10"/>
        <v>0</v>
      </c>
      <c r="P19">
        <f t="shared" si="10"/>
        <v>0</v>
      </c>
      <c r="Q19">
        <f t="shared" si="10"/>
        <v>0</v>
      </c>
      <c r="R19">
        <f t="shared" si="10"/>
        <v>0</v>
      </c>
      <c r="S19">
        <f t="shared" si="10"/>
        <v>0</v>
      </c>
      <c r="T19">
        <f t="shared" si="10"/>
        <v>0</v>
      </c>
      <c r="U19">
        <f t="shared" si="10"/>
        <v>0</v>
      </c>
      <c r="V19">
        <f t="shared" si="10"/>
        <v>0</v>
      </c>
      <c r="W19">
        <f t="shared" si="10"/>
        <v>0</v>
      </c>
    </row>
    <row r="20" spans="1:23">
      <c r="A20" s="4"/>
      <c r="B20" s="192" t="s">
        <v>500</v>
      </c>
      <c r="D20" s="40">
        <f>'1. T1 INVESTERINGSP.'!D58</f>
        <v>0</v>
      </c>
      <c r="E20" s="40">
        <f>'1. T1 INVESTERINGSP.'!E58</f>
        <v>0</v>
      </c>
      <c r="F20" s="40">
        <f>'1. T1 INVESTERINGSP.'!F58</f>
        <v>0</v>
      </c>
      <c r="G20" s="40">
        <f>'1. T1 INVESTERINGSP.'!G58</f>
        <v>0</v>
      </c>
      <c r="H20" s="4"/>
      <c r="J20" s="606"/>
    </row>
    <row r="21" spans="1:23">
      <c r="A21" s="4"/>
      <c r="B21" s="192" t="s">
        <v>501</v>
      </c>
      <c r="D21" s="86">
        <f>D19-D20</f>
        <v>0</v>
      </c>
      <c r="E21" s="86">
        <f>E19-E20</f>
        <v>0</v>
      </c>
      <c r="F21" s="86">
        <f>F19-F20</f>
        <v>0</v>
      </c>
      <c r="G21" s="86">
        <f>G19-G20</f>
        <v>0</v>
      </c>
      <c r="H21" s="4"/>
      <c r="J21" s="606"/>
    </row>
    <row r="22" spans="1:23">
      <c r="A22" s="4" t="s">
        <v>0</v>
      </c>
      <c r="B22" s="192" t="str">
        <f>'1. T1 INVESTERINGSP.'!C28</f>
        <v xml:space="preserve"> - Moms-%</v>
      </c>
      <c r="C22" s="193"/>
      <c r="D22" s="193">
        <f>'1. T1 INVESTERINGSP.'!D28</f>
        <v>0.24</v>
      </c>
      <c r="E22" s="193">
        <f>'1. T1 INVESTERINGSP.'!E28</f>
        <v>0.24</v>
      </c>
      <c r="F22" s="193">
        <f>'1. T1 INVESTERINGSP.'!F28</f>
        <v>0.24</v>
      </c>
      <c r="G22" s="193">
        <f>'1. T1 INVESTERINGSP.'!G28</f>
        <v>0.24</v>
      </c>
      <c r="H22" s="40"/>
      <c r="I22" s="40">
        <f>'8. T5 KASSABUDGET'!B29</f>
        <v>11</v>
      </c>
      <c r="J22" s="40" t="str">
        <f>'8. T5 KASSABUDGET'!C29</f>
        <v xml:space="preserve"> Leasing- och ja apparathyror, affärsbruk</v>
      </c>
      <c r="K22" s="90">
        <f>'8. T5 KASSABUDGET'!F29</f>
        <v>24</v>
      </c>
      <c r="L22">
        <f>'8. T5 KASSABUDGET'!G29</f>
        <v>0</v>
      </c>
      <c r="M22">
        <f>'8. T5 KASSABUDGET'!H29</f>
        <v>0</v>
      </c>
      <c r="N22">
        <f>'8. T5 KASSABUDGET'!I29</f>
        <v>0</v>
      </c>
      <c r="O22">
        <f>'8. T5 KASSABUDGET'!J29</f>
        <v>0</v>
      </c>
      <c r="P22">
        <f>'8. T5 KASSABUDGET'!K29</f>
        <v>0</v>
      </c>
      <c r="Q22">
        <f>'8. T5 KASSABUDGET'!L29</f>
        <v>0</v>
      </c>
      <c r="R22">
        <f>'8. T5 KASSABUDGET'!M29</f>
        <v>0</v>
      </c>
      <c r="S22">
        <f>'8. T5 KASSABUDGET'!N29</f>
        <v>0</v>
      </c>
      <c r="T22">
        <f>'8. T5 KASSABUDGET'!O29</f>
        <v>0</v>
      </c>
      <c r="U22">
        <f>'8. T5 KASSABUDGET'!P29</f>
        <v>0</v>
      </c>
      <c r="V22">
        <f>'8. T5 KASSABUDGET'!Q29</f>
        <v>0</v>
      </c>
      <c r="W22">
        <f>'8. T5 KASSABUDGET'!R29</f>
        <v>0</v>
      </c>
    </row>
    <row r="23" spans="1:23">
      <c r="A23" s="4"/>
      <c r="B23" s="192" t="s">
        <v>61</v>
      </c>
      <c r="C23" s="194"/>
      <c r="D23" s="194">
        <f>D21/(1+D22)</f>
        <v>0</v>
      </c>
      <c r="E23" s="194">
        <f>E21/(1+E22)</f>
        <v>0</v>
      </c>
      <c r="F23" s="194">
        <f t="shared" ref="F23:G23" si="11">F21/(1+F22)</f>
        <v>0</v>
      </c>
      <c r="G23" s="194">
        <f t="shared" si="11"/>
        <v>0</v>
      </c>
      <c r="H23" s="40"/>
      <c r="J23" s="1" t="s">
        <v>111</v>
      </c>
      <c r="K23" s="90"/>
      <c r="L23">
        <f>L22-L22/(1+$K22%)</f>
        <v>0</v>
      </c>
      <c r="M23">
        <f t="shared" ref="M23:W23" si="12">M22-M22/(1+$K22%)</f>
        <v>0</v>
      </c>
      <c r="N23">
        <f t="shared" si="12"/>
        <v>0</v>
      </c>
      <c r="O23">
        <f t="shared" si="12"/>
        <v>0</v>
      </c>
      <c r="P23">
        <f t="shared" si="12"/>
        <v>0</v>
      </c>
      <c r="Q23">
        <f t="shared" si="12"/>
        <v>0</v>
      </c>
      <c r="R23">
        <f t="shared" si="12"/>
        <v>0</v>
      </c>
      <c r="S23">
        <f t="shared" si="12"/>
        <v>0</v>
      </c>
      <c r="T23">
        <f t="shared" si="12"/>
        <v>0</v>
      </c>
      <c r="U23">
        <f t="shared" si="12"/>
        <v>0</v>
      </c>
      <c r="V23">
        <f t="shared" si="12"/>
        <v>0</v>
      </c>
      <c r="W23">
        <f t="shared" si="12"/>
        <v>0</v>
      </c>
    </row>
    <row r="24" spans="1:23">
      <c r="A24" s="4"/>
      <c r="B24" s="192" t="s">
        <v>60</v>
      </c>
      <c r="C24" s="194"/>
      <c r="D24" s="194">
        <f>D21-D23</f>
        <v>0</v>
      </c>
      <c r="E24" s="194">
        <f t="shared" ref="E24:G24" si="13">E21-E23</f>
        <v>0</v>
      </c>
      <c r="F24" s="194">
        <f t="shared" si="13"/>
        <v>0</v>
      </c>
      <c r="G24" s="194">
        <f t="shared" si="13"/>
        <v>0</v>
      </c>
      <c r="H24" s="40"/>
      <c r="I24" s="40">
        <f>'8. T5 KASSABUDGET'!B30</f>
        <v>12</v>
      </c>
      <c r="J24" s="40" t="str">
        <f>'8. T5 KASSABUDGET'!C30</f>
        <v xml:space="preserve"> Övriga fasta kostnader inkl. Moms</v>
      </c>
      <c r="K24" s="90">
        <f>'8. T5 KASSABUDGET'!F30</f>
        <v>24</v>
      </c>
      <c r="L24">
        <f>'8. T5 KASSABUDGET'!G30</f>
        <v>0</v>
      </c>
      <c r="M24">
        <f>'8. T5 KASSABUDGET'!H30</f>
        <v>0</v>
      </c>
      <c r="N24">
        <f>'8. T5 KASSABUDGET'!I30</f>
        <v>0</v>
      </c>
      <c r="O24">
        <f>'8. T5 KASSABUDGET'!J30</f>
        <v>0</v>
      </c>
      <c r="P24">
        <f>'8. T5 KASSABUDGET'!K30</f>
        <v>0</v>
      </c>
      <c r="Q24">
        <f>'8. T5 KASSABUDGET'!L30</f>
        <v>0</v>
      </c>
      <c r="R24">
        <f>'8. T5 KASSABUDGET'!M30</f>
        <v>0</v>
      </c>
      <c r="S24">
        <f>'8. T5 KASSABUDGET'!N30</f>
        <v>0</v>
      </c>
      <c r="T24">
        <f>'8. T5 KASSABUDGET'!O30</f>
        <v>0</v>
      </c>
      <c r="U24">
        <f>'8. T5 KASSABUDGET'!P30</f>
        <v>0</v>
      </c>
      <c r="V24">
        <f>'8. T5 KASSABUDGET'!Q30</f>
        <v>0</v>
      </c>
      <c r="W24">
        <f>'8. T5 KASSABUDGET'!R30</f>
        <v>0</v>
      </c>
    </row>
    <row r="25" spans="1:23">
      <c r="A25" s="4" t="s">
        <v>0</v>
      </c>
      <c r="B25" s="192" t="str">
        <f>'1. T1 INVESTERINGSP.'!C29</f>
        <v xml:space="preserve"> - bidrags-%</v>
      </c>
      <c r="C25" s="193"/>
      <c r="D25" s="193">
        <f>'1. T1 INVESTERINGSP.'!D29</f>
        <v>0</v>
      </c>
      <c r="E25" s="193">
        <f>'1. T1 INVESTERINGSP.'!E29</f>
        <v>0</v>
      </c>
      <c r="F25" s="193">
        <f>'1. T1 INVESTERINGSP.'!F29</f>
        <v>0</v>
      </c>
      <c r="G25" s="193">
        <f>'1. T1 INVESTERINGSP.'!G29</f>
        <v>0</v>
      </c>
      <c r="H25" s="21"/>
      <c r="J25" s="1" t="s">
        <v>111</v>
      </c>
      <c r="K25" s="90"/>
      <c r="L25">
        <f>L24-L24/(1+$K24%)</f>
        <v>0</v>
      </c>
      <c r="M25">
        <f t="shared" ref="M25:W25" si="14">M24-M24/(1+$K24%)</f>
        <v>0</v>
      </c>
      <c r="N25">
        <f>N24-N24/(1+$K24%)</f>
        <v>0</v>
      </c>
      <c r="O25">
        <f t="shared" si="14"/>
        <v>0</v>
      </c>
      <c r="P25">
        <f t="shared" si="14"/>
        <v>0</v>
      </c>
      <c r="Q25">
        <f t="shared" si="14"/>
        <v>0</v>
      </c>
      <c r="R25">
        <f t="shared" si="14"/>
        <v>0</v>
      </c>
      <c r="S25">
        <f t="shared" si="14"/>
        <v>0</v>
      </c>
      <c r="T25">
        <f t="shared" si="14"/>
        <v>0</v>
      </c>
      <c r="U25">
        <f t="shared" si="14"/>
        <v>0</v>
      </c>
      <c r="V25">
        <f t="shared" si="14"/>
        <v>0</v>
      </c>
      <c r="W25">
        <f t="shared" si="14"/>
        <v>0</v>
      </c>
    </row>
    <row r="26" spans="1:23">
      <c r="A26" s="4"/>
      <c r="B26" s="192" t="s">
        <v>62</v>
      </c>
      <c r="C26" s="194"/>
      <c r="D26" s="194">
        <f>D23*D25</f>
        <v>0</v>
      </c>
      <c r="E26" s="194">
        <f>E23*E25</f>
        <v>0</v>
      </c>
      <c r="F26" s="194">
        <f>F23*F25</f>
        <v>0</v>
      </c>
      <c r="G26" s="194">
        <f>G23*G25</f>
        <v>0</v>
      </c>
      <c r="H26" s="21"/>
      <c r="I26" s="402"/>
      <c r="J26" s="406" t="s">
        <v>113</v>
      </c>
      <c r="K26" s="406"/>
      <c r="L26" s="406">
        <f>L11+L13+L15+L17+L19+L23+L25</f>
        <v>0</v>
      </c>
      <c r="M26" s="406">
        <f t="shared" ref="M26:W26" si="15">M11+M13+M15+M17+M19+M23+M25</f>
        <v>0</v>
      </c>
      <c r="N26" s="406">
        <f>N11+N13+N15+N17+N19+N23+N25</f>
        <v>0</v>
      </c>
      <c r="O26" s="406">
        <f t="shared" si="15"/>
        <v>0</v>
      </c>
      <c r="P26" s="406">
        <f t="shared" si="15"/>
        <v>0</v>
      </c>
      <c r="Q26" s="406">
        <f t="shared" si="15"/>
        <v>0</v>
      </c>
      <c r="R26" s="406">
        <f t="shared" si="15"/>
        <v>0</v>
      </c>
      <c r="S26" s="406">
        <f t="shared" si="15"/>
        <v>0</v>
      </c>
      <c r="T26" s="406">
        <f t="shared" si="15"/>
        <v>0</v>
      </c>
      <c r="U26" s="406">
        <f t="shared" si="15"/>
        <v>0</v>
      </c>
      <c r="V26" s="406">
        <f t="shared" si="15"/>
        <v>0</v>
      </c>
      <c r="W26" s="406">
        <f t="shared" si="15"/>
        <v>0</v>
      </c>
    </row>
    <row r="27" spans="1:23">
      <c r="B27" s="192" t="s">
        <v>542</v>
      </c>
      <c r="C27" s="214"/>
      <c r="D27" s="214">
        <f>D23-D26</f>
        <v>0</v>
      </c>
      <c r="E27" s="214">
        <f>E23-E26</f>
        <v>0</v>
      </c>
      <c r="F27" s="214">
        <f>F23-F26</f>
        <v>0</v>
      </c>
      <c r="G27" s="214">
        <f>G23-G26</f>
        <v>0</v>
      </c>
      <c r="H27" s="27"/>
      <c r="I27" s="420" t="s">
        <v>114</v>
      </c>
      <c r="J27" s="420"/>
      <c r="K27" s="420"/>
      <c r="L27" s="405">
        <f t="shared" ref="L27:W27" si="16">L9-L26</f>
        <v>0</v>
      </c>
      <c r="M27" s="405">
        <f t="shared" si="16"/>
        <v>0</v>
      </c>
      <c r="N27" s="405">
        <f t="shared" si="16"/>
        <v>0</v>
      </c>
      <c r="O27" s="405">
        <f t="shared" si="16"/>
        <v>0</v>
      </c>
      <c r="P27" s="405">
        <f t="shared" si="16"/>
        <v>0</v>
      </c>
      <c r="Q27" s="405">
        <f t="shared" si="16"/>
        <v>0</v>
      </c>
      <c r="R27" s="405">
        <f t="shared" si="16"/>
        <v>0</v>
      </c>
      <c r="S27" s="405">
        <f t="shared" si="16"/>
        <v>0</v>
      </c>
      <c r="T27" s="405">
        <f t="shared" si="16"/>
        <v>0</v>
      </c>
      <c r="U27" s="405">
        <f t="shared" si="16"/>
        <v>0</v>
      </c>
      <c r="V27" s="405">
        <f t="shared" si="16"/>
        <v>0</v>
      </c>
      <c r="W27" s="405">
        <f t="shared" si="16"/>
        <v>0</v>
      </c>
    </row>
    <row r="28" spans="1:23">
      <c r="A28" s="4" t="str">
        <f>'1. T1 INVESTERINGSP.'!B30</f>
        <v>5.</v>
      </c>
      <c r="B28" s="192" t="str">
        <f>'1. T1 INVESTERINGSP.'!C30</f>
        <v xml:space="preserve">Maskiner och anläggningar Moms 0 % </v>
      </c>
      <c r="C28" s="192"/>
      <c r="D28" s="192">
        <f>'1. T1 INVESTERINGSP.'!D30</f>
        <v>0</v>
      </c>
      <c r="E28" s="192">
        <f>'1. T1 INVESTERINGSP.'!E30</f>
        <v>0</v>
      </c>
      <c r="F28" s="192">
        <f>'1. T1 INVESTERINGSP.'!F30</f>
        <v>0</v>
      </c>
      <c r="G28" s="192">
        <f>'1. T1 INVESTERINGSP.'!G30</f>
        <v>0</v>
      </c>
      <c r="H28" s="21"/>
      <c r="I28" s="21"/>
      <c r="J28" s="21"/>
    </row>
    <row r="29" spans="1:23">
      <c r="A29" s="4"/>
      <c r="B29" s="192" t="s">
        <v>500</v>
      </c>
      <c r="C29" s="193"/>
      <c r="D29" s="612">
        <f>'1. T1 INVESTERINGSP.'!D59</f>
        <v>0</v>
      </c>
      <c r="E29" s="612">
        <f>'1. T1 INVESTERINGSP.'!E59</f>
        <v>0</v>
      </c>
      <c r="F29" s="612">
        <f>'1. T1 INVESTERINGSP.'!F59</f>
        <v>0</v>
      </c>
      <c r="G29" s="612">
        <f>'1. T1 INVESTERINGSP.'!G59</f>
        <v>0</v>
      </c>
      <c r="H29" s="21"/>
      <c r="I29" s="21"/>
      <c r="J29" s="21"/>
    </row>
    <row r="30" spans="1:23">
      <c r="B30" s="192" t="s">
        <v>501</v>
      </c>
      <c r="C30" s="86"/>
      <c r="D30" s="86">
        <f>D28-D29</f>
        <v>0</v>
      </c>
      <c r="E30" s="86">
        <f>E28-E29</f>
        <v>0</v>
      </c>
      <c r="F30" s="86">
        <f>F28-F29</f>
        <v>0</v>
      </c>
      <c r="G30" s="86">
        <f>G28-G29</f>
        <v>0</v>
      </c>
      <c r="H30" s="27"/>
      <c r="I30" s="27"/>
      <c r="J30" s="27"/>
    </row>
    <row r="31" spans="1:23">
      <c r="B31" s="192" t="str">
        <f>'1. T1 INVESTERINGSP.'!C31</f>
        <v xml:space="preserve"> - bidrags-%</v>
      </c>
      <c r="D31" s="666">
        <f>'1. T1 INVESTERINGSP.'!D31</f>
        <v>0</v>
      </c>
      <c r="E31" s="666">
        <f>'1. T1 INVESTERINGSP.'!E31</f>
        <v>0</v>
      </c>
      <c r="F31" s="666">
        <f>'1. T1 INVESTERINGSP.'!F31</f>
        <v>0</v>
      </c>
      <c r="G31" s="666">
        <f>'1. T1 INVESTERINGSP.'!G31</f>
        <v>0</v>
      </c>
      <c r="H31" s="40"/>
      <c r="I31" s="40"/>
      <c r="J31" s="40"/>
    </row>
    <row r="32" spans="1:23">
      <c r="B32" s="192" t="s">
        <v>62</v>
      </c>
      <c r="D32">
        <f>D30*D31</f>
        <v>0</v>
      </c>
      <c r="E32">
        <f t="shared" ref="E32:G32" si="17">E30*E31</f>
        <v>0</v>
      </c>
      <c r="F32">
        <f t="shared" si="17"/>
        <v>0</v>
      </c>
      <c r="G32">
        <f t="shared" si="17"/>
        <v>0</v>
      </c>
      <c r="H32" s="40"/>
      <c r="I32" s="40"/>
      <c r="J32" s="40"/>
    </row>
    <row r="33" spans="1:10">
      <c r="B33" s="192" t="s">
        <v>542</v>
      </c>
      <c r="D33">
        <f>D30-D32</f>
        <v>0</v>
      </c>
      <c r="E33">
        <f t="shared" ref="E33:G33" si="18">E30-E32</f>
        <v>0</v>
      </c>
      <c r="F33">
        <f t="shared" si="18"/>
        <v>0</v>
      </c>
      <c r="G33">
        <f t="shared" si="18"/>
        <v>0</v>
      </c>
      <c r="H33" s="40"/>
      <c r="I33" s="40"/>
      <c r="J33" s="40"/>
    </row>
    <row r="34" spans="1:10">
      <c r="A34" s="4" t="str">
        <f>'1. T1 INVESTERINGSP.'!B32</f>
        <v>6.</v>
      </c>
      <c r="B34" s="192" t="str">
        <f>'1. T1 INVESTERINGSP.'!C32</f>
        <v xml:space="preserve">Övriga materiella nyttigheter inkl. Moms </v>
      </c>
      <c r="C34" s="192"/>
      <c r="D34" s="192">
        <f>'1. T1 INVESTERINGSP.'!D32</f>
        <v>0</v>
      </c>
      <c r="E34" s="192">
        <f>'1. T1 INVESTERINGSP.'!E32</f>
        <v>0</v>
      </c>
      <c r="F34" s="192">
        <f>'1. T1 INVESTERINGSP.'!F32</f>
        <v>0</v>
      </c>
      <c r="G34" s="192">
        <f>'1. T1 INVESTERINGSP.'!G32</f>
        <v>0</v>
      </c>
      <c r="H34" s="40"/>
      <c r="I34" s="40"/>
      <c r="J34" s="40"/>
    </row>
    <row r="35" spans="1:10">
      <c r="A35" s="4"/>
      <c r="B35" s="192" t="str">
        <f>'1. T1 INVESTERINGSP.'!C33</f>
        <v xml:space="preserve"> - Moms-%</v>
      </c>
      <c r="C35" s="193"/>
      <c r="D35" s="193">
        <f>'1. T1 INVESTERINGSP.'!D33</f>
        <v>0.24</v>
      </c>
      <c r="E35" s="193">
        <f>'1. T1 INVESTERINGSP.'!E33</f>
        <v>0.24</v>
      </c>
      <c r="F35" s="193">
        <f>'1. T1 INVESTERINGSP.'!F33</f>
        <v>0.24</v>
      </c>
      <c r="G35" s="193">
        <f>'1. T1 INVESTERINGSP.'!G33</f>
        <v>0.24</v>
      </c>
      <c r="H35" s="40"/>
      <c r="I35" s="40"/>
      <c r="J35" s="40"/>
    </row>
    <row r="36" spans="1:10">
      <c r="A36" s="4"/>
      <c r="B36" s="192" t="s">
        <v>61</v>
      </c>
      <c r="C36" s="194"/>
      <c r="D36" s="194">
        <f>D34/(1+D35)</f>
        <v>0</v>
      </c>
      <c r="E36" s="194">
        <f>E34/(1+E35)</f>
        <v>0</v>
      </c>
      <c r="F36" s="194">
        <f>F34/(1+F35)</f>
        <v>0</v>
      </c>
      <c r="G36" s="194">
        <f>G34/(1+G35)</f>
        <v>0</v>
      </c>
      <c r="H36" s="40"/>
      <c r="I36" s="40"/>
      <c r="J36" s="40"/>
    </row>
    <row r="37" spans="1:10">
      <c r="A37" s="4"/>
      <c r="B37" s="192" t="s">
        <v>60</v>
      </c>
      <c r="C37" s="194"/>
      <c r="D37" s="194">
        <f>D34-D36</f>
        <v>0</v>
      </c>
      <c r="E37" s="194">
        <f>E34-E36</f>
        <v>0</v>
      </c>
      <c r="F37" s="194">
        <f>F34-F36</f>
        <v>0</v>
      </c>
      <c r="G37" s="194">
        <f>G34-G36</f>
        <v>0</v>
      </c>
      <c r="H37" s="27"/>
      <c r="I37" s="27"/>
      <c r="J37" s="27"/>
    </row>
    <row r="38" spans="1:10">
      <c r="A38" s="4"/>
      <c r="B38" s="192" t="str">
        <f>'1. T1 INVESTERINGSP.'!C34</f>
        <v xml:space="preserve"> - bidrags-%</v>
      </c>
      <c r="C38" s="193"/>
      <c r="D38" s="193">
        <f>'1. T1 INVESTERINGSP.'!D34</f>
        <v>0</v>
      </c>
      <c r="E38" s="193">
        <f>'1. T1 INVESTERINGSP.'!E34</f>
        <v>0</v>
      </c>
      <c r="F38" s="193">
        <f>'1. T1 INVESTERINGSP.'!F34</f>
        <v>0</v>
      </c>
      <c r="G38" s="193">
        <f>'1. T1 INVESTERINGSP.'!G34</f>
        <v>0</v>
      </c>
      <c r="H38" s="40"/>
      <c r="I38" s="40"/>
      <c r="J38" s="40"/>
    </row>
    <row r="39" spans="1:10">
      <c r="A39" s="4"/>
      <c r="B39" s="192" t="s">
        <v>62</v>
      </c>
      <c r="C39" s="194"/>
      <c r="D39" s="194">
        <f>D36*D38</f>
        <v>0</v>
      </c>
      <c r="E39" s="194">
        <f>E36*E38</f>
        <v>0</v>
      </c>
      <c r="F39" s="194">
        <f>F36*F38</f>
        <v>0</v>
      </c>
      <c r="G39" s="194">
        <f>G36*G38</f>
        <v>0</v>
      </c>
      <c r="H39" s="40"/>
      <c r="I39" s="40"/>
      <c r="J39" s="40"/>
    </row>
    <row r="40" spans="1:10">
      <c r="B40" s="192" t="s">
        <v>542</v>
      </c>
      <c r="C40" s="214"/>
      <c r="D40" s="214">
        <f>D36-D39</f>
        <v>0</v>
      </c>
      <c r="E40" s="214">
        <f>E36-E39</f>
        <v>0</v>
      </c>
      <c r="F40" s="214">
        <f>F36-F39</f>
        <v>0</v>
      </c>
      <c r="G40" s="214">
        <f>G36-G39</f>
        <v>0</v>
      </c>
      <c r="H40" s="40"/>
      <c r="I40" s="40"/>
      <c r="J40" s="40"/>
    </row>
    <row r="41" spans="1:10">
      <c r="A41" s="4" t="str">
        <f>'1. T1 INVESTERINGSP.'!B35</f>
        <v>7.</v>
      </c>
      <c r="B41" s="192" t="str">
        <f>'1. T1 INVESTERINGSP.'!C35</f>
        <v xml:space="preserve">Immateriella nyttigheter </v>
      </c>
      <c r="C41" s="192"/>
      <c r="D41" s="192">
        <f>'1. T1 INVESTERINGSP.'!D35</f>
        <v>0</v>
      </c>
      <c r="E41" s="192">
        <f>'1. T1 INVESTERINGSP.'!E35</f>
        <v>0</v>
      </c>
      <c r="F41" s="192">
        <f>'1. T1 INVESTERINGSP.'!F35</f>
        <v>0</v>
      </c>
      <c r="G41" s="192">
        <f>'1. T1 INVESTERINGSP.'!G35</f>
        <v>0</v>
      </c>
      <c r="H41" s="40"/>
      <c r="I41" s="40"/>
      <c r="J41" s="40"/>
    </row>
    <row r="42" spans="1:10">
      <c r="A42" s="4"/>
      <c r="B42" s="192" t="str">
        <f>'1. T1 INVESTERINGSP.'!C36</f>
        <v xml:space="preserve"> - Moms-%</v>
      </c>
      <c r="C42" s="283"/>
      <c r="D42" s="283">
        <f>'1. T1 INVESTERINGSP.'!D36</f>
        <v>0.24</v>
      </c>
      <c r="E42" s="283">
        <f>'1. T1 INVESTERINGSP.'!E36</f>
        <v>0.24</v>
      </c>
      <c r="F42" s="283">
        <f>'1. T1 INVESTERINGSP.'!F36</f>
        <v>0.24</v>
      </c>
      <c r="G42" s="283">
        <f>'1. T1 INVESTERINGSP.'!G36</f>
        <v>0.24</v>
      </c>
      <c r="H42" s="40"/>
      <c r="I42" s="40"/>
      <c r="J42" s="40"/>
    </row>
    <row r="43" spans="1:10">
      <c r="A43" s="4"/>
      <c r="B43" s="192" t="s">
        <v>61</v>
      </c>
      <c r="C43" s="194"/>
      <c r="D43" s="194">
        <f>D41/(1+D42)</f>
        <v>0</v>
      </c>
      <c r="E43" s="194">
        <f>E41/(1+E42)</f>
        <v>0</v>
      </c>
      <c r="F43" s="194">
        <f>F41/(1+F42)</f>
        <v>0</v>
      </c>
      <c r="G43" s="194">
        <f>G41/(1+G42)</f>
        <v>0</v>
      </c>
      <c r="H43" s="40"/>
      <c r="I43" s="40"/>
      <c r="J43" s="40"/>
    </row>
    <row r="44" spans="1:10">
      <c r="A44" s="4"/>
      <c r="B44" s="192" t="s">
        <v>60</v>
      </c>
      <c r="C44" s="194"/>
      <c r="D44" s="194">
        <f>D41-D43</f>
        <v>0</v>
      </c>
      <c r="E44" s="194">
        <f>E41-E43</f>
        <v>0</v>
      </c>
      <c r="F44" s="194">
        <f>F41-F43</f>
        <v>0</v>
      </c>
      <c r="G44" s="194">
        <f>G41-G43</f>
        <v>0</v>
      </c>
      <c r="H44" s="27"/>
      <c r="I44" s="27"/>
      <c r="J44" s="27"/>
    </row>
    <row r="45" spans="1:10">
      <c r="A45" s="4"/>
      <c r="B45" s="192" t="s">
        <v>59</v>
      </c>
      <c r="C45" s="193"/>
      <c r="D45" s="193">
        <f>'1. T1 INVESTERINGSP.'!D37</f>
        <v>0</v>
      </c>
      <c r="E45" s="193">
        <f>'1. T1 INVESTERINGSP.'!E37</f>
        <v>0</v>
      </c>
      <c r="F45" s="193">
        <f>'1. T1 INVESTERINGSP.'!F37</f>
        <v>0</v>
      </c>
      <c r="G45" s="193">
        <f>'1. T1 INVESTERINGSP.'!G37</f>
        <v>0</v>
      </c>
    </row>
    <row r="46" spans="1:10">
      <c r="A46" s="4"/>
      <c r="B46" s="192" t="s">
        <v>62</v>
      </c>
      <c r="C46" s="194"/>
      <c r="D46" s="194">
        <f>D43*D45</f>
        <v>0</v>
      </c>
      <c r="E46" s="194">
        <f>E43*E45</f>
        <v>0</v>
      </c>
      <c r="F46" s="194">
        <f>F43*F45</f>
        <v>0</v>
      </c>
      <c r="G46" s="194">
        <f>G43*G45</f>
        <v>0</v>
      </c>
    </row>
    <row r="47" spans="1:10">
      <c r="B47" s="192" t="s">
        <v>542</v>
      </c>
      <c r="C47" s="214"/>
      <c r="D47" s="214">
        <f>D43-D46</f>
        <v>0</v>
      </c>
      <c r="E47" s="214">
        <f>E43-E46</f>
        <v>0</v>
      </c>
      <c r="F47" s="214">
        <f>F43-F46</f>
        <v>0</v>
      </c>
      <c r="G47" s="214">
        <f>G43-G46</f>
        <v>0</v>
      </c>
    </row>
    <row r="48" spans="1:10">
      <c r="A48" s="4"/>
      <c r="B48" s="4"/>
      <c r="C48" s="4"/>
      <c r="D48" s="4"/>
      <c r="E48" s="4"/>
      <c r="F48" s="4"/>
      <c r="G48" s="4"/>
    </row>
    <row r="49" spans="1:7">
      <c r="A49" s="4"/>
      <c r="B49" s="4" t="s">
        <v>63</v>
      </c>
      <c r="C49" s="32">
        <f>C11+C24+C37+C44</f>
        <v>0</v>
      </c>
      <c r="D49" s="32">
        <f>D11+D24+D37+D44</f>
        <v>0</v>
      </c>
      <c r="E49" s="32">
        <f>E11+E24+E37+E44</f>
        <v>0</v>
      </c>
      <c r="F49" s="32">
        <f>F11+F24+F37+F44</f>
        <v>0</v>
      </c>
      <c r="G49" s="32">
        <f>G11+G24+G37+G44</f>
        <v>0</v>
      </c>
    </row>
    <row r="50" spans="1:7">
      <c r="A50" s="4"/>
      <c r="B50" s="4" t="s">
        <v>64</v>
      </c>
      <c r="C50" s="32" t="s">
        <v>0</v>
      </c>
      <c r="D50" s="32">
        <f>D6+D13+D17+D26+D39+D46+D32</f>
        <v>0</v>
      </c>
      <c r="E50" s="32">
        <f t="shared" ref="E50:G50" si="19">E6+E13+E17+E26+E39+E46+E32</f>
        <v>0</v>
      </c>
      <c r="F50" s="32">
        <f t="shared" si="19"/>
        <v>0</v>
      </c>
      <c r="G50" s="32">
        <f t="shared" si="19"/>
        <v>0</v>
      </c>
    </row>
    <row r="51" spans="1:7">
      <c r="A51" s="4"/>
      <c r="B51" s="4"/>
      <c r="C51" s="4"/>
      <c r="D51" s="4"/>
      <c r="E51" s="4"/>
      <c r="F51" s="4"/>
      <c r="G51" s="1"/>
    </row>
    <row r="52" spans="1:7">
      <c r="A52" s="4"/>
      <c r="B52" s="4"/>
      <c r="C52" s="4"/>
      <c r="D52" s="4"/>
      <c r="E52" s="4"/>
      <c r="F52" s="4"/>
      <c r="G52" s="1"/>
    </row>
    <row r="53" spans="1:7">
      <c r="A53" s="1"/>
      <c r="B53" s="1"/>
      <c r="C53" s="1"/>
      <c r="D53" s="1"/>
      <c r="E53" s="1"/>
      <c r="F53" s="1"/>
      <c r="G53" s="1"/>
    </row>
  </sheetData>
  <sheetProtection password="9675" sheet="1" objects="1" scenarios="1" selectLockedCells="1" selectUnlockedCells="1"/>
  <mergeCells count="1">
    <mergeCell ref="B2:B3"/>
  </mergeCells>
  <pageMargins left="0.7" right="0.7" top="0.75" bottom="0.75" header="0.3" footer="0.3"/>
  <pageSetup paperSize="9" orientation="portrait" verticalDpi="4"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M129"/>
  <sheetViews>
    <sheetView zoomScaleNormal="100" workbookViewId="0">
      <selection activeCell="K73" sqref="K73"/>
    </sheetView>
  </sheetViews>
  <sheetFormatPr defaultRowHeight="12.45"/>
  <cols>
    <col min="1" max="1" width="30.84375" customWidth="1"/>
    <col min="2" max="2" width="12.69140625" customWidth="1"/>
    <col min="3" max="3" width="12.69140625" style="88" customWidth="1"/>
    <col min="4" max="4" width="11.69140625" customWidth="1"/>
    <col min="5" max="5" width="8.69140625" customWidth="1"/>
    <col min="6" max="6" width="8.84375" customWidth="1"/>
    <col min="7" max="8" width="10" customWidth="1"/>
    <col min="9" max="9" width="8.84375" customWidth="1"/>
    <col min="10" max="10" width="11.4609375" customWidth="1"/>
    <col min="11" max="11" width="9.4609375" customWidth="1"/>
    <col min="12" max="12" width="10.07421875" customWidth="1"/>
    <col min="13" max="13" width="11.07421875" customWidth="1"/>
    <col min="14" max="14" width="9.53515625" customWidth="1"/>
    <col min="15" max="15" width="9.84375" customWidth="1"/>
    <col min="16" max="16" width="7.53515625" customWidth="1"/>
    <col min="18" max="18" width="9.84375" customWidth="1"/>
    <col min="19" max="19" width="8.3046875" customWidth="1"/>
    <col min="20" max="20" width="10.3046875" customWidth="1"/>
    <col min="21" max="22" width="8.4609375" customWidth="1"/>
    <col min="23" max="23" width="9.07421875" customWidth="1"/>
    <col min="24" max="24" width="9.3046875" customWidth="1"/>
    <col min="25" max="25" width="11" customWidth="1"/>
    <col min="26" max="26" width="10.3046875" customWidth="1"/>
    <col min="27" max="27" width="9.07421875" customWidth="1"/>
  </cols>
  <sheetData>
    <row r="2" spans="1:39" ht="12.9" thickBot="1"/>
    <row r="3" spans="1:39">
      <c r="E3" s="2150" t="s">
        <v>0</v>
      </c>
      <c r="F3" s="2151"/>
      <c r="G3" s="2151"/>
      <c r="H3" s="2151"/>
      <c r="I3" s="2152"/>
      <c r="J3" s="2150" t="str">
        <f>'2. T7 LÅN'!F9</f>
        <v>Prognos 1</v>
      </c>
      <c r="K3" s="2151"/>
      <c r="L3" s="2151"/>
      <c r="M3" s="2151"/>
      <c r="N3" s="2151"/>
      <c r="O3" s="2152"/>
      <c r="P3" s="2150" t="str">
        <f>'2. T7 LÅN'!I9</f>
        <v>Prognos 2</v>
      </c>
      <c r="Q3" s="2151"/>
      <c r="R3" s="2151"/>
      <c r="S3" s="2151"/>
      <c r="T3" s="2151"/>
      <c r="U3" s="2152"/>
      <c r="V3" s="2150" t="str">
        <f>'2. T7 LÅN'!L9</f>
        <v>Prognos 3</v>
      </c>
      <c r="W3" s="2151"/>
      <c r="X3" s="2151"/>
      <c r="Y3" s="2151"/>
      <c r="Z3" s="2151"/>
      <c r="AA3" s="2152"/>
      <c r="AB3" s="2150" t="s">
        <v>86</v>
      </c>
      <c r="AC3" s="2151"/>
      <c r="AD3" s="2151"/>
      <c r="AE3" s="2151"/>
      <c r="AF3" s="2151"/>
      <c r="AG3" s="2152"/>
      <c r="AH3" s="2150" t="s">
        <v>91</v>
      </c>
      <c r="AI3" s="2151"/>
      <c r="AJ3" s="2151"/>
      <c r="AK3" s="2151"/>
      <c r="AL3" s="2151"/>
      <c r="AM3" s="2152"/>
    </row>
    <row r="4" spans="1:39">
      <c r="E4" s="2145" t="s">
        <v>0</v>
      </c>
      <c r="F4" s="2146"/>
      <c r="G4" s="2146"/>
      <c r="H4" s="2146"/>
      <c r="I4" s="2147"/>
      <c r="J4" s="2145">
        <f>'2. T7 LÅN'!F10</f>
        <v>2025</v>
      </c>
      <c r="K4" s="2146"/>
      <c r="L4" s="2146"/>
      <c r="M4" s="2146"/>
      <c r="N4" s="2146"/>
      <c r="O4" s="2147"/>
      <c r="P4" s="2145">
        <f>'2. T7 LÅN'!I10</f>
        <v>2026</v>
      </c>
      <c r="Q4" s="2146"/>
      <c r="R4" s="2146"/>
      <c r="S4" s="2146"/>
      <c r="T4" s="2146"/>
      <c r="U4" s="2147"/>
      <c r="V4" s="2145">
        <f>'2. T7 LÅN'!L10</f>
        <v>2027</v>
      </c>
      <c r="W4" s="2146"/>
      <c r="X4" s="2146"/>
      <c r="Y4" s="2146"/>
      <c r="Z4" s="2146"/>
      <c r="AA4" s="2147"/>
      <c r="AB4" s="2145">
        <f>'2. T7 LÅN'!O10</f>
        <v>2028</v>
      </c>
      <c r="AC4" s="2146"/>
      <c r="AD4" s="2146"/>
      <c r="AE4" s="2146"/>
      <c r="AF4" s="2146"/>
      <c r="AG4" s="2147"/>
      <c r="AH4" s="2145">
        <f>'2. T7 LÅN'!O10+1</f>
        <v>2029</v>
      </c>
      <c r="AI4" s="2146"/>
      <c r="AJ4" s="2146"/>
      <c r="AK4" s="2146"/>
      <c r="AL4" s="2146"/>
      <c r="AM4" s="2147"/>
    </row>
    <row r="5" spans="1:39">
      <c r="B5" s="2"/>
      <c r="C5" s="6"/>
      <c r="D5" s="2"/>
      <c r="E5" s="782"/>
      <c r="F5" s="783"/>
      <c r="G5" s="783"/>
      <c r="H5" s="783"/>
      <c r="I5" s="784"/>
      <c r="J5" s="297"/>
      <c r="K5" s="298" t="s">
        <v>35</v>
      </c>
      <c r="L5" s="298"/>
      <c r="M5" s="298"/>
      <c r="N5" s="298"/>
      <c r="O5" s="299"/>
      <c r="P5" s="297"/>
      <c r="Q5" s="298" t="s">
        <v>35</v>
      </c>
      <c r="R5" s="298"/>
      <c r="S5" s="298"/>
      <c r="T5" s="298"/>
      <c r="U5" s="299"/>
      <c r="V5" s="297"/>
      <c r="W5" s="298" t="s">
        <v>35</v>
      </c>
      <c r="X5" s="298"/>
      <c r="Y5" s="298"/>
      <c r="Z5" s="298"/>
      <c r="AA5" s="299"/>
      <c r="AB5" s="297"/>
      <c r="AC5" s="298" t="s">
        <v>35</v>
      </c>
      <c r="AD5" s="298"/>
      <c r="AE5" s="298"/>
      <c r="AF5" s="298"/>
      <c r="AG5" s="299"/>
      <c r="AH5" s="297"/>
      <c r="AI5" s="298" t="s">
        <v>35</v>
      </c>
      <c r="AJ5" s="298"/>
      <c r="AK5" s="298"/>
      <c r="AL5" s="298"/>
      <c r="AM5" s="299"/>
    </row>
    <row r="6" spans="1:39">
      <c r="A6" s="1"/>
      <c r="B6" s="6"/>
      <c r="C6" s="6"/>
      <c r="D6" s="6"/>
      <c r="E6" s="785"/>
      <c r="F6" s="786"/>
      <c r="G6" s="786"/>
      <c r="H6" s="786"/>
      <c r="I6" s="787"/>
      <c r="J6" s="96" t="s">
        <v>30</v>
      </c>
      <c r="K6" s="95" t="s">
        <v>106</v>
      </c>
      <c r="L6" s="92" t="s">
        <v>33</v>
      </c>
      <c r="M6" s="92" t="s">
        <v>36</v>
      </c>
      <c r="N6" s="92" t="s">
        <v>31</v>
      </c>
      <c r="O6" s="97" t="s">
        <v>27</v>
      </c>
      <c r="P6" s="96" t="s">
        <v>30</v>
      </c>
      <c r="Q6" s="95" t="s">
        <v>106</v>
      </c>
      <c r="R6" s="92" t="s">
        <v>33</v>
      </c>
      <c r="S6" s="92" t="s">
        <v>36</v>
      </c>
      <c r="T6" s="92" t="s">
        <v>31</v>
      </c>
      <c r="U6" s="97" t="s">
        <v>27</v>
      </c>
      <c r="V6" s="96" t="s">
        <v>30</v>
      </c>
      <c r="W6" s="95" t="s">
        <v>106</v>
      </c>
      <c r="X6" s="92" t="s">
        <v>33</v>
      </c>
      <c r="Y6" s="92" t="s">
        <v>36</v>
      </c>
      <c r="Z6" s="92" t="s">
        <v>31</v>
      </c>
      <c r="AA6" s="97" t="s">
        <v>27</v>
      </c>
      <c r="AB6" s="96" t="s">
        <v>30</v>
      </c>
      <c r="AC6" s="95" t="s">
        <v>106</v>
      </c>
      <c r="AD6" s="92" t="s">
        <v>33</v>
      </c>
      <c r="AE6" s="92" t="s">
        <v>36</v>
      </c>
      <c r="AF6" s="92" t="s">
        <v>31</v>
      </c>
      <c r="AG6" s="97" t="s">
        <v>27</v>
      </c>
      <c r="AH6" s="96" t="s">
        <v>30</v>
      </c>
      <c r="AI6" s="95" t="s">
        <v>106</v>
      </c>
      <c r="AJ6" s="92" t="s">
        <v>33</v>
      </c>
      <c r="AK6" s="92" t="s">
        <v>36</v>
      </c>
      <c r="AL6" s="92" t="s">
        <v>31</v>
      </c>
      <c r="AM6" s="97" t="s">
        <v>27</v>
      </c>
    </row>
    <row r="7" spans="1:39" s="794" customFormat="1" ht="12.9" thickBot="1">
      <c r="A7" s="795" t="s">
        <v>28</v>
      </c>
      <c r="B7" s="788"/>
      <c r="C7" s="788"/>
      <c r="D7" s="788"/>
      <c r="E7" s="789"/>
      <c r="F7" s="790"/>
      <c r="G7" s="790"/>
      <c r="H7" s="790"/>
      <c r="I7" s="791"/>
      <c r="J7" s="789"/>
      <c r="K7" s="792"/>
      <c r="L7" s="790"/>
      <c r="M7" s="790"/>
      <c r="N7" s="790"/>
      <c r="O7" s="791"/>
      <c r="P7" s="789"/>
      <c r="Q7" s="792"/>
      <c r="R7" s="790"/>
      <c r="S7" s="790"/>
      <c r="T7" s="790"/>
      <c r="U7" s="791"/>
      <c r="V7" s="789"/>
      <c r="W7" s="792"/>
      <c r="X7" s="790"/>
      <c r="Y7" s="790"/>
      <c r="Z7" s="790"/>
      <c r="AA7" s="791"/>
      <c r="AB7" s="789"/>
      <c r="AC7" s="792"/>
      <c r="AD7" s="793" t="s">
        <v>0</v>
      </c>
      <c r="AE7" s="790"/>
      <c r="AF7" s="790"/>
      <c r="AG7" s="791"/>
      <c r="AH7" s="789"/>
      <c r="AI7" s="792"/>
      <c r="AJ7" s="793" t="s">
        <v>0</v>
      </c>
      <c r="AK7" s="790"/>
      <c r="AL7" s="790"/>
      <c r="AM7" s="791"/>
    </row>
    <row r="8" spans="1:39">
      <c r="A8" s="760" t="str">
        <f>'2. T7 LÅN'!B13</f>
        <v xml:space="preserve"> Prognos år 1, lån 1</v>
      </c>
      <c r="B8" s="761">
        <f>'2. T7 LÅN'!C13</f>
        <v>0</v>
      </c>
      <c r="C8" s="762">
        <f>'2. T7 LÅN'!D13</f>
        <v>0</v>
      </c>
      <c r="D8" s="763">
        <f>'2. T7 LÅN'!E13</f>
        <v>0</v>
      </c>
      <c r="E8" s="796"/>
      <c r="F8" s="797"/>
      <c r="G8" s="797"/>
      <c r="H8" s="797"/>
      <c r="I8" s="798"/>
      <c r="J8" s="764">
        <f>'2. T7 LÅN'!F13</f>
        <v>0</v>
      </c>
      <c r="K8" s="767">
        <f>IF(H8&gt;0,IF(C8-1&gt;0,C8-1,C8),C8)</f>
        <v>0</v>
      </c>
      <c r="L8" s="765">
        <f>'2. T7 LÅN'!G13</f>
        <v>0</v>
      </c>
      <c r="M8" s="765">
        <f>E8-F8+J8-L8/4</f>
        <v>0</v>
      </c>
      <c r="N8" s="765">
        <f>J8-L8</f>
        <v>0</v>
      </c>
      <c r="O8" s="766">
        <f>IF($D8*M8&lt;0,0,M8*$D8)</f>
        <v>0</v>
      </c>
      <c r="P8" s="768">
        <f>'2. T7 LÅN'!I13</f>
        <v>0</v>
      </c>
      <c r="Q8" s="767">
        <f>IF(E8=0,IF(J8=0,K8,$C8-1),$C8-2)</f>
        <v>0</v>
      </c>
      <c r="R8" s="765">
        <f>'2. T7 LÅN'!J13</f>
        <v>0</v>
      </c>
      <c r="S8" s="765">
        <f>N8+P8-R8/4</f>
        <v>0</v>
      </c>
      <c r="T8" s="765">
        <f t="shared" ref="T8:T14" si="0">N8+P8-R8</f>
        <v>0</v>
      </c>
      <c r="U8" s="766">
        <f t="shared" ref="U8:U14" si="1">IF($D8*S8&lt;0,0,S8*$D8)</f>
        <v>0</v>
      </c>
      <c r="V8" s="768">
        <f>'2. T7 LÅN'!L13</f>
        <v>0</v>
      </c>
      <c r="W8" s="767">
        <f t="shared" ref="W8:W15" si="2">IF(Q8-1&gt;0,Q8-1,0)</f>
        <v>0</v>
      </c>
      <c r="X8" s="765">
        <f>'2. T7 LÅN'!M13</f>
        <v>0</v>
      </c>
      <c r="Y8" s="765">
        <f>(T8+V8-X8/4)</f>
        <v>0</v>
      </c>
      <c r="Z8" s="765">
        <f t="shared" ref="Z8:Z16" si="3">T8+V8-X8</f>
        <v>0</v>
      </c>
      <c r="AA8" s="766">
        <f t="shared" ref="AA8:AA16" si="4">IF($D8*Y8&lt;0,0,Y8*$D8)</f>
        <v>0</v>
      </c>
      <c r="AB8" s="768">
        <f>'2. T7 LÅN'!O13</f>
        <v>0</v>
      </c>
      <c r="AC8" s="767">
        <f t="shared" ref="AC8:AC19" si="5">IF(W8-1&gt;0,W8-1,0)</f>
        <v>0</v>
      </c>
      <c r="AD8" s="769">
        <f>'2. T7 LÅN'!P13</f>
        <v>0</v>
      </c>
      <c r="AE8" s="765">
        <f>(Z8+AB8-AD8/4)</f>
        <v>0</v>
      </c>
      <c r="AF8" s="765">
        <f t="shared" ref="AF8:AF21" si="6">Z8+AB8-AD8</f>
        <v>0</v>
      </c>
      <c r="AG8" s="766">
        <f t="shared" ref="AG8:AG21" si="7">IF($D8*AE8&lt;0,0,AE8*$D8)</f>
        <v>0</v>
      </c>
      <c r="AH8" s="768">
        <v>0</v>
      </c>
      <c r="AI8" s="767">
        <f t="shared" ref="AI8:AI23" si="8">IF(AC8-1&gt;0,AC8-1,0)</f>
        <v>0</v>
      </c>
      <c r="AJ8" s="769">
        <f>IF(C8=0,0,IF(B8-R8-X8-AD8-L8&lt;=0,0,'AT2 Lainat, sotum., alv'!AD8))</f>
        <v>0</v>
      </c>
      <c r="AK8" s="765">
        <f>(AF8+AH8-AJ8/4)</f>
        <v>0</v>
      </c>
      <c r="AL8" s="765">
        <f t="shared" ref="AL8:AL22" si="9">AF8+AH8-AJ8</f>
        <v>0</v>
      </c>
      <c r="AM8" s="766">
        <f t="shared" ref="AM8:AM22" si="10">IF($D8*AK8&lt;0,0,AK8*$D8)</f>
        <v>0</v>
      </c>
    </row>
    <row r="9" spans="1:39">
      <c r="A9" s="770" t="str">
        <f>'2. T7 LÅN'!B14</f>
        <v xml:space="preserve"> </v>
      </c>
      <c r="B9" s="93">
        <f>'2. T7 LÅN'!C14</f>
        <v>0</v>
      </c>
      <c r="C9" s="100">
        <f>'2. T7 LÅN'!D14</f>
        <v>0</v>
      </c>
      <c r="D9" s="94">
        <f>'2. T7 LÅN'!E14</f>
        <v>0</v>
      </c>
      <c r="E9" s="799"/>
      <c r="F9" s="800"/>
      <c r="G9" s="800"/>
      <c r="H9" s="800"/>
      <c r="I9" s="801"/>
      <c r="J9" s="227">
        <f>'2. T7 LÅN'!F14</f>
        <v>0</v>
      </c>
      <c r="K9" s="228">
        <f>IF(H9&gt;0,IF(C9-1&gt;0,C9-1,C9),C9)</f>
        <v>0</v>
      </c>
      <c r="L9" s="214">
        <f>'2. T7 LÅN'!G14</f>
        <v>0</v>
      </c>
      <c r="M9" s="214">
        <f>E9-F9+J9-L9/4</f>
        <v>0</v>
      </c>
      <c r="N9" s="214">
        <f>J9-L9</f>
        <v>0</v>
      </c>
      <c r="O9" s="186">
        <f>IF($D9*M9&lt;0,0,M9*$D9)</f>
        <v>0</v>
      </c>
      <c r="P9" s="187">
        <f>'2. T7 LÅN'!I14</f>
        <v>0</v>
      </c>
      <c r="Q9" s="228">
        <f>IF(E9=0,IF(J9=0,K9,$C9-1),$C9-2)</f>
        <v>0</v>
      </c>
      <c r="R9" s="214">
        <f>'2. T7 LÅN'!J14</f>
        <v>0</v>
      </c>
      <c r="S9" s="214">
        <f t="shared" ref="S9:S15" si="11">N9+P9-R9/4</f>
        <v>0</v>
      </c>
      <c r="T9" s="214">
        <f t="shared" si="0"/>
        <v>0</v>
      </c>
      <c r="U9" s="186">
        <f t="shared" si="1"/>
        <v>0</v>
      </c>
      <c r="V9" s="187">
        <f>'2. T7 LÅN'!L14</f>
        <v>0</v>
      </c>
      <c r="W9" s="228">
        <f t="shared" si="2"/>
        <v>0</v>
      </c>
      <c r="X9" s="214">
        <f>'2. T7 LÅN'!M14</f>
        <v>0</v>
      </c>
      <c r="Y9" s="214">
        <f t="shared" ref="Y9:Y19" si="12">(T9+V9-X9/4)</f>
        <v>0</v>
      </c>
      <c r="Z9" s="214">
        <f>T9+V9-X9</f>
        <v>0</v>
      </c>
      <c r="AA9" s="186">
        <f>IF($D9*Y9&lt;0,0,Y9*$D9)</f>
        <v>0</v>
      </c>
      <c r="AB9" s="187">
        <f>'2. T7 LÅN'!O14</f>
        <v>0</v>
      </c>
      <c r="AC9" s="228">
        <f t="shared" si="5"/>
        <v>0</v>
      </c>
      <c r="AD9" s="223">
        <f>'2. T7 LÅN'!P14</f>
        <v>0</v>
      </c>
      <c r="AE9" s="214">
        <f t="shared" ref="AE9:AE23" si="13">(Z9+AB9-AD9/4)</f>
        <v>0</v>
      </c>
      <c r="AF9" s="214">
        <f t="shared" si="6"/>
        <v>0</v>
      </c>
      <c r="AG9" s="186">
        <f t="shared" si="7"/>
        <v>0</v>
      </c>
      <c r="AH9" s="187">
        <v>0</v>
      </c>
      <c r="AI9" s="228">
        <f t="shared" si="8"/>
        <v>0</v>
      </c>
      <c r="AJ9" s="223">
        <f>IF(C9=0,0,IF(B9-R9-X9-AD9-L9&lt;=0,0,'AT2 Lainat, sotum., alv'!AD9))</f>
        <v>0</v>
      </c>
      <c r="AK9" s="214">
        <f t="shared" ref="AK9:AK23" si="14">(AF9+AH9-AJ9/4)</f>
        <v>0</v>
      </c>
      <c r="AL9" s="214">
        <f t="shared" si="9"/>
        <v>0</v>
      </c>
      <c r="AM9" s="186">
        <f t="shared" si="10"/>
        <v>0</v>
      </c>
    </row>
    <row r="10" spans="1:39">
      <c r="A10" s="770" t="str">
        <f>'2. T7 LÅN'!B15</f>
        <v xml:space="preserve"> </v>
      </c>
      <c r="B10" s="93">
        <f>'2. T7 LÅN'!C15</f>
        <v>0</v>
      </c>
      <c r="C10" s="100">
        <f>'2. T7 LÅN'!D15</f>
        <v>0</v>
      </c>
      <c r="D10" s="94">
        <f>'2. T7 LÅN'!E15</f>
        <v>0</v>
      </c>
      <c r="E10" s="799"/>
      <c r="F10" s="800"/>
      <c r="G10" s="800"/>
      <c r="H10" s="800"/>
      <c r="I10" s="801"/>
      <c r="J10" s="227">
        <f>'2. T7 LÅN'!F15</f>
        <v>0</v>
      </c>
      <c r="K10" s="228">
        <f>IF(H10&gt;0,IF(C10-1&gt;0,C10-1,C10),C10)</f>
        <v>0</v>
      </c>
      <c r="L10" s="214">
        <f>'2. T7 LÅN'!G15</f>
        <v>0</v>
      </c>
      <c r="M10" s="214">
        <f>E10-F10+J10-L10/4</f>
        <v>0</v>
      </c>
      <c r="N10" s="214">
        <f>J10-L10</f>
        <v>0</v>
      </c>
      <c r="O10" s="186">
        <f>IF($D10*M10&lt;0,0,M10*$D10)</f>
        <v>0</v>
      </c>
      <c r="P10" s="187">
        <f>'2. T7 LÅN'!I15</f>
        <v>0</v>
      </c>
      <c r="Q10" s="228">
        <f>IF(E10=0,IF(J10=0,K10,$C10-1),$C10-2)</f>
        <v>0</v>
      </c>
      <c r="R10" s="214">
        <f>'2. T7 LÅN'!J15</f>
        <v>0</v>
      </c>
      <c r="S10" s="214">
        <f t="shared" si="11"/>
        <v>0</v>
      </c>
      <c r="T10" s="214">
        <f t="shared" si="0"/>
        <v>0</v>
      </c>
      <c r="U10" s="186">
        <f t="shared" si="1"/>
        <v>0</v>
      </c>
      <c r="V10" s="187">
        <f>'2. T7 LÅN'!L15</f>
        <v>0</v>
      </c>
      <c r="W10" s="228">
        <f t="shared" si="2"/>
        <v>0</v>
      </c>
      <c r="X10" s="214">
        <f>'2. T7 LÅN'!M15</f>
        <v>0</v>
      </c>
      <c r="Y10" s="214">
        <f t="shared" si="12"/>
        <v>0</v>
      </c>
      <c r="Z10" s="214">
        <f>T10+V10-X10</f>
        <v>0</v>
      </c>
      <c r="AA10" s="186">
        <f>IF($D10*Y10&lt;0,0,Y10*$D10)</f>
        <v>0</v>
      </c>
      <c r="AB10" s="187">
        <f>'2. T7 LÅN'!O15</f>
        <v>0</v>
      </c>
      <c r="AC10" s="228">
        <f t="shared" si="5"/>
        <v>0</v>
      </c>
      <c r="AD10" s="223">
        <f>'2. T7 LÅN'!P15</f>
        <v>0</v>
      </c>
      <c r="AE10" s="214">
        <f t="shared" si="13"/>
        <v>0</v>
      </c>
      <c r="AF10" s="214">
        <f t="shared" si="6"/>
        <v>0</v>
      </c>
      <c r="AG10" s="186">
        <f t="shared" si="7"/>
        <v>0</v>
      </c>
      <c r="AH10" s="187">
        <v>0</v>
      </c>
      <c r="AI10" s="228">
        <f t="shared" si="8"/>
        <v>0</v>
      </c>
      <c r="AJ10" s="223">
        <f>IF(C10=0,0,IF(B10-R10-X10-AD10-L10&lt;=0,0,'AT2 Lainat, sotum., alv'!AD10))</f>
        <v>0</v>
      </c>
      <c r="AK10" s="214">
        <f t="shared" si="14"/>
        <v>0</v>
      </c>
      <c r="AL10" s="214">
        <f t="shared" si="9"/>
        <v>0</v>
      </c>
      <c r="AM10" s="186">
        <f t="shared" si="10"/>
        <v>0</v>
      </c>
    </row>
    <row r="11" spans="1:39" ht="12.9" thickBot="1">
      <c r="A11" s="771" t="str">
        <f>'2. T7 LÅN'!B16</f>
        <v xml:space="preserve"> </v>
      </c>
      <c r="B11" s="772">
        <f>'2. T7 LÅN'!C16</f>
        <v>0</v>
      </c>
      <c r="C11" s="773">
        <f>'2. T7 LÅN'!D16</f>
        <v>0</v>
      </c>
      <c r="D11" s="774">
        <f>'2. T7 LÅN'!E16</f>
        <v>0</v>
      </c>
      <c r="E11" s="802"/>
      <c r="F11" s="803"/>
      <c r="G11" s="803"/>
      <c r="H11" s="803"/>
      <c r="I11" s="804"/>
      <c r="J11" s="775">
        <f>'2. T7 LÅN'!F16</f>
        <v>0</v>
      </c>
      <c r="K11" s="778">
        <f>IF(H11&gt;0,IF(C11-1&gt;0,C11-1,C11),C11)</f>
        <v>0</v>
      </c>
      <c r="L11" s="776">
        <f>'2. T7 LÅN'!G16</f>
        <v>0</v>
      </c>
      <c r="M11" s="776">
        <f>E11-F11+J11-L11/4</f>
        <v>0</v>
      </c>
      <c r="N11" s="776">
        <f>J11-L11</f>
        <v>0</v>
      </c>
      <c r="O11" s="777">
        <f>IF($D11*M11&lt;0,0,M11*$D11)</f>
        <v>0</v>
      </c>
      <c r="P11" s="779">
        <f>'2. T7 LÅN'!I16</f>
        <v>0</v>
      </c>
      <c r="Q11" s="778">
        <f>IF(E11=0,IF(J11=0,K11,$C11-1),$C11-2)</f>
        <v>0</v>
      </c>
      <c r="R11" s="776">
        <f>'2. T7 LÅN'!J16</f>
        <v>0</v>
      </c>
      <c r="S11" s="776">
        <f t="shared" si="11"/>
        <v>0</v>
      </c>
      <c r="T11" s="776">
        <f>N11+P11-R11</f>
        <v>0</v>
      </c>
      <c r="U11" s="777">
        <f>IF($D11*S11&lt;0,0,S11*$D11)</f>
        <v>0</v>
      </c>
      <c r="V11" s="779">
        <f>'2. T7 LÅN'!L16</f>
        <v>0</v>
      </c>
      <c r="W11" s="778">
        <f t="shared" si="2"/>
        <v>0</v>
      </c>
      <c r="X11" s="776">
        <f>'2. T7 LÅN'!M16</f>
        <v>0</v>
      </c>
      <c r="Y11" s="776">
        <f t="shared" si="12"/>
        <v>0</v>
      </c>
      <c r="Z11" s="776">
        <f>T11+V11-X11</f>
        <v>0</v>
      </c>
      <c r="AA11" s="777">
        <f>IF($D11*Y11&lt;0,0,Y11*$D11)</f>
        <v>0</v>
      </c>
      <c r="AB11" s="779">
        <f>'2. T7 LÅN'!O16</f>
        <v>0</v>
      </c>
      <c r="AC11" s="778">
        <f>IF(W11-1&gt;0,W11-1,0)</f>
        <v>0</v>
      </c>
      <c r="AD11" s="780">
        <f>'2. T7 LÅN'!P16</f>
        <v>0</v>
      </c>
      <c r="AE11" s="776">
        <f t="shared" si="13"/>
        <v>0</v>
      </c>
      <c r="AF11" s="776">
        <f>Z11+AB11-AD11</f>
        <v>0</v>
      </c>
      <c r="AG11" s="777">
        <f>IF($D11*AE11&lt;0,0,AE11*$D11)</f>
        <v>0</v>
      </c>
      <c r="AH11" s="779">
        <v>0</v>
      </c>
      <c r="AI11" s="778">
        <f>IF(AC11-1&gt;0,AC11-1,0)</f>
        <v>0</v>
      </c>
      <c r="AJ11" s="780">
        <f>IF(C11=0,0,IF(B11-R11-X11-AD11-L11&lt;=0,0,'AT2 Lainat, sotum., alv'!AD11))</f>
        <v>0</v>
      </c>
      <c r="AK11" s="776">
        <f t="shared" si="14"/>
        <v>0</v>
      </c>
      <c r="AL11" s="776">
        <f>AF11+AH11-AJ11</f>
        <v>0</v>
      </c>
      <c r="AM11" s="777">
        <f>IF($D11*AK11&lt;0,0,AK11*$D11)</f>
        <v>0</v>
      </c>
    </row>
    <row r="12" spans="1:39">
      <c r="A12" s="760" t="str">
        <f>'2. T7 LÅN'!B18</f>
        <v xml:space="preserve"> Prognos år 2, lån 1 </v>
      </c>
      <c r="B12" s="761">
        <f>'2. T7 LÅN'!C18</f>
        <v>0</v>
      </c>
      <c r="C12" s="762">
        <f>'2. T7 LÅN'!D18</f>
        <v>0</v>
      </c>
      <c r="D12" s="763">
        <f>'2. T7 LÅN'!E18</f>
        <v>0</v>
      </c>
      <c r="E12" s="796"/>
      <c r="F12" s="797"/>
      <c r="G12" s="797"/>
      <c r="H12" s="797"/>
      <c r="I12" s="798"/>
      <c r="J12" s="764"/>
      <c r="K12" s="767"/>
      <c r="L12" s="765"/>
      <c r="M12" s="765"/>
      <c r="N12" s="765"/>
      <c r="O12" s="766"/>
      <c r="P12" s="768">
        <f>'2. T7 LÅN'!I18</f>
        <v>0</v>
      </c>
      <c r="Q12" s="767">
        <f>IF(C12&gt;0,C12,0)</f>
        <v>0</v>
      </c>
      <c r="R12" s="765">
        <f>'2. T7 LÅN'!J18</f>
        <v>0</v>
      </c>
      <c r="S12" s="765">
        <f t="shared" si="11"/>
        <v>0</v>
      </c>
      <c r="T12" s="765">
        <f t="shared" si="0"/>
        <v>0</v>
      </c>
      <c r="U12" s="766">
        <f t="shared" si="1"/>
        <v>0</v>
      </c>
      <c r="V12" s="768">
        <f>'2. T7 LÅN'!L18</f>
        <v>0</v>
      </c>
      <c r="W12" s="767">
        <f t="shared" si="2"/>
        <v>0</v>
      </c>
      <c r="X12" s="765">
        <f>'2. T7 LÅN'!M18</f>
        <v>0</v>
      </c>
      <c r="Y12" s="765">
        <f t="shared" si="12"/>
        <v>0</v>
      </c>
      <c r="Z12" s="765">
        <f t="shared" si="3"/>
        <v>0</v>
      </c>
      <c r="AA12" s="766">
        <f t="shared" si="4"/>
        <v>0</v>
      </c>
      <c r="AB12" s="768">
        <f>'2. T7 LÅN'!O18</f>
        <v>0</v>
      </c>
      <c r="AC12" s="767">
        <f>IF(W12-1&gt;0,W12-1,0)</f>
        <v>0</v>
      </c>
      <c r="AD12" s="769">
        <f>'2. T7 LÅN'!P18</f>
        <v>0</v>
      </c>
      <c r="AE12" s="765">
        <f t="shared" si="13"/>
        <v>0</v>
      </c>
      <c r="AF12" s="765">
        <f t="shared" si="6"/>
        <v>0</v>
      </c>
      <c r="AG12" s="766">
        <f t="shared" si="7"/>
        <v>0</v>
      </c>
      <c r="AH12" s="768">
        <v>0</v>
      </c>
      <c r="AI12" s="767">
        <f t="shared" si="8"/>
        <v>0</v>
      </c>
      <c r="AJ12" s="769">
        <f>IF(C12=0,0,IF(B12-R12-X12-AD12-L12&lt;=0,0,'AT2 Lainat, sotum., alv'!AD12))</f>
        <v>0</v>
      </c>
      <c r="AK12" s="765">
        <f t="shared" si="14"/>
        <v>0</v>
      </c>
      <c r="AL12" s="765">
        <f t="shared" si="9"/>
        <v>0</v>
      </c>
      <c r="AM12" s="766">
        <f t="shared" si="10"/>
        <v>0</v>
      </c>
    </row>
    <row r="13" spans="1:39">
      <c r="A13" s="770" t="str">
        <f>'2. T7 LÅN'!B19</f>
        <v xml:space="preserve"> </v>
      </c>
      <c r="B13" s="93">
        <f>'2. T7 LÅN'!C19</f>
        <v>0</v>
      </c>
      <c r="C13" s="100">
        <f>'2. T7 LÅN'!D19</f>
        <v>0</v>
      </c>
      <c r="D13" s="94">
        <f>'2. T7 LÅN'!E19</f>
        <v>0</v>
      </c>
      <c r="E13" s="799"/>
      <c r="F13" s="800"/>
      <c r="G13" s="800"/>
      <c r="H13" s="800"/>
      <c r="I13" s="801"/>
      <c r="J13" s="227"/>
      <c r="K13" s="228"/>
      <c r="L13" s="214"/>
      <c r="M13" s="214"/>
      <c r="N13" s="214"/>
      <c r="O13" s="186"/>
      <c r="P13" s="187">
        <f>'2. T7 LÅN'!I19</f>
        <v>0</v>
      </c>
      <c r="Q13" s="228">
        <f>IF(C13&gt;0,C13,0)</f>
        <v>0</v>
      </c>
      <c r="R13" s="214">
        <f>'2. T7 LÅN'!J19</f>
        <v>0</v>
      </c>
      <c r="S13" s="214">
        <f t="shared" si="11"/>
        <v>0</v>
      </c>
      <c r="T13" s="214">
        <f t="shared" si="0"/>
        <v>0</v>
      </c>
      <c r="U13" s="186">
        <f t="shared" si="1"/>
        <v>0</v>
      </c>
      <c r="V13" s="187">
        <f>'2. T7 LÅN'!L19</f>
        <v>0</v>
      </c>
      <c r="W13" s="228">
        <f t="shared" si="2"/>
        <v>0</v>
      </c>
      <c r="X13" s="214">
        <f>'2. T7 LÅN'!M19</f>
        <v>0</v>
      </c>
      <c r="Y13" s="214">
        <f t="shared" si="12"/>
        <v>0</v>
      </c>
      <c r="Z13" s="214">
        <f>T13+V13-X13</f>
        <v>0</v>
      </c>
      <c r="AA13" s="186">
        <f>IF($D13*Y13&lt;0,0,Y13*$D13)</f>
        <v>0</v>
      </c>
      <c r="AB13" s="187">
        <f>'2. T7 LÅN'!O19</f>
        <v>0</v>
      </c>
      <c r="AC13" s="228">
        <f>IF(W13-1&gt;0,W13-1,0)</f>
        <v>0</v>
      </c>
      <c r="AD13" s="223">
        <f>'2. T7 LÅN'!P19</f>
        <v>0</v>
      </c>
      <c r="AE13" s="214">
        <f t="shared" si="13"/>
        <v>0</v>
      </c>
      <c r="AF13" s="214">
        <f t="shared" si="6"/>
        <v>0</v>
      </c>
      <c r="AG13" s="186">
        <f t="shared" si="7"/>
        <v>0</v>
      </c>
      <c r="AH13" s="187">
        <v>0</v>
      </c>
      <c r="AI13" s="228">
        <f t="shared" si="8"/>
        <v>0</v>
      </c>
      <c r="AJ13" s="223">
        <f>IF(C13=0,0,IF(B13-R13-X13-AD13-L13&lt;=0,0,'AT2 Lainat, sotum., alv'!AD13))</f>
        <v>0</v>
      </c>
      <c r="AK13" s="214">
        <f t="shared" si="14"/>
        <v>0</v>
      </c>
      <c r="AL13" s="214">
        <f t="shared" si="9"/>
        <v>0</v>
      </c>
      <c r="AM13" s="186">
        <f t="shared" si="10"/>
        <v>0</v>
      </c>
    </row>
    <row r="14" spans="1:39">
      <c r="A14" s="770" t="str">
        <f>'2. T7 LÅN'!B20</f>
        <v xml:space="preserve"> </v>
      </c>
      <c r="B14" s="93">
        <f>'2. T7 LÅN'!C20</f>
        <v>0</v>
      </c>
      <c r="C14" s="100">
        <f>'2. T7 LÅN'!D20</f>
        <v>0</v>
      </c>
      <c r="D14" s="94">
        <f>'2. T7 LÅN'!E20</f>
        <v>0</v>
      </c>
      <c r="E14" s="799"/>
      <c r="F14" s="800"/>
      <c r="G14" s="800"/>
      <c r="H14" s="800"/>
      <c r="I14" s="801"/>
      <c r="J14" s="227"/>
      <c r="K14" s="228"/>
      <c r="L14" s="214"/>
      <c r="M14" s="214"/>
      <c r="N14" s="214"/>
      <c r="O14" s="186"/>
      <c r="P14" s="187">
        <f>'2. T7 LÅN'!I20</f>
        <v>0</v>
      </c>
      <c r="Q14" s="228">
        <f>IF(C14&gt;0,C14,0)</f>
        <v>0</v>
      </c>
      <c r="R14" s="214">
        <f>'2. T7 LÅN'!J20</f>
        <v>0</v>
      </c>
      <c r="S14" s="214">
        <f t="shared" si="11"/>
        <v>0</v>
      </c>
      <c r="T14" s="214">
        <f t="shared" si="0"/>
        <v>0</v>
      </c>
      <c r="U14" s="186">
        <f t="shared" si="1"/>
        <v>0</v>
      </c>
      <c r="V14" s="187">
        <f>'2. T7 LÅN'!L20</f>
        <v>0</v>
      </c>
      <c r="W14" s="228">
        <f t="shared" si="2"/>
        <v>0</v>
      </c>
      <c r="X14" s="214">
        <f>'2. T7 LÅN'!M20</f>
        <v>0</v>
      </c>
      <c r="Y14" s="214">
        <f t="shared" si="12"/>
        <v>0</v>
      </c>
      <c r="Z14" s="214">
        <f t="shared" si="3"/>
        <v>0</v>
      </c>
      <c r="AA14" s="186">
        <f t="shared" si="4"/>
        <v>0</v>
      </c>
      <c r="AB14" s="187">
        <f>'2. T7 LÅN'!O20</f>
        <v>0</v>
      </c>
      <c r="AC14" s="228">
        <f>IF(W14-1&gt;0,W14-1,0)</f>
        <v>0</v>
      </c>
      <c r="AD14" s="223">
        <f>'2. T7 LÅN'!P20</f>
        <v>0</v>
      </c>
      <c r="AE14" s="214">
        <f t="shared" si="13"/>
        <v>0</v>
      </c>
      <c r="AF14" s="214">
        <f t="shared" si="6"/>
        <v>0</v>
      </c>
      <c r="AG14" s="186">
        <f t="shared" si="7"/>
        <v>0</v>
      </c>
      <c r="AH14" s="187">
        <v>0</v>
      </c>
      <c r="AI14" s="228">
        <f t="shared" si="8"/>
        <v>0</v>
      </c>
      <c r="AJ14" s="223">
        <f>IF(C14=0,0,IF(B14-R14-X14-AD14-L14&lt;=0,0,'AT2 Lainat, sotum., alv'!AD14))</f>
        <v>0</v>
      </c>
      <c r="AK14" s="214">
        <f t="shared" si="14"/>
        <v>0</v>
      </c>
      <c r="AL14" s="214">
        <f t="shared" si="9"/>
        <v>0</v>
      </c>
      <c r="AM14" s="186">
        <f t="shared" si="10"/>
        <v>0</v>
      </c>
    </row>
    <row r="15" spans="1:39" ht="12.9" thickBot="1">
      <c r="A15" s="771" t="str">
        <f>'2. T7 LÅN'!B21</f>
        <v xml:space="preserve"> </v>
      </c>
      <c r="B15" s="772">
        <f>'2. T7 LÅN'!C21</f>
        <v>0</v>
      </c>
      <c r="C15" s="773">
        <f>'2. T7 LÅN'!D21</f>
        <v>0</v>
      </c>
      <c r="D15" s="774">
        <f>'2. T7 LÅN'!E21</f>
        <v>0</v>
      </c>
      <c r="E15" s="802"/>
      <c r="F15" s="803"/>
      <c r="G15" s="803"/>
      <c r="H15" s="803"/>
      <c r="I15" s="804"/>
      <c r="J15" s="775"/>
      <c r="K15" s="778"/>
      <c r="L15" s="776"/>
      <c r="M15" s="776"/>
      <c r="N15" s="776"/>
      <c r="O15" s="777"/>
      <c r="P15" s="779">
        <f>'2. T7 LÅN'!I21</f>
        <v>0</v>
      </c>
      <c r="Q15" s="778">
        <f>IF(C15&gt;0,C15,0)</f>
        <v>0</v>
      </c>
      <c r="R15" s="776">
        <f>'2. T7 LÅN'!J21</f>
        <v>0</v>
      </c>
      <c r="S15" s="776">
        <f t="shared" si="11"/>
        <v>0</v>
      </c>
      <c r="T15" s="776">
        <f>N15+P15-R15</f>
        <v>0</v>
      </c>
      <c r="U15" s="777">
        <f>IF($D15*S15&lt;0,0,S15*$D15)</f>
        <v>0</v>
      </c>
      <c r="V15" s="187">
        <f>'2. T7 LÅN'!L21</f>
        <v>0</v>
      </c>
      <c r="W15" s="778">
        <f t="shared" si="2"/>
        <v>0</v>
      </c>
      <c r="X15" s="776">
        <f>'2. T7 LÅN'!M21</f>
        <v>0</v>
      </c>
      <c r="Y15" s="776">
        <f t="shared" si="12"/>
        <v>0</v>
      </c>
      <c r="Z15" s="776">
        <f>T15+V15-X15</f>
        <v>0</v>
      </c>
      <c r="AA15" s="777">
        <f>IF($D15*Y15&lt;0,0,Y15*$D15)</f>
        <v>0</v>
      </c>
      <c r="AB15" s="779">
        <f>'2. T7 LÅN'!O21</f>
        <v>0</v>
      </c>
      <c r="AC15" s="778">
        <f>IF(W15-1&gt;0,W15-1,0)</f>
        <v>0</v>
      </c>
      <c r="AD15" s="780">
        <f>'2. T7 LÅN'!P21</f>
        <v>0</v>
      </c>
      <c r="AE15" s="776">
        <f t="shared" si="13"/>
        <v>0</v>
      </c>
      <c r="AF15" s="776">
        <f>Z15+AB15-AD15</f>
        <v>0</v>
      </c>
      <c r="AG15" s="777">
        <f>IF($D15*AE15&lt;0,0,AE15*$D15)</f>
        <v>0</v>
      </c>
      <c r="AH15" s="779"/>
      <c r="AI15" s="778">
        <f t="shared" si="8"/>
        <v>0</v>
      </c>
      <c r="AJ15" s="780">
        <f>IF(C15=0,0,IF(B15-R15-X15-AD15-L15&lt;=0,0,'AT2 Lainat, sotum., alv'!AD15))</f>
        <v>0</v>
      </c>
      <c r="AK15" s="776">
        <f t="shared" si="14"/>
        <v>0</v>
      </c>
      <c r="AL15" s="776">
        <f>AF15+AH15-AJ15</f>
        <v>0</v>
      </c>
      <c r="AM15" s="777">
        <f>IF($D15*AK15&lt;0,0,AK15*$D15)</f>
        <v>0</v>
      </c>
    </row>
    <row r="16" spans="1:39">
      <c r="A16" s="760" t="str">
        <f>'2. T7 LÅN'!B23</f>
        <v xml:space="preserve"> Prognos år 3, lån 1</v>
      </c>
      <c r="B16" s="761">
        <f>'2. T7 LÅN'!C23</f>
        <v>0</v>
      </c>
      <c r="C16" s="762">
        <f>'2. T7 LÅN'!D23</f>
        <v>0</v>
      </c>
      <c r="D16" s="763">
        <f>'2. T7 LÅN'!E23</f>
        <v>0</v>
      </c>
      <c r="E16" s="796"/>
      <c r="F16" s="797"/>
      <c r="G16" s="797"/>
      <c r="H16" s="797"/>
      <c r="I16" s="798"/>
      <c r="J16" s="764"/>
      <c r="K16" s="767"/>
      <c r="L16" s="765"/>
      <c r="M16" s="765"/>
      <c r="N16" s="765"/>
      <c r="O16" s="766"/>
      <c r="P16" s="768"/>
      <c r="Q16" s="767"/>
      <c r="R16" s="765"/>
      <c r="S16" s="765"/>
      <c r="T16" s="765"/>
      <c r="U16" s="766"/>
      <c r="V16" s="768">
        <f>'2. T7 LÅN'!L23</f>
        <v>0</v>
      </c>
      <c r="W16" s="767">
        <f>IF(C16&gt;0,C16,0)</f>
        <v>0</v>
      </c>
      <c r="X16" s="765">
        <f>'2. T7 LÅN'!M23</f>
        <v>0</v>
      </c>
      <c r="Y16" s="765">
        <f t="shared" si="12"/>
        <v>0</v>
      </c>
      <c r="Z16" s="765">
        <f t="shared" si="3"/>
        <v>0</v>
      </c>
      <c r="AA16" s="766">
        <f t="shared" si="4"/>
        <v>0</v>
      </c>
      <c r="AB16" s="768">
        <f>'2. T7 LÅN'!O23</f>
        <v>0</v>
      </c>
      <c r="AC16" s="767">
        <f t="shared" si="5"/>
        <v>0</v>
      </c>
      <c r="AD16" s="769">
        <f>'2. T7 LÅN'!P23</f>
        <v>0</v>
      </c>
      <c r="AE16" s="765">
        <f t="shared" si="13"/>
        <v>0</v>
      </c>
      <c r="AF16" s="765">
        <f t="shared" si="6"/>
        <v>0</v>
      </c>
      <c r="AG16" s="766">
        <f t="shared" si="7"/>
        <v>0</v>
      </c>
      <c r="AH16" s="768">
        <v>0</v>
      </c>
      <c r="AI16" s="767">
        <f t="shared" si="8"/>
        <v>0</v>
      </c>
      <c r="AJ16" s="769">
        <f>IF(C16=0,0,IF(B16-R16-X16-AD16-L16&lt;=0,0,'AT2 Lainat, sotum., alv'!AD16))</f>
        <v>0</v>
      </c>
      <c r="AK16" s="765">
        <f t="shared" si="14"/>
        <v>0</v>
      </c>
      <c r="AL16" s="765">
        <f t="shared" si="9"/>
        <v>0</v>
      </c>
      <c r="AM16" s="766">
        <f t="shared" si="10"/>
        <v>0</v>
      </c>
    </row>
    <row r="17" spans="1:39">
      <c r="A17" s="770" t="str">
        <f>'2. T7 LÅN'!B24</f>
        <v xml:space="preserve"> </v>
      </c>
      <c r="B17" s="93">
        <f>'2. T7 LÅN'!C24</f>
        <v>0</v>
      </c>
      <c r="C17" s="100">
        <f>'2. T7 LÅN'!D24</f>
        <v>0</v>
      </c>
      <c r="D17" s="94">
        <f>'2. T7 LÅN'!E24</f>
        <v>0</v>
      </c>
      <c r="E17" s="799"/>
      <c r="F17" s="800"/>
      <c r="G17" s="800"/>
      <c r="H17" s="800"/>
      <c r="I17" s="801"/>
      <c r="J17" s="227"/>
      <c r="K17" s="228"/>
      <c r="L17" s="214"/>
      <c r="M17" s="214"/>
      <c r="N17" s="214"/>
      <c r="O17" s="186"/>
      <c r="P17" s="187"/>
      <c r="Q17" s="228"/>
      <c r="R17" s="214"/>
      <c r="S17" s="214"/>
      <c r="T17" s="214"/>
      <c r="U17" s="186"/>
      <c r="V17" s="187">
        <f>'2. T7 LÅN'!L24</f>
        <v>0</v>
      </c>
      <c r="W17" s="228">
        <f>IF(C17&gt;0,C17,0)</f>
        <v>0</v>
      </c>
      <c r="X17" s="214">
        <f>'2. T7 LÅN'!M24</f>
        <v>0</v>
      </c>
      <c r="Y17" s="214">
        <f t="shared" si="12"/>
        <v>0</v>
      </c>
      <c r="Z17" s="214">
        <f>T17+V17-X17</f>
        <v>0</v>
      </c>
      <c r="AA17" s="186">
        <f>IF($D17*Y17&lt;0,0,Y17*$D17)</f>
        <v>0</v>
      </c>
      <c r="AB17" s="187">
        <f>'2. T7 LÅN'!O24</f>
        <v>0</v>
      </c>
      <c r="AC17" s="228">
        <f t="shared" si="5"/>
        <v>0</v>
      </c>
      <c r="AD17" s="223">
        <f>'2. T7 LÅN'!P24</f>
        <v>0</v>
      </c>
      <c r="AE17" s="214">
        <f t="shared" si="13"/>
        <v>0</v>
      </c>
      <c r="AF17" s="214">
        <f t="shared" si="6"/>
        <v>0</v>
      </c>
      <c r="AG17" s="186">
        <f t="shared" si="7"/>
        <v>0</v>
      </c>
      <c r="AH17" s="187">
        <v>0</v>
      </c>
      <c r="AI17" s="228">
        <f t="shared" si="8"/>
        <v>0</v>
      </c>
      <c r="AJ17" s="223">
        <f>IF(C17=0,0,IF(B17-R17-X17-AD17-L17&lt;=0,0,'AT2 Lainat, sotum., alv'!AD17))</f>
        <v>0</v>
      </c>
      <c r="AK17" s="214">
        <f t="shared" si="14"/>
        <v>0</v>
      </c>
      <c r="AL17" s="214">
        <f t="shared" si="9"/>
        <v>0</v>
      </c>
      <c r="AM17" s="186">
        <f t="shared" si="10"/>
        <v>0</v>
      </c>
    </row>
    <row r="18" spans="1:39">
      <c r="A18" s="770" t="str">
        <f>'2. T7 LÅN'!B25</f>
        <v xml:space="preserve"> </v>
      </c>
      <c r="B18" s="93">
        <f>'2. T7 LÅN'!C25</f>
        <v>0</v>
      </c>
      <c r="C18" s="86">
        <f>'2. T7 LÅN'!D25</f>
        <v>0</v>
      </c>
      <c r="D18" s="94">
        <f>'2. T7 LÅN'!E25</f>
        <v>0</v>
      </c>
      <c r="E18" s="799"/>
      <c r="F18" s="800"/>
      <c r="G18" s="800"/>
      <c r="H18" s="800"/>
      <c r="I18" s="801"/>
      <c r="J18" s="805" t="s">
        <v>0</v>
      </c>
      <c r="K18" s="806" t="s">
        <v>0</v>
      </c>
      <c r="L18" s="807">
        <v>0</v>
      </c>
      <c r="M18" s="807" t="s">
        <v>0</v>
      </c>
      <c r="N18" s="807" t="s">
        <v>0</v>
      </c>
      <c r="O18" s="808" t="s">
        <v>0</v>
      </c>
      <c r="P18" s="187"/>
      <c r="Q18" s="228"/>
      <c r="R18" s="214"/>
      <c r="S18" s="214"/>
      <c r="T18" s="214"/>
      <c r="U18" s="186"/>
      <c r="V18" s="187">
        <f>'2. T7 LÅN'!L25</f>
        <v>0</v>
      </c>
      <c r="W18" s="228">
        <f>IF(C18&gt;0,C18,0)</f>
        <v>0</v>
      </c>
      <c r="X18" s="214">
        <f>'2. T7 LÅN'!M25</f>
        <v>0</v>
      </c>
      <c r="Y18" s="214">
        <f t="shared" si="12"/>
        <v>0</v>
      </c>
      <c r="Z18" s="214">
        <f>T18+V18-X18</f>
        <v>0</v>
      </c>
      <c r="AA18" s="186">
        <f>IF($D18*Y18&lt;0,0,Y18*$D18)</f>
        <v>0</v>
      </c>
      <c r="AB18" s="187">
        <f>'2. T7 LÅN'!O25</f>
        <v>0</v>
      </c>
      <c r="AC18" s="228">
        <f t="shared" si="5"/>
        <v>0</v>
      </c>
      <c r="AD18" s="223">
        <f>'2. T7 LÅN'!P25</f>
        <v>0</v>
      </c>
      <c r="AE18" s="214">
        <f t="shared" si="13"/>
        <v>0</v>
      </c>
      <c r="AF18" s="214">
        <f t="shared" si="6"/>
        <v>0</v>
      </c>
      <c r="AG18" s="186">
        <f t="shared" si="7"/>
        <v>0</v>
      </c>
      <c r="AH18" s="187">
        <v>0</v>
      </c>
      <c r="AI18" s="228">
        <f t="shared" si="8"/>
        <v>0</v>
      </c>
      <c r="AJ18" s="223">
        <f>IF(C18=0,0,IF(B18-R18-X18-AD18-L18&lt;=0,0,'AT2 Lainat, sotum., alv'!AD18))</f>
        <v>0</v>
      </c>
      <c r="AK18" s="214">
        <f t="shared" si="14"/>
        <v>0</v>
      </c>
      <c r="AL18" s="214">
        <f t="shared" si="9"/>
        <v>0</v>
      </c>
      <c r="AM18" s="186">
        <f t="shared" si="10"/>
        <v>0</v>
      </c>
    </row>
    <row r="19" spans="1:39" ht="12.9" thickBot="1">
      <c r="A19" s="810" t="str">
        <f>'2. T7 LÅN'!B26</f>
        <v xml:space="preserve"> </v>
      </c>
      <c r="B19" s="811">
        <f>'2. T7 LÅN'!C26</f>
        <v>0</v>
      </c>
      <c r="C19" s="812">
        <f>'2. T7 LÅN'!D26</f>
        <v>0</v>
      </c>
      <c r="D19" s="813">
        <f>'2. T7 LÅN'!E26</f>
        <v>0</v>
      </c>
      <c r="E19" s="814"/>
      <c r="F19" s="815"/>
      <c r="G19" s="815"/>
      <c r="H19" s="815"/>
      <c r="I19" s="816"/>
      <c r="J19" s="817"/>
      <c r="K19" s="818"/>
      <c r="L19" s="819"/>
      <c r="M19" s="819"/>
      <c r="N19" s="819"/>
      <c r="O19" s="820"/>
      <c r="P19" s="821"/>
      <c r="Q19" s="818"/>
      <c r="R19" s="819"/>
      <c r="S19" s="819"/>
      <c r="T19" s="819"/>
      <c r="U19" s="820"/>
      <c r="V19" s="821">
        <f>'2. T7 LÅN'!L26</f>
        <v>0</v>
      </c>
      <c r="W19" s="818">
        <f>IF(C19&gt;0,C19,0)</f>
        <v>0</v>
      </c>
      <c r="X19" s="819">
        <f>'2. T7 LÅN'!M26</f>
        <v>0</v>
      </c>
      <c r="Y19" s="819">
        <f t="shared" si="12"/>
        <v>0</v>
      </c>
      <c r="Z19" s="819">
        <f>T19+V19-X19</f>
        <v>0</v>
      </c>
      <c r="AA19" s="820">
        <f>IF($D19*Y19&lt;0,0,Y19*$D19)</f>
        <v>0</v>
      </c>
      <c r="AB19" s="821">
        <f>'2. T7 LÅN'!O26</f>
        <v>0</v>
      </c>
      <c r="AC19" s="818">
        <f t="shared" si="5"/>
        <v>0</v>
      </c>
      <c r="AD19" s="223">
        <f>'2. T7 LÅN'!P26</f>
        <v>0</v>
      </c>
      <c r="AE19" s="819">
        <f t="shared" si="13"/>
        <v>0</v>
      </c>
      <c r="AF19" s="819">
        <f>Z19+AB19-AD19</f>
        <v>0</v>
      </c>
      <c r="AG19" s="820">
        <f>IF($D19*AE19&lt;0,0,AE19*$D19)</f>
        <v>0</v>
      </c>
      <c r="AH19" s="821"/>
      <c r="AI19" s="818">
        <f t="shared" si="8"/>
        <v>0</v>
      </c>
      <c r="AJ19" s="223">
        <f>IF(C19=0,0,IF(B19-R19-X19-AD19-L19&lt;=0,0,'AT2 Lainat, sotum., alv'!AD19))</f>
        <v>0</v>
      </c>
      <c r="AK19" s="819">
        <f t="shared" si="14"/>
        <v>0</v>
      </c>
      <c r="AL19" s="819">
        <f>AF19+AH19-AJ19</f>
        <v>0</v>
      </c>
      <c r="AM19" s="820">
        <f>IF($D19*AK19&lt;0,0,AK19*$D19)</f>
        <v>0</v>
      </c>
    </row>
    <row r="20" spans="1:39">
      <c r="A20" s="760" t="str">
        <f>'2. T7 LÅN'!B28</f>
        <v xml:space="preserve"> Prognos år 4, lån 1</v>
      </c>
      <c r="B20" s="761">
        <f>'2. T7 LÅN'!C28</f>
        <v>0</v>
      </c>
      <c r="C20" s="826">
        <f>'2. T7 LÅN'!D28</f>
        <v>0</v>
      </c>
      <c r="D20" s="763">
        <f>'2. T7 LÅN'!E28</f>
        <v>0</v>
      </c>
      <c r="E20" s="796"/>
      <c r="F20" s="797"/>
      <c r="G20" s="797"/>
      <c r="H20" s="797"/>
      <c r="I20" s="798"/>
      <c r="J20" s="827" t="s">
        <v>0</v>
      </c>
      <c r="K20" s="828" t="s">
        <v>0</v>
      </c>
      <c r="L20" s="765"/>
      <c r="M20" s="765"/>
      <c r="N20" s="765"/>
      <c r="O20" s="766"/>
      <c r="P20" s="768"/>
      <c r="Q20" s="767"/>
      <c r="R20" s="765"/>
      <c r="S20" s="765"/>
      <c r="T20" s="765"/>
      <c r="U20" s="766"/>
      <c r="V20" s="768"/>
      <c r="W20" s="767"/>
      <c r="X20" s="765"/>
      <c r="Y20" s="765"/>
      <c r="Z20" s="765"/>
      <c r="AA20" s="766"/>
      <c r="AB20" s="768">
        <f>'2. T7 LÅN'!O28</f>
        <v>0</v>
      </c>
      <c r="AC20" s="767">
        <f>IF(C20&gt;0,C20,0)</f>
        <v>0</v>
      </c>
      <c r="AD20" s="769">
        <f>'2. T7 LÅN'!P28</f>
        <v>0</v>
      </c>
      <c r="AE20" s="765">
        <f t="shared" si="13"/>
        <v>0</v>
      </c>
      <c r="AF20" s="765">
        <f t="shared" si="6"/>
        <v>0</v>
      </c>
      <c r="AG20" s="766">
        <f t="shared" si="7"/>
        <v>0</v>
      </c>
      <c r="AH20" s="768">
        <v>0</v>
      </c>
      <c r="AI20" s="767">
        <f t="shared" si="8"/>
        <v>0</v>
      </c>
      <c r="AJ20" s="769">
        <f>IF(C20=0,0,IF(B20-R20-X20-AD20-L20&lt;=0,0,'AT2 Lainat, sotum., alv'!AD20))</f>
        <v>0</v>
      </c>
      <c r="AK20" s="765">
        <f t="shared" si="14"/>
        <v>0</v>
      </c>
      <c r="AL20" s="765">
        <f t="shared" si="9"/>
        <v>0</v>
      </c>
      <c r="AM20" s="766">
        <f t="shared" si="10"/>
        <v>0</v>
      </c>
    </row>
    <row r="21" spans="1:39">
      <c r="A21" s="770">
        <f>'2. T7 LÅN'!B29</f>
        <v>0</v>
      </c>
      <c r="B21" s="93">
        <f>'2. T7 LÅN'!C29</f>
        <v>0</v>
      </c>
      <c r="C21" s="86">
        <f>'2. T7 LÅN'!D29</f>
        <v>0</v>
      </c>
      <c r="D21" s="94">
        <f>'2. T7 LÅN'!E29</f>
        <v>0</v>
      </c>
      <c r="E21" s="799"/>
      <c r="F21" s="800"/>
      <c r="G21" s="800"/>
      <c r="H21" s="800"/>
      <c r="I21" s="801"/>
      <c r="J21" s="227"/>
      <c r="K21" s="228"/>
      <c r="L21" s="214"/>
      <c r="M21" s="214"/>
      <c r="N21" s="214"/>
      <c r="O21" s="186"/>
      <c r="P21" s="187"/>
      <c r="Q21" s="228"/>
      <c r="R21" s="214"/>
      <c r="S21" s="214"/>
      <c r="T21" s="214"/>
      <c r="U21" s="186"/>
      <c r="V21" s="187"/>
      <c r="W21" s="228"/>
      <c r="X21" s="214"/>
      <c r="Y21" s="214"/>
      <c r="Z21" s="214"/>
      <c r="AA21" s="186"/>
      <c r="AB21" s="187">
        <f>'2. T7 LÅN'!O29</f>
        <v>0</v>
      </c>
      <c r="AC21" s="228">
        <f>IF(C21&gt;0,C21,0)</f>
        <v>0</v>
      </c>
      <c r="AD21" s="223">
        <f>'2. T7 LÅN'!P29</f>
        <v>0</v>
      </c>
      <c r="AE21" s="214">
        <f t="shared" si="13"/>
        <v>0</v>
      </c>
      <c r="AF21" s="214">
        <f t="shared" si="6"/>
        <v>0</v>
      </c>
      <c r="AG21" s="186">
        <f t="shared" si="7"/>
        <v>0</v>
      </c>
      <c r="AH21" s="187">
        <v>0</v>
      </c>
      <c r="AI21" s="228">
        <f t="shared" si="8"/>
        <v>0</v>
      </c>
      <c r="AJ21" s="223">
        <f>IF(C21=0,0,IF(B21-R21-X21-AD21-L21&lt;=0,0,'AT2 Lainat, sotum., alv'!AD21))</f>
        <v>0</v>
      </c>
      <c r="AK21" s="214">
        <f t="shared" si="14"/>
        <v>0</v>
      </c>
      <c r="AL21" s="214">
        <f t="shared" si="9"/>
        <v>0</v>
      </c>
      <c r="AM21" s="186">
        <f t="shared" si="10"/>
        <v>0</v>
      </c>
    </row>
    <row r="22" spans="1:39">
      <c r="A22" s="770" t="str">
        <f>'2. T7 LÅN'!B30</f>
        <v xml:space="preserve"> </v>
      </c>
      <c r="B22" s="93">
        <f>'2. T7 LÅN'!C30</f>
        <v>0</v>
      </c>
      <c r="C22" s="86">
        <f>'2. T7 LÅN'!D30</f>
        <v>0</v>
      </c>
      <c r="D22" s="94">
        <f>'2. T7 LÅN'!E30</f>
        <v>0</v>
      </c>
      <c r="E22" s="799"/>
      <c r="F22" s="800"/>
      <c r="G22" s="800"/>
      <c r="H22" s="800"/>
      <c r="I22" s="801"/>
      <c r="J22" s="805" t="s">
        <v>0</v>
      </c>
      <c r="K22" s="806" t="s">
        <v>0</v>
      </c>
      <c r="L22" s="214"/>
      <c r="M22" s="214"/>
      <c r="N22" s="214"/>
      <c r="O22" s="186"/>
      <c r="P22" s="187"/>
      <c r="Q22" s="228"/>
      <c r="R22" s="214"/>
      <c r="S22" s="214"/>
      <c r="T22" s="214"/>
      <c r="U22" s="186"/>
      <c r="V22" s="187"/>
      <c r="W22" s="228"/>
      <c r="X22" s="214"/>
      <c r="Y22" s="214"/>
      <c r="Z22" s="214"/>
      <c r="AA22" s="186"/>
      <c r="AB22" s="187">
        <f>'2. T7 LÅN'!O30</f>
        <v>0</v>
      </c>
      <c r="AC22" s="228">
        <f>IF(C22&gt;0,C22,0)</f>
        <v>0</v>
      </c>
      <c r="AD22" s="223">
        <f>'2. T7 LÅN'!P30</f>
        <v>0</v>
      </c>
      <c r="AE22" s="214">
        <f t="shared" si="13"/>
        <v>0</v>
      </c>
      <c r="AF22" s="214">
        <f>Z22+AB22-AD22</f>
        <v>0</v>
      </c>
      <c r="AG22" s="186">
        <f>IF($D22*AE22&lt;0,0,AE22*$D22)</f>
        <v>0</v>
      </c>
      <c r="AH22" s="187">
        <v>0</v>
      </c>
      <c r="AI22" s="228">
        <f t="shared" si="8"/>
        <v>0</v>
      </c>
      <c r="AJ22" s="223">
        <f>IF(C22=0,0,IF(B22-R22-X22-AD22-L22&lt;=0,0,'AT2 Lainat, sotum., alv'!AD22))</f>
        <v>0</v>
      </c>
      <c r="AK22" s="214">
        <f t="shared" si="14"/>
        <v>0</v>
      </c>
      <c r="AL22" s="214">
        <f t="shared" si="9"/>
        <v>0</v>
      </c>
      <c r="AM22" s="186">
        <f t="shared" si="10"/>
        <v>0</v>
      </c>
    </row>
    <row r="23" spans="1:39" ht="12.9" thickBot="1">
      <c r="A23" s="771" t="str">
        <f>'2. T7 LÅN'!B31</f>
        <v xml:space="preserve"> </v>
      </c>
      <c r="B23" s="772">
        <f>'2. T7 LÅN'!C31</f>
        <v>0</v>
      </c>
      <c r="C23" s="781">
        <f>'2. T7 LÅN'!D31</f>
        <v>0</v>
      </c>
      <c r="D23" s="774">
        <f>'2. T7 LÅN'!E31</f>
        <v>0</v>
      </c>
      <c r="E23" s="802"/>
      <c r="F23" s="803"/>
      <c r="G23" s="803"/>
      <c r="H23" s="803"/>
      <c r="I23" s="804"/>
      <c r="J23" s="775"/>
      <c r="K23" s="778"/>
      <c r="L23" s="776"/>
      <c r="M23" s="776"/>
      <c r="N23" s="776"/>
      <c r="O23" s="777"/>
      <c r="P23" s="779"/>
      <c r="Q23" s="778"/>
      <c r="R23" s="776"/>
      <c r="S23" s="776"/>
      <c r="T23" s="776"/>
      <c r="U23" s="777"/>
      <c r="V23" s="779"/>
      <c r="W23" s="778"/>
      <c r="X23" s="776"/>
      <c r="Y23" s="776"/>
      <c r="Z23" s="776"/>
      <c r="AA23" s="777"/>
      <c r="AB23" s="779">
        <f>'2. T7 LÅN'!O31</f>
        <v>0</v>
      </c>
      <c r="AC23" s="778">
        <f>IF(C23&gt;0,C23,0)</f>
        <v>0</v>
      </c>
      <c r="AD23" s="780">
        <f>'2. T7 LÅN'!P31</f>
        <v>0</v>
      </c>
      <c r="AE23" s="776">
        <f t="shared" si="13"/>
        <v>0</v>
      </c>
      <c r="AF23" s="776">
        <f>Z23+AB23-AD23</f>
        <v>0</v>
      </c>
      <c r="AG23" s="777">
        <f>IF($D23*AE23&lt;0,0,AE23*$D23)</f>
        <v>0</v>
      </c>
      <c r="AH23" s="779">
        <v>0</v>
      </c>
      <c r="AI23" s="778">
        <f t="shared" si="8"/>
        <v>0</v>
      </c>
      <c r="AJ23" s="780">
        <f>IF(C23=0,0,IF(B23-R23-X23-AD23-L23&lt;=0,0,'AT2 Lainat, sotum., alv'!AD23))</f>
        <v>0</v>
      </c>
      <c r="AK23" s="776">
        <f t="shared" si="14"/>
        <v>0</v>
      </c>
      <c r="AL23" s="776">
        <f>AF23+AH23-AJ23</f>
        <v>0</v>
      </c>
      <c r="AM23" s="777">
        <f>IF($D23*AK23&lt;0,0,AK23*$D23)</f>
        <v>0</v>
      </c>
    </row>
    <row r="24" spans="1:39" s="2" customFormat="1">
      <c r="A24" s="2" t="s">
        <v>32</v>
      </c>
      <c r="B24" s="295">
        <f>SUM(B8:B22)</f>
        <v>0</v>
      </c>
      <c r="C24" s="296"/>
      <c r="E24" s="809"/>
      <c r="F24" s="188"/>
      <c r="G24" s="188"/>
      <c r="H24" s="188"/>
      <c r="I24" s="188"/>
      <c r="J24" s="809">
        <f>SUM(J7:J23)</f>
        <v>0</v>
      </c>
      <c r="K24" s="188" t="s">
        <v>0</v>
      </c>
      <c r="L24" s="188">
        <f>SUM(L8:L23)</f>
        <v>0</v>
      </c>
      <c r="M24" s="188">
        <f>SUM(M8:M23)</f>
        <v>0</v>
      </c>
      <c r="N24" s="188">
        <f>SUM(N8:N23)</f>
        <v>0</v>
      </c>
      <c r="O24" s="188">
        <f>SUM(O8:O23)</f>
        <v>0</v>
      </c>
      <c r="P24" s="188">
        <f>SUM(P7:P23)</f>
        <v>0</v>
      </c>
      <c r="Q24" s="188" t="s">
        <v>0</v>
      </c>
      <c r="R24" s="188">
        <f>SUM(R8:R23)</f>
        <v>0</v>
      </c>
      <c r="S24" s="188">
        <f>SUM(S8:S23)</f>
        <v>0</v>
      </c>
      <c r="T24" s="188">
        <f>SUM(T8:T23)</f>
        <v>0</v>
      </c>
      <c r="U24" s="188">
        <f>SUM(U8:U23)</f>
        <v>0</v>
      </c>
      <c r="V24" s="188">
        <f>SUM(V7:V23)</f>
        <v>0</v>
      </c>
      <c r="W24" s="188"/>
      <c r="X24" s="188">
        <f>SUM(X8:X23)</f>
        <v>0</v>
      </c>
      <c r="Y24" s="188">
        <f>SUM(Y8:Y23)</f>
        <v>0</v>
      </c>
      <c r="Z24" s="188">
        <f>SUM(Z8:Z23)</f>
        <v>0</v>
      </c>
      <c r="AA24" s="188">
        <f>SUM(AA8:AA23)</f>
        <v>0</v>
      </c>
      <c r="AB24" s="822">
        <f>SUM(AB7:AB23)</f>
        <v>0</v>
      </c>
      <c r="AC24" s="823">
        <f>SUM(AC8:AC22)</f>
        <v>0</v>
      </c>
      <c r="AD24" s="759">
        <f t="shared" ref="AD24:AM24" si="15">SUM(AD8:AD23)</f>
        <v>0</v>
      </c>
      <c r="AE24" s="824">
        <f t="shared" si="15"/>
        <v>0</v>
      </c>
      <c r="AF24" s="824">
        <f t="shared" si="15"/>
        <v>0</v>
      </c>
      <c r="AG24" s="825">
        <f t="shared" si="15"/>
        <v>0</v>
      </c>
      <c r="AH24" s="822">
        <f t="shared" si="15"/>
        <v>0</v>
      </c>
      <c r="AI24" s="823">
        <f t="shared" si="15"/>
        <v>0</v>
      </c>
      <c r="AJ24" s="759">
        <f t="shared" si="15"/>
        <v>0</v>
      </c>
      <c r="AK24" s="824">
        <f t="shared" si="15"/>
        <v>0</v>
      </c>
      <c r="AL24" s="824">
        <f t="shared" si="15"/>
        <v>0</v>
      </c>
      <c r="AM24" s="825">
        <f t="shared" si="15"/>
        <v>0</v>
      </c>
    </row>
    <row r="25" spans="1:39" s="2" customFormat="1" ht="12.9" thickBot="1">
      <c r="B25" s="295"/>
      <c r="C25" s="296"/>
      <c r="E25" s="809"/>
      <c r="F25" s="188"/>
      <c r="G25" s="188"/>
      <c r="H25" s="188"/>
      <c r="I25" s="188"/>
      <c r="J25" s="809"/>
      <c r="K25" s="188"/>
      <c r="L25" s="188"/>
      <c r="M25" s="188"/>
      <c r="N25" s="188"/>
      <c r="O25" s="188"/>
      <c r="P25" s="188"/>
      <c r="Q25" s="188"/>
      <c r="R25" s="188"/>
      <c r="S25" s="188"/>
      <c r="T25" s="188"/>
      <c r="U25" s="188"/>
      <c r="V25" s="188"/>
      <c r="W25" s="188"/>
      <c r="X25" s="188"/>
      <c r="Y25" s="188"/>
      <c r="Z25" s="188"/>
      <c r="AA25" s="188"/>
      <c r="AB25" s="1759"/>
      <c r="AC25" s="188"/>
      <c r="AD25" s="1760"/>
      <c r="AE25" s="188"/>
      <c r="AF25" s="188"/>
      <c r="AG25" s="1761"/>
      <c r="AH25" s="1759"/>
      <c r="AI25" s="188"/>
      <c r="AJ25" s="1760"/>
      <c r="AK25" s="188"/>
      <c r="AL25" s="188"/>
      <c r="AM25" s="1761"/>
    </row>
    <row r="26" spans="1:39" s="2" customFormat="1">
      <c r="C26" s="6" t="s">
        <v>35</v>
      </c>
      <c r="E26" s="2150" t="str">
        <f>E3</f>
        <v xml:space="preserve"> </v>
      </c>
      <c r="F26" s="2151"/>
      <c r="G26" s="2151"/>
      <c r="H26" s="2151"/>
      <c r="I26" s="2152"/>
      <c r="J26" s="2150" t="str">
        <f>J3</f>
        <v>Prognos 1</v>
      </c>
      <c r="K26" s="2151"/>
      <c r="L26" s="2151"/>
      <c r="M26" s="2151"/>
      <c r="N26" s="2151"/>
      <c r="O26" s="2152"/>
      <c r="P26" s="2150" t="str">
        <f>P3</f>
        <v>Prognos 2</v>
      </c>
      <c r="Q26" s="2151"/>
      <c r="R26" s="2151"/>
      <c r="S26" s="2151"/>
      <c r="T26" s="2151"/>
      <c r="U26" s="2152"/>
      <c r="V26" s="2150" t="str">
        <f>V3</f>
        <v>Prognos 3</v>
      </c>
      <c r="W26" s="2151"/>
      <c r="X26" s="2151"/>
      <c r="Y26" s="2151"/>
      <c r="Z26" s="2151"/>
      <c r="AA26" s="2152"/>
      <c r="AB26" s="2150" t="s">
        <v>86</v>
      </c>
      <c r="AC26" s="2151"/>
      <c r="AD26" s="2151"/>
      <c r="AE26" s="2151"/>
      <c r="AF26" s="2151"/>
      <c r="AG26" s="2152"/>
      <c r="AH26" s="2150" t="s">
        <v>91</v>
      </c>
      <c r="AI26" s="2151"/>
      <c r="AJ26" s="2151"/>
      <c r="AK26" s="2151"/>
      <c r="AL26" s="2151"/>
      <c r="AM26" s="2152"/>
    </row>
    <row r="27" spans="1:39" ht="12.9" thickBot="1">
      <c r="B27" s="6" t="s">
        <v>29</v>
      </c>
      <c r="C27" s="6" t="s">
        <v>34</v>
      </c>
      <c r="D27" s="6" t="s">
        <v>27</v>
      </c>
      <c r="E27" s="2145" t="str">
        <f>E4</f>
        <v xml:space="preserve"> </v>
      </c>
      <c r="F27" s="2146"/>
      <c r="G27" s="2146"/>
      <c r="H27" s="2146"/>
      <c r="I27" s="2147"/>
      <c r="J27" s="2145">
        <f>J4</f>
        <v>2025</v>
      </c>
      <c r="K27" s="2146"/>
      <c r="L27" s="2146"/>
      <c r="M27" s="2146"/>
      <c r="N27" s="2146"/>
      <c r="O27" s="2147"/>
      <c r="P27" s="2148">
        <f>P4</f>
        <v>2026</v>
      </c>
      <c r="Q27" s="2016"/>
      <c r="R27" s="2016"/>
      <c r="S27" s="2016"/>
      <c r="T27" s="2016"/>
      <c r="U27" s="2149"/>
      <c r="V27" s="2148">
        <f>V4</f>
        <v>2027</v>
      </c>
      <c r="W27" s="2016"/>
      <c r="X27" s="2016"/>
      <c r="Y27" s="2016"/>
      <c r="Z27" s="2016"/>
      <c r="AA27" s="2149"/>
      <c r="AB27" s="2148">
        <f>AB4</f>
        <v>2028</v>
      </c>
      <c r="AC27" s="2016"/>
      <c r="AD27" s="2016"/>
      <c r="AE27" s="2016"/>
      <c r="AF27" s="2016"/>
      <c r="AG27" s="2149"/>
      <c r="AH27" s="2148">
        <f>AH4</f>
        <v>2029</v>
      </c>
      <c r="AI27" s="2016"/>
      <c r="AJ27" s="2016"/>
      <c r="AK27" s="2016"/>
      <c r="AL27" s="2016"/>
      <c r="AM27" s="2149"/>
    </row>
    <row r="28" spans="1:39" s="2" customFormat="1">
      <c r="A28" s="266" t="s">
        <v>76</v>
      </c>
      <c r="B28" s="267"/>
      <c r="C28" s="183"/>
      <c r="D28" s="268"/>
      <c r="E28" s="269"/>
      <c r="F28" s="270"/>
      <c r="G28" s="269"/>
      <c r="H28" s="267"/>
      <c r="I28" s="269"/>
      <c r="J28" s="267"/>
      <c r="K28" s="267"/>
      <c r="L28" s="267"/>
      <c r="M28" s="267"/>
      <c r="N28" s="267"/>
      <c r="O28" s="267"/>
      <c r="P28" s="267"/>
      <c r="Q28" s="267"/>
      <c r="R28" s="267"/>
      <c r="S28" s="267"/>
      <c r="T28" s="267"/>
      <c r="U28" s="267"/>
      <c r="V28" s="267"/>
      <c r="W28" s="267"/>
      <c r="X28" s="267"/>
      <c r="Y28" s="267"/>
      <c r="Z28" s="267"/>
      <c r="AA28" s="267"/>
      <c r="AB28" s="267"/>
      <c r="AC28" s="267"/>
      <c r="AD28" s="267"/>
      <c r="AE28" s="267"/>
      <c r="AF28" s="267"/>
      <c r="AG28" s="271"/>
      <c r="AH28" s="267"/>
      <c r="AI28" s="267"/>
      <c r="AJ28" s="267"/>
      <c r="AK28" s="267"/>
      <c r="AL28" s="267"/>
      <c r="AM28" s="271"/>
    </row>
    <row r="29" spans="1:39">
      <c r="A29" s="272" t="s">
        <v>77</v>
      </c>
      <c r="F29" s="102"/>
      <c r="J29" s="40"/>
      <c r="K29" s="110"/>
      <c r="L29" s="40"/>
      <c r="M29" s="40"/>
      <c r="N29" s="40"/>
      <c r="O29" s="40"/>
      <c r="P29" s="40"/>
      <c r="Q29" s="110"/>
      <c r="R29" s="40"/>
      <c r="S29" s="40"/>
      <c r="T29" s="40"/>
      <c r="U29" s="40"/>
      <c r="V29" s="40"/>
      <c r="W29" s="40"/>
      <c r="X29" s="40"/>
      <c r="Y29" s="40"/>
      <c r="Z29" s="40"/>
      <c r="AA29" s="40"/>
      <c r="AG29" s="185"/>
      <c r="AM29" s="185"/>
    </row>
    <row r="30" spans="1:39">
      <c r="A30" s="272" t="s">
        <v>78</v>
      </c>
      <c r="F30" s="102"/>
      <c r="J30" s="40"/>
      <c r="K30" s="110"/>
      <c r="L30" s="40"/>
      <c r="M30" s="40"/>
      <c r="N30" s="40"/>
      <c r="O30" s="40"/>
      <c r="P30" s="40"/>
      <c r="Q30" s="110"/>
      <c r="R30" s="40"/>
      <c r="S30" s="40"/>
      <c r="T30" s="40"/>
      <c r="U30" s="40"/>
      <c r="V30" s="40"/>
      <c r="W30" s="40"/>
      <c r="X30" s="40"/>
      <c r="Y30" s="40"/>
      <c r="Z30" s="40"/>
      <c r="AA30" s="40"/>
      <c r="AG30" s="185"/>
      <c r="AM30" s="185"/>
    </row>
    <row r="31" spans="1:39" ht="12.9" thickBot="1">
      <c r="A31" s="273" t="s">
        <v>89</v>
      </c>
      <c r="B31" s="203"/>
      <c r="C31" s="274"/>
      <c r="D31" s="203"/>
      <c r="E31" s="203"/>
      <c r="F31" s="275"/>
      <c r="G31" s="203"/>
      <c r="H31" s="276"/>
      <c r="I31" s="203"/>
      <c r="J31" s="276"/>
      <c r="K31" s="277"/>
      <c r="L31" s="276"/>
      <c r="M31" s="276"/>
      <c r="N31" s="276"/>
      <c r="O31" s="276"/>
      <c r="P31" s="276"/>
      <c r="Q31" s="277"/>
      <c r="R31" s="276"/>
      <c r="S31" s="276"/>
      <c r="T31" s="276"/>
      <c r="U31" s="276"/>
      <c r="V31" s="276"/>
      <c r="W31" s="276"/>
      <c r="X31" s="276"/>
      <c r="Y31" s="276"/>
      <c r="Z31" s="276"/>
      <c r="AA31" s="276"/>
      <c r="AB31" s="203"/>
      <c r="AC31" s="203"/>
      <c r="AD31" s="276"/>
      <c r="AE31" s="203"/>
      <c r="AF31" s="276"/>
      <c r="AG31" s="276"/>
      <c r="AH31" s="203"/>
      <c r="AI31" s="203"/>
      <c r="AJ31" s="276"/>
      <c r="AK31" s="203"/>
      <c r="AL31" s="276"/>
      <c r="AM31" s="276"/>
    </row>
    <row r="32" spans="1:39">
      <c r="A32" s="181" t="s">
        <v>79</v>
      </c>
      <c r="B32" s="40">
        <f>'2. T7 LÅN'!C33</f>
        <v>0</v>
      </c>
      <c r="C32" s="88">
        <f>'2. T7 LÅN'!D33*12</f>
        <v>0</v>
      </c>
      <c r="D32" s="205">
        <f>'2. T7 LÅN'!E33</f>
        <v>0</v>
      </c>
      <c r="F32" s="102"/>
      <c r="J32" s="110">
        <f>'2. T7 LÅN'!F33</f>
        <v>0</v>
      </c>
      <c r="K32" s="188"/>
      <c r="L32" s="188">
        <f>IF($D32=0,0,-CUMPRINC($D32/12,$C32,$B32,J33,J34,0))</f>
        <v>0</v>
      </c>
      <c r="M32" s="188"/>
      <c r="N32" s="188">
        <f>J32-L32</f>
        <v>0</v>
      </c>
      <c r="O32" s="267">
        <f>IF($C32&lt;J33,0,IF($D32=0,0,-CUMIPMT($D32/12,$C32,$B32,J33,J34,0)))</f>
        <v>0</v>
      </c>
      <c r="P32" s="188"/>
      <c r="Q32" s="188"/>
      <c r="R32" s="267">
        <f>IF($C32&lt;P33,0,IF($D32=0,0,-CUMPRINC($D32/12,$C32,$B32,P33,P34,0)))</f>
        <v>0</v>
      </c>
      <c r="S32" s="188"/>
      <c r="T32" s="188">
        <f>N32-R32</f>
        <v>0</v>
      </c>
      <c r="U32" s="267">
        <f>IF($C32&lt;P33,0,IF($D32=0,0,-CUMIPMT($D32/12,$C32,$B32,P33,P34,0)))</f>
        <v>0</v>
      </c>
      <c r="V32" s="188"/>
      <c r="W32" s="188"/>
      <c r="X32" s="267">
        <f>IF($C32&lt;V33,0,IF($D32=0,0,-CUMPRINC($D32/12,$C32,$B32,V33,V34,0)))</f>
        <v>0</v>
      </c>
      <c r="Y32" s="188"/>
      <c r="Z32" s="188">
        <f>T32-X32</f>
        <v>0</v>
      </c>
      <c r="AA32" s="267">
        <f>IF($C32&lt;V33,0,IF($D32=0,0,-CUMIPMT($D32/12,$C32,$B32,V33,V34,0)))</f>
        <v>0</v>
      </c>
      <c r="AB32" s="188"/>
      <c r="AC32" s="188"/>
      <c r="AD32" s="267">
        <f>IF($C32&lt;AB33,0,IF($D32=0,0,-CUMPRINC($D32/12,$C32,$B32,AB33,AB34,0)))</f>
        <v>0</v>
      </c>
      <c r="AE32" s="188"/>
      <c r="AF32" s="188">
        <f>Z32-AD32</f>
        <v>0</v>
      </c>
      <c r="AG32" s="271">
        <f>IF($C32&lt;AB33,0,IF($D32=0,0,-CUMIPMT($D32/12,$C32,$B32,AB33,AB34,0)))</f>
        <v>0</v>
      </c>
      <c r="AH32" s="188"/>
      <c r="AI32" s="188"/>
      <c r="AJ32" s="267">
        <f>IF($C32&lt;AH33,0,IF($D32=0,0,-CUMPRINC($D32/12,$C32,$B32,AH33,AH34,0)))</f>
        <v>0</v>
      </c>
      <c r="AK32" s="188"/>
      <c r="AL32" s="188">
        <f>AF32-AJ32</f>
        <v>0</v>
      </c>
      <c r="AM32" s="271">
        <f>IF($C32&lt;AH33,0,IF($D32=0,0,-CUMIPMT($D32/12,$C32,$B32,AH33,AH34,0)))</f>
        <v>0</v>
      </c>
    </row>
    <row r="33" spans="1:39">
      <c r="A33" s="207" t="s">
        <v>77</v>
      </c>
      <c r="F33" s="102"/>
      <c r="J33" s="40">
        <v>1</v>
      </c>
      <c r="K33" s="110"/>
      <c r="L33" s="40"/>
      <c r="M33" s="40"/>
      <c r="N33" s="40"/>
      <c r="O33" s="40"/>
      <c r="P33" s="40">
        <v>13</v>
      </c>
      <c r="Q33" s="110"/>
      <c r="R33" s="40"/>
      <c r="S33" s="40"/>
      <c r="T33" s="40"/>
      <c r="U33" s="40"/>
      <c r="V33" s="40">
        <v>25</v>
      </c>
      <c r="W33" s="40"/>
      <c r="X33" s="40"/>
      <c r="Y33" s="40"/>
      <c r="Z33" s="40"/>
      <c r="AA33" s="40"/>
      <c r="AB33">
        <v>37</v>
      </c>
      <c r="AH33">
        <v>49</v>
      </c>
    </row>
    <row r="34" spans="1:39" ht="12.9" thickBot="1">
      <c r="A34" s="207" t="s">
        <v>78</v>
      </c>
      <c r="F34" s="102"/>
      <c r="J34" s="40">
        <v>12</v>
      </c>
      <c r="K34" s="110"/>
      <c r="L34" s="40"/>
      <c r="M34" s="40"/>
      <c r="N34" s="40"/>
      <c r="O34" s="40"/>
      <c r="P34" s="40">
        <v>24</v>
      </c>
      <c r="Q34" s="110"/>
      <c r="R34" s="40"/>
      <c r="S34" s="40"/>
      <c r="T34" s="40"/>
      <c r="U34" s="40"/>
      <c r="V34" s="40">
        <v>36</v>
      </c>
      <c r="W34" s="40"/>
      <c r="X34" s="40"/>
      <c r="Y34" s="40"/>
      <c r="Z34" s="40"/>
      <c r="AA34" s="40"/>
      <c r="AB34">
        <v>48</v>
      </c>
      <c r="AH34">
        <v>60</v>
      </c>
    </row>
    <row r="35" spans="1:39" s="2" customFormat="1">
      <c r="A35" s="181" t="s">
        <v>80</v>
      </c>
      <c r="B35" s="40">
        <f>'2. T7 LÅN'!C34</f>
        <v>0</v>
      </c>
      <c r="C35" s="88">
        <f>'2. T7 LÅN'!D34*12</f>
        <v>0</v>
      </c>
      <c r="D35" s="205">
        <f>'2. T7 LÅN'!E34</f>
        <v>0</v>
      </c>
      <c r="F35" s="206"/>
      <c r="J35" s="110">
        <f>'2. T7 LÅN'!F34</f>
        <v>0</v>
      </c>
      <c r="K35" s="188"/>
      <c r="L35" s="188">
        <f>IF($D35=0,0,IF($J35=0,0,-CUMPRINC($D35/12,$C35,$B35,P36,P37,0)))</f>
        <v>0</v>
      </c>
      <c r="M35" s="188"/>
      <c r="N35" s="188"/>
      <c r="O35" s="188">
        <v>0</v>
      </c>
      <c r="P35" s="110">
        <f>'2. T7 LÅN'!I34</f>
        <v>0</v>
      </c>
      <c r="Q35" s="188"/>
      <c r="R35" s="267">
        <f>IF($C35&lt;P36,0,IF($D35=0,0,-CUMPRINC($D35/12,$C35,$B35,P36,P37,0)))</f>
        <v>0</v>
      </c>
      <c r="S35" s="208"/>
      <c r="T35" s="209">
        <f>P35-R35</f>
        <v>0</v>
      </c>
      <c r="U35" s="267">
        <f>IF($C35&lt;P36,0,IF($D35=0,0,-CUMIPMT($D35/12,$C35,$B35,P36,P37,0)))</f>
        <v>0</v>
      </c>
      <c r="V35" s="188"/>
      <c r="W35" s="188"/>
      <c r="X35" s="267">
        <f>IF($C35&lt;V36,0,IF($D35=0,0,-CUMPRINC($D35/12,$C35,$B35,V36,V37,0)))</f>
        <v>0</v>
      </c>
      <c r="Y35" s="188"/>
      <c r="Z35" s="188">
        <f>T35-X35</f>
        <v>0</v>
      </c>
      <c r="AA35" s="267">
        <f>IF($C35&lt;V36,0,IF($D35=0,0,-CUMIPMT($D35/12,$C35,$B35,V36,V37,0)))</f>
        <v>0</v>
      </c>
      <c r="AB35" s="188"/>
      <c r="AC35" s="188"/>
      <c r="AD35" s="267">
        <f>IF($C35&lt;AB36,0,IF($D35=0,0,-CUMPRINC($D35/12,$C35,$B35,AB36,AB37,0)))</f>
        <v>0</v>
      </c>
      <c r="AE35" s="188"/>
      <c r="AF35" s="188">
        <f>Z35-AD35</f>
        <v>0</v>
      </c>
      <c r="AG35" s="271">
        <f>IF($C35&lt;AB36,0,IF($D35=0,0,-CUMIPMT($D35/12,$C35,$B35,AB36,AB37,0)))</f>
        <v>0</v>
      </c>
      <c r="AH35" s="188"/>
      <c r="AI35" s="188"/>
      <c r="AJ35" s="267">
        <f>IF($C35&lt;AH36,0,IF($D35=0,0,-CUMPRINC($D35/12,$C35,$B35,AH36,AH37,0)))</f>
        <v>0</v>
      </c>
      <c r="AK35" s="188"/>
      <c r="AL35" s="188">
        <f>AF35-AJ35</f>
        <v>0</v>
      </c>
      <c r="AM35" s="271">
        <f>IF($C35&lt;AH36,0,IF($D35=0,0,-CUMIPMT($D35/12,$C35,$B35,AH36,AH37,0)))</f>
        <v>0</v>
      </c>
    </row>
    <row r="36" spans="1:39">
      <c r="A36" s="207" t="s">
        <v>77</v>
      </c>
      <c r="F36" s="102"/>
      <c r="J36" s="40"/>
      <c r="K36" s="40"/>
      <c r="L36" s="40"/>
      <c r="M36" s="40"/>
      <c r="N36" s="40"/>
      <c r="O36" s="40"/>
      <c r="P36" s="40">
        <v>1</v>
      </c>
      <c r="Q36" s="110"/>
      <c r="R36" s="40"/>
      <c r="S36" s="40"/>
      <c r="T36" s="40"/>
      <c r="U36" s="40"/>
      <c r="V36" s="40">
        <v>13</v>
      </c>
      <c r="W36" s="110"/>
      <c r="X36" s="40"/>
      <c r="Y36" s="40"/>
      <c r="Z36" s="40"/>
      <c r="AA36" s="40"/>
      <c r="AB36" s="90">
        <v>25</v>
      </c>
      <c r="AH36" s="90">
        <v>37</v>
      </c>
    </row>
    <row r="37" spans="1:39" ht="12.9" thickBot="1">
      <c r="A37" s="207" t="s">
        <v>78</v>
      </c>
      <c r="F37" s="102"/>
      <c r="J37" s="40"/>
      <c r="K37" s="40"/>
      <c r="L37" s="40"/>
      <c r="M37" s="40"/>
      <c r="N37" s="40"/>
      <c r="O37" s="40"/>
      <c r="P37" s="40">
        <v>12</v>
      </c>
      <c r="Q37" s="110"/>
      <c r="R37" s="40"/>
      <c r="S37" s="40"/>
      <c r="T37" s="40"/>
      <c r="U37" s="40"/>
      <c r="V37" s="40">
        <v>24</v>
      </c>
      <c r="W37" s="110"/>
      <c r="X37" s="40"/>
      <c r="Y37" s="40"/>
      <c r="Z37" s="40"/>
      <c r="AA37" s="40"/>
      <c r="AB37" s="90">
        <v>36</v>
      </c>
      <c r="AH37" s="90">
        <v>48</v>
      </c>
    </row>
    <row r="38" spans="1:39">
      <c r="A38" s="181" t="s">
        <v>81</v>
      </c>
      <c r="B38" s="40">
        <f>'2. T7 LÅN'!C35</f>
        <v>0</v>
      </c>
      <c r="C38" s="88">
        <f>'2. T7 LÅN'!D35*12</f>
        <v>0</v>
      </c>
      <c r="D38" s="205">
        <f>'2. T7 LÅN'!E35</f>
        <v>0</v>
      </c>
      <c r="F38" s="102"/>
      <c r="J38" s="40"/>
      <c r="K38" s="40"/>
      <c r="L38" s="40"/>
      <c r="M38" s="40"/>
      <c r="N38" s="40"/>
      <c r="O38" s="40"/>
      <c r="P38" s="40"/>
      <c r="Q38" s="110"/>
      <c r="R38" s="40"/>
      <c r="S38" s="40"/>
      <c r="T38" s="40"/>
      <c r="U38" s="40"/>
      <c r="V38" s="40">
        <f>'2. T7 LÅN'!L35</f>
        <v>0</v>
      </c>
      <c r="W38" s="110"/>
      <c r="X38" s="267">
        <f>IF($C38&lt;V39,0,IF($D38=0,0,-CUMPRINC($D38/12,$C38,$B38,V39,V40,0)))</f>
        <v>0</v>
      </c>
      <c r="Y38" s="188"/>
      <c r="Z38" s="188">
        <f>V38-X38</f>
        <v>0</v>
      </c>
      <c r="AA38" s="267">
        <f>IF($C38&lt;V39,0,IF($D38=0,0,-CUMIPMT($D38/12,$C38,$B38,V39,V40,0)))</f>
        <v>0</v>
      </c>
      <c r="AB38" s="188"/>
      <c r="AC38" s="188"/>
      <c r="AD38" s="267">
        <f>IF($C38&lt;AB39,0,IF($D38=0,0,-CUMPRINC($D38/12,$C38,$B38,AB39,AB40,0)))</f>
        <v>0</v>
      </c>
      <c r="AE38" s="188"/>
      <c r="AF38" s="188">
        <f>Z38-AD38</f>
        <v>0</v>
      </c>
      <c r="AG38" s="271">
        <f>IF($C38&lt;AB39,0,IF($D38=0,0,-CUMIPMT($D38/12,$C38,$B38,AB39,AB40,0)))</f>
        <v>0</v>
      </c>
      <c r="AH38" s="188"/>
      <c r="AI38" s="188"/>
      <c r="AJ38" s="267">
        <f>IF($C38&lt;AH39,0,IF($D38=0,0,-CUMPRINC($D38/12,$C38,$B38,AH39,AH40,0)))</f>
        <v>0</v>
      </c>
      <c r="AK38" s="188"/>
      <c r="AL38" s="188">
        <f>AF38-AJ38</f>
        <v>0</v>
      </c>
      <c r="AM38" s="271">
        <f>IF($C38&lt;AH39,0,IF($D38=0,0,-CUMIPMT($D38/12,$C38,$B38,AH39,AH40,0)))</f>
        <v>0</v>
      </c>
    </row>
    <row r="39" spans="1:39">
      <c r="A39" s="207" t="s">
        <v>77</v>
      </c>
      <c r="F39" s="102"/>
      <c r="J39" s="40"/>
      <c r="K39" s="40"/>
      <c r="L39" s="40"/>
      <c r="M39" s="40"/>
      <c r="N39" s="40"/>
      <c r="O39" s="40"/>
      <c r="P39" s="40"/>
      <c r="Q39" s="110"/>
      <c r="R39" s="40"/>
      <c r="S39" s="40"/>
      <c r="T39" s="40"/>
      <c r="U39" s="40"/>
      <c r="V39" s="40">
        <v>1</v>
      </c>
      <c r="W39" s="110"/>
      <c r="X39" s="40"/>
      <c r="Y39" s="40"/>
      <c r="Z39" s="40"/>
      <c r="AA39" s="40"/>
      <c r="AB39" s="40">
        <v>13</v>
      </c>
      <c r="AH39" s="40">
        <v>25</v>
      </c>
    </row>
    <row r="40" spans="1:39" ht="12.9" thickBot="1">
      <c r="A40" s="207" t="s">
        <v>78</v>
      </c>
      <c r="F40" s="102"/>
      <c r="J40" s="40"/>
      <c r="K40" s="40"/>
      <c r="L40" s="40"/>
      <c r="M40" s="40"/>
      <c r="N40" s="40"/>
      <c r="O40" s="40"/>
      <c r="P40" s="40"/>
      <c r="Q40" s="110"/>
      <c r="R40" s="40"/>
      <c r="S40" s="40"/>
      <c r="T40" s="40"/>
      <c r="U40" s="40"/>
      <c r="V40" s="40">
        <v>12</v>
      </c>
      <c r="W40" s="110"/>
      <c r="X40" s="40"/>
      <c r="Y40" s="40"/>
      <c r="Z40" s="40"/>
      <c r="AA40" s="40"/>
      <c r="AB40" s="40">
        <v>24</v>
      </c>
      <c r="AH40" s="40">
        <v>36</v>
      </c>
    </row>
    <row r="41" spans="1:39">
      <c r="A41" s="181" t="s">
        <v>92</v>
      </c>
      <c r="B41" s="40">
        <f>'2. T7 LÅN'!C36</f>
        <v>0</v>
      </c>
      <c r="C41" s="40">
        <f>'2. T7 LÅN'!D36*12</f>
        <v>0</v>
      </c>
      <c r="D41" s="205">
        <f>'2. T7 LÅN'!E36</f>
        <v>0</v>
      </c>
      <c r="F41" s="102"/>
      <c r="J41" s="40"/>
      <c r="K41" s="40"/>
      <c r="L41" s="40"/>
      <c r="M41" s="40"/>
      <c r="N41" s="40"/>
      <c r="O41" s="40"/>
      <c r="P41" s="40"/>
      <c r="Q41" s="110"/>
      <c r="R41" s="40"/>
      <c r="S41" s="40"/>
      <c r="T41" s="40"/>
      <c r="U41" s="40"/>
      <c r="V41" s="40">
        <f>'2. T7 LÅN'!L38</f>
        <v>0</v>
      </c>
      <c r="W41" s="110"/>
      <c r="X41" s="188">
        <f>IF($D41=0,0,IF(V41=0,0,-CUMPRINC($D41/12,$C41,$B41,V42,V43,0)))</f>
        <v>0</v>
      </c>
      <c r="Y41" s="188"/>
      <c r="Z41" s="188">
        <f>V41-X41</f>
        <v>0</v>
      </c>
      <c r="AA41" s="188">
        <f>IF($D41=0,0,IF($V41=0,0,-CUMIPMT($D41/12,$C41,$B41,V42,V43,0)))</f>
        <v>0</v>
      </c>
      <c r="AB41" s="188">
        <f>'2. T7 LÅN'!O36</f>
        <v>0</v>
      </c>
      <c r="AC41" s="188"/>
      <c r="AD41" s="267">
        <f>IF($C41&lt;AB42,0,IF($D41=0,0,-CUMPRINC($D41/12,$C41,$B41,AB42,AB43,0)))</f>
        <v>0</v>
      </c>
      <c r="AE41" s="188"/>
      <c r="AF41" s="188">
        <f>AB41-AD41</f>
        <v>0</v>
      </c>
      <c r="AG41" s="271">
        <f>IF($C41&lt;AB42,0,IF($D41=0,0,-CUMIPMT($D41/12,$C41,$B41,AB42,AB43,0)))</f>
        <v>0</v>
      </c>
      <c r="AH41" s="188"/>
      <c r="AI41" s="188"/>
      <c r="AJ41" s="267">
        <f>IF($C41&lt;AH42,0,IF($D41=0,0,-CUMPRINC($D41/12,$C41,$B41,AH42,AH43,0)))</f>
        <v>0</v>
      </c>
      <c r="AK41" s="188"/>
      <c r="AL41" s="188">
        <f>AF41-AJ41</f>
        <v>0</v>
      </c>
      <c r="AM41" s="271">
        <f>IF($C41&lt;AH42,0,IF($D41=0,0,-CUMIPMT($D41/12,$C41,$B41,AH42,AH43,0)))</f>
        <v>0</v>
      </c>
    </row>
    <row r="42" spans="1:39">
      <c r="A42" s="207" t="s">
        <v>77</v>
      </c>
      <c r="F42" s="102"/>
      <c r="J42" s="40"/>
      <c r="K42" s="40"/>
      <c r="L42" s="40"/>
      <c r="M42" s="40"/>
      <c r="N42" s="40"/>
      <c r="O42" s="40"/>
      <c r="P42" s="40"/>
      <c r="Q42" s="110"/>
      <c r="R42" s="40"/>
      <c r="S42" s="40"/>
      <c r="T42" s="40"/>
      <c r="U42" s="40"/>
      <c r="V42" s="40"/>
      <c r="W42" s="110"/>
      <c r="X42" s="40"/>
      <c r="Y42" s="40"/>
      <c r="Z42" s="40"/>
      <c r="AA42" s="40"/>
      <c r="AB42" s="40">
        <v>1</v>
      </c>
      <c r="AH42" s="40">
        <v>13</v>
      </c>
    </row>
    <row r="43" spans="1:39">
      <c r="A43" s="207" t="s">
        <v>78</v>
      </c>
      <c r="F43" s="102"/>
      <c r="J43" s="40"/>
      <c r="K43" s="40"/>
      <c r="L43" s="40"/>
      <c r="M43" s="40"/>
      <c r="N43" s="40"/>
      <c r="O43" s="40"/>
      <c r="P43" s="40"/>
      <c r="Q43" s="110"/>
      <c r="R43" s="40"/>
      <c r="S43" s="40"/>
      <c r="T43" s="40"/>
      <c r="U43" s="40"/>
      <c r="V43" s="40"/>
      <c r="W43" s="110"/>
      <c r="X43" s="40"/>
      <c r="Y43" s="40"/>
      <c r="Z43" s="40"/>
      <c r="AA43" s="40"/>
      <c r="AB43" s="40">
        <v>12</v>
      </c>
      <c r="AH43" s="40">
        <v>24</v>
      </c>
    </row>
    <row r="44" spans="1:39" s="2" customFormat="1" ht="12.9" thickBot="1">
      <c r="A44" s="218" t="s">
        <v>85</v>
      </c>
      <c r="B44" s="219"/>
      <c r="C44" s="220"/>
      <c r="D44" s="219"/>
      <c r="E44" s="219"/>
      <c r="F44" s="221"/>
      <c r="G44" s="219"/>
      <c r="H44" s="219"/>
      <c r="I44" s="219"/>
      <c r="J44" s="301">
        <f>J32+J35+J38+J41</f>
        <v>0</v>
      </c>
      <c r="K44" s="301"/>
      <c r="L44" s="301">
        <f>SUM(L32:L40)</f>
        <v>0</v>
      </c>
      <c r="M44" s="301"/>
      <c r="N44" s="301">
        <f>SUM(N32:N40)</f>
        <v>0</v>
      </c>
      <c r="O44" s="301">
        <f>SUM(O32:O40)</f>
        <v>0</v>
      </c>
      <c r="P44" s="301">
        <f>P32+P35+P38+P41</f>
        <v>0</v>
      </c>
      <c r="Q44" s="301"/>
      <c r="R44" s="301">
        <f>SUM(R32:R40)</f>
        <v>0</v>
      </c>
      <c r="S44" s="301"/>
      <c r="T44" s="301">
        <f>SUM(T32:T40)</f>
        <v>0</v>
      </c>
      <c r="U44" s="301">
        <f>SUM(U32:U40)</f>
        <v>0</v>
      </c>
      <c r="V44" s="301">
        <f>V32+V35+V38+V41</f>
        <v>0</v>
      </c>
      <c r="W44" s="301"/>
      <c r="X44" s="301">
        <f>SUM(X32:X41)</f>
        <v>0</v>
      </c>
      <c r="Y44" s="301"/>
      <c r="Z44" s="301">
        <f>SUM(Z32:Z40)</f>
        <v>0</v>
      </c>
      <c r="AA44" s="301">
        <f>SUM(AA32:AA40)</f>
        <v>0</v>
      </c>
      <c r="AB44" s="301">
        <f>AB32+AB35+AB38+AB41</f>
        <v>0</v>
      </c>
      <c r="AC44" s="301"/>
      <c r="AD44" s="301">
        <f>AD32+AD35+AD38+AD41</f>
        <v>0</v>
      </c>
      <c r="AE44" s="301"/>
      <c r="AF44" s="301">
        <f>AF32+AF35+AF38+AF41</f>
        <v>0</v>
      </c>
      <c r="AG44" s="301">
        <f>AG32+AG35+AG38+AG41</f>
        <v>0</v>
      </c>
      <c r="AH44" s="301">
        <f>AH32+AH35+AH38+AH41</f>
        <v>0</v>
      </c>
      <c r="AI44" s="301"/>
      <c r="AJ44" s="301">
        <f>AJ32+AJ35+AJ38+AJ41</f>
        <v>0</v>
      </c>
      <c r="AK44" s="301"/>
      <c r="AL44" s="301">
        <f>AL32+AL35+AL38+AL41</f>
        <v>0</v>
      </c>
      <c r="AM44" s="301">
        <f>AM32+AM35+AM38+AM41</f>
        <v>0</v>
      </c>
    </row>
    <row r="45" spans="1:39" s="2" customFormat="1" ht="12.9" thickBot="1">
      <c r="A45" s="181"/>
      <c r="C45" s="296"/>
      <c r="E45" s="2154" t="str">
        <f>E4</f>
        <v xml:space="preserve"> </v>
      </c>
      <c r="F45" s="2154"/>
      <c r="G45" s="2154"/>
      <c r="H45" s="2154"/>
      <c r="I45" s="2155"/>
      <c r="J45" s="2133">
        <f>J4</f>
        <v>2025</v>
      </c>
      <c r="K45" s="2134"/>
      <c r="L45" s="2134"/>
      <c r="M45" s="2134"/>
      <c r="N45" s="2134"/>
      <c r="O45" s="2135"/>
      <c r="P45" s="2133">
        <f>P4</f>
        <v>2026</v>
      </c>
      <c r="Q45" s="2134"/>
      <c r="R45" s="2134"/>
      <c r="S45" s="2134"/>
      <c r="T45" s="2134"/>
      <c r="U45" s="2135"/>
      <c r="V45" s="2133">
        <f>V4</f>
        <v>2027</v>
      </c>
      <c r="W45" s="2134"/>
      <c r="X45" s="2134"/>
      <c r="Y45" s="2134"/>
      <c r="Z45" s="2134"/>
      <c r="AA45" s="2135"/>
      <c r="AB45" s="2133">
        <f>AB4</f>
        <v>2028</v>
      </c>
      <c r="AC45" s="2134"/>
      <c r="AD45" s="2134"/>
      <c r="AE45" s="2134"/>
      <c r="AF45" s="2134"/>
      <c r="AG45" s="2135"/>
      <c r="AH45" s="2133">
        <f>AH4</f>
        <v>2029</v>
      </c>
      <c r="AI45" s="2134"/>
      <c r="AJ45" s="2134"/>
      <c r="AK45" s="2134"/>
      <c r="AL45" s="2134"/>
      <c r="AM45" s="2135"/>
    </row>
    <row r="46" spans="1:39" s="2" customFormat="1">
      <c r="A46" s="181"/>
      <c r="C46" s="296"/>
      <c r="E46" s="295"/>
      <c r="F46" s="188"/>
      <c r="G46" s="6" t="s">
        <v>26</v>
      </c>
      <c r="H46" s="295"/>
      <c r="I46" s="295"/>
      <c r="J46" s="308"/>
      <c r="K46" s="267"/>
      <c r="L46" s="309" t="s">
        <v>26</v>
      </c>
      <c r="M46" s="310"/>
      <c r="N46" s="310"/>
      <c r="O46" s="271"/>
      <c r="P46" s="308"/>
      <c r="Q46" s="267"/>
      <c r="R46" s="309" t="s">
        <v>26</v>
      </c>
      <c r="S46" s="310"/>
      <c r="T46" s="310"/>
      <c r="U46" s="271"/>
      <c r="V46" s="308"/>
      <c r="W46" s="267"/>
      <c r="X46" s="309" t="s">
        <v>26</v>
      </c>
      <c r="Y46" s="310"/>
      <c r="Z46" s="310"/>
      <c r="AA46" s="271"/>
      <c r="AB46" s="308"/>
      <c r="AC46" s="267"/>
      <c r="AD46" s="309" t="s">
        <v>26</v>
      </c>
      <c r="AE46" s="310"/>
      <c r="AF46" s="310"/>
      <c r="AG46" s="271"/>
      <c r="AH46" s="308"/>
      <c r="AI46" s="267"/>
      <c r="AJ46" s="309" t="s">
        <v>26</v>
      </c>
      <c r="AK46" s="310"/>
      <c r="AL46" s="310"/>
      <c r="AM46" s="271"/>
    </row>
    <row r="47" spans="1:39" s="2" customFormat="1" ht="12.9" thickBot="1">
      <c r="A47" s="1758" t="s">
        <v>101</v>
      </c>
      <c r="C47" s="296"/>
      <c r="E47" s="300" t="s">
        <v>30</v>
      </c>
      <c r="F47" s="188"/>
      <c r="G47" s="6" t="s">
        <v>100</v>
      </c>
      <c r="H47" s="92" t="s">
        <v>98</v>
      </c>
      <c r="I47" s="92" t="s">
        <v>99</v>
      </c>
      <c r="J47" s="311"/>
      <c r="K47" s="312"/>
      <c r="L47" s="313" t="s">
        <v>100</v>
      </c>
      <c r="M47" s="314" t="s">
        <v>98</v>
      </c>
      <c r="N47" s="314" t="s">
        <v>99</v>
      </c>
      <c r="O47" s="315"/>
      <c r="P47" s="316" t="s">
        <v>30</v>
      </c>
      <c r="Q47" s="312"/>
      <c r="R47" s="313" t="s">
        <v>100</v>
      </c>
      <c r="S47" s="314" t="s">
        <v>98</v>
      </c>
      <c r="T47" s="314" t="s">
        <v>99</v>
      </c>
      <c r="U47" s="315"/>
      <c r="V47" s="316" t="s">
        <v>30</v>
      </c>
      <c r="W47" s="312"/>
      <c r="X47" s="313" t="s">
        <v>100</v>
      </c>
      <c r="Y47" s="314" t="s">
        <v>98</v>
      </c>
      <c r="Z47" s="314" t="s">
        <v>99</v>
      </c>
      <c r="AA47" s="315"/>
      <c r="AB47" s="316" t="s">
        <v>30</v>
      </c>
      <c r="AC47" s="312"/>
      <c r="AD47" s="313" t="s">
        <v>100</v>
      </c>
      <c r="AE47" s="314" t="s">
        <v>98</v>
      </c>
      <c r="AF47" s="314" t="s">
        <v>99</v>
      </c>
      <c r="AG47" s="315"/>
      <c r="AH47" s="316" t="s">
        <v>30</v>
      </c>
      <c r="AI47" s="312"/>
      <c r="AJ47" s="313" t="s">
        <v>100</v>
      </c>
      <c r="AK47" s="314" t="s">
        <v>98</v>
      </c>
      <c r="AL47" s="314" t="s">
        <v>99</v>
      </c>
      <c r="AM47" s="315"/>
    </row>
    <row r="48" spans="1:39" s="2" customFormat="1">
      <c r="A48" s="181" t="s">
        <v>76</v>
      </c>
      <c r="C48" s="296"/>
      <c r="F48" s="206"/>
      <c r="H48" s="306">
        <f>L28</f>
        <v>0</v>
      </c>
      <c r="I48" s="188">
        <f>B28-H48</f>
        <v>0</v>
      </c>
      <c r="J48" s="305"/>
      <c r="K48" s="306"/>
      <c r="L48" s="306"/>
      <c r="M48" s="306">
        <f>R28</f>
        <v>0</v>
      </c>
      <c r="N48" s="306">
        <f>T28</f>
        <v>0</v>
      </c>
      <c r="O48" s="307"/>
      <c r="P48" s="306"/>
      <c r="Q48" s="306"/>
      <c r="R48" s="306">
        <f>R32</f>
        <v>0</v>
      </c>
      <c r="S48" s="306">
        <f>X28</f>
        <v>0</v>
      </c>
      <c r="T48" s="306">
        <f>Z28</f>
        <v>0</v>
      </c>
      <c r="U48" s="307"/>
      <c r="V48" s="305"/>
      <c r="W48" s="306"/>
      <c r="X48" s="306"/>
      <c r="Y48" s="306">
        <f>AD28</f>
        <v>0</v>
      </c>
      <c r="Z48" s="306">
        <f>AF28</f>
        <v>0</v>
      </c>
      <c r="AA48" s="307"/>
      <c r="AB48" s="305"/>
      <c r="AC48" s="306"/>
      <c r="AD48" s="306"/>
      <c r="AE48" s="306">
        <f>AJ28</f>
        <v>0</v>
      </c>
      <c r="AF48" s="306">
        <f>AL28</f>
        <v>0</v>
      </c>
      <c r="AG48" s="307"/>
      <c r="AH48" s="305"/>
      <c r="AI48" s="306"/>
      <c r="AJ48" s="306"/>
      <c r="AK48" s="306"/>
      <c r="AL48" s="306"/>
      <c r="AM48" s="307"/>
    </row>
    <row r="49" spans="1:39" s="2" customFormat="1">
      <c r="A49" s="181" t="s">
        <v>79</v>
      </c>
      <c r="C49" s="296"/>
      <c r="F49" s="206"/>
      <c r="J49" s="302">
        <f>J32</f>
        <v>0</v>
      </c>
      <c r="K49" s="222"/>
      <c r="L49" s="222">
        <f>L32</f>
        <v>0</v>
      </c>
      <c r="M49" s="222">
        <f>IF(N32&gt;0,R32,0)</f>
        <v>0</v>
      </c>
      <c r="N49" s="222"/>
      <c r="O49" s="303"/>
      <c r="P49" s="222">
        <f>P32</f>
        <v>0</v>
      </c>
      <c r="Q49" s="222"/>
      <c r="R49" s="222">
        <f>IF(P49&gt;0,R32,0)</f>
        <v>0</v>
      </c>
      <c r="S49" s="222">
        <f>IF(N32&gt;0,X32,0)</f>
        <v>0</v>
      </c>
      <c r="T49" s="306">
        <f>Z32</f>
        <v>0</v>
      </c>
      <c r="U49" s="303"/>
      <c r="V49" s="222">
        <f>V32</f>
        <v>0</v>
      </c>
      <c r="W49" s="222"/>
      <c r="X49" s="222">
        <f>IF(V49&gt;0,X32,0)</f>
        <v>0</v>
      </c>
      <c r="Y49" s="222">
        <f>IF(T32&gt;0,AD32,0)</f>
        <v>0</v>
      </c>
      <c r="Z49" s="306">
        <f>AF32</f>
        <v>0</v>
      </c>
      <c r="AA49" s="303"/>
      <c r="AB49" s="222">
        <f>AB32</f>
        <v>0</v>
      </c>
      <c r="AC49" s="222"/>
      <c r="AD49" s="222">
        <f>IF(AB49&gt;0,AD32,0)</f>
        <v>0</v>
      </c>
      <c r="AE49" s="222">
        <f>IF(Z32&gt;0,AJ32,0)</f>
        <v>0</v>
      </c>
      <c r="AF49" s="306">
        <f>AL32</f>
        <v>0</v>
      </c>
      <c r="AG49" s="303"/>
      <c r="AH49" s="222">
        <f>AH32</f>
        <v>0</v>
      </c>
      <c r="AI49" s="222"/>
      <c r="AJ49" s="222">
        <f>IF(AH49&gt;0,AJ32,0)</f>
        <v>0</v>
      </c>
      <c r="AK49" s="222">
        <f>IF(AF32&gt;0,AP32,0)</f>
        <v>0</v>
      </c>
      <c r="AL49" s="306">
        <f>AR32</f>
        <v>0</v>
      </c>
      <c r="AM49" s="303"/>
    </row>
    <row r="50" spans="1:39" s="2" customFormat="1">
      <c r="A50" s="181" t="s">
        <v>80</v>
      </c>
      <c r="C50" s="296"/>
      <c r="F50" s="206"/>
      <c r="J50" s="302"/>
      <c r="K50" s="222"/>
      <c r="L50" s="222"/>
      <c r="M50" s="222">
        <f>IF(N35&gt;0,R35,0)</f>
        <v>0</v>
      </c>
      <c r="N50" s="222"/>
      <c r="O50" s="303"/>
      <c r="P50" s="222">
        <f>P35</f>
        <v>0</v>
      </c>
      <c r="Q50" s="222"/>
      <c r="R50" s="222">
        <f>IF(P50&gt;0,R35,0)</f>
        <v>0</v>
      </c>
      <c r="S50" s="222">
        <f>IF(N35&gt;0,X35,0)</f>
        <v>0</v>
      </c>
      <c r="T50" s="306">
        <f>Z35</f>
        <v>0</v>
      </c>
      <c r="U50" s="303"/>
      <c r="V50" s="222">
        <f>V35</f>
        <v>0</v>
      </c>
      <c r="W50" s="222"/>
      <c r="X50" s="222">
        <f>IF(V50&gt;0,X35,0)</f>
        <v>0</v>
      </c>
      <c r="Y50" s="222">
        <f>IF(T35&gt;0,AD35,0)</f>
        <v>0</v>
      </c>
      <c r="Z50" s="306">
        <f>AF35</f>
        <v>0</v>
      </c>
      <c r="AA50" s="303"/>
      <c r="AB50" s="222">
        <f>AB35</f>
        <v>0</v>
      </c>
      <c r="AC50" s="222"/>
      <c r="AD50" s="222">
        <f>IF(AB50&gt;0,AD35,0)</f>
        <v>0</v>
      </c>
      <c r="AE50" s="222">
        <f>IF(Z35&gt;0,AJ35,0)</f>
        <v>0</v>
      </c>
      <c r="AF50" s="306">
        <f>AL35</f>
        <v>0</v>
      </c>
      <c r="AG50" s="303"/>
      <c r="AH50" s="222">
        <f>AH35</f>
        <v>0</v>
      </c>
      <c r="AI50" s="222"/>
      <c r="AJ50" s="222">
        <f>IF(AH50&gt;0,AJ35,0)</f>
        <v>0</v>
      </c>
      <c r="AK50" s="222">
        <f>IF(AF35&gt;0,AP35,0)</f>
        <v>0</v>
      </c>
      <c r="AL50" s="306">
        <f>AR35</f>
        <v>0</v>
      </c>
      <c r="AM50" s="303"/>
    </row>
    <row r="51" spans="1:39" s="2" customFormat="1">
      <c r="A51" s="181" t="s">
        <v>81</v>
      </c>
      <c r="C51" s="296"/>
      <c r="F51" s="206"/>
      <c r="J51" s="302"/>
      <c r="K51" s="222"/>
      <c r="L51" s="222"/>
      <c r="M51" s="222">
        <f>IF(N38&gt;0,R38,0)</f>
        <v>0</v>
      </c>
      <c r="N51" s="222"/>
      <c r="O51" s="303"/>
      <c r="P51" s="222">
        <f>P38</f>
        <v>0</v>
      </c>
      <c r="Q51" s="222"/>
      <c r="R51" s="222">
        <f>IF(P51&gt;0,R38,0)</f>
        <v>0</v>
      </c>
      <c r="S51" s="222">
        <f>IF(N38&gt;0,X38,0)</f>
        <v>0</v>
      </c>
      <c r="T51" s="306">
        <f>Z38</f>
        <v>0</v>
      </c>
      <c r="U51" s="303"/>
      <c r="V51" s="222">
        <f>V38</f>
        <v>0</v>
      </c>
      <c r="W51" s="222"/>
      <c r="X51" s="222">
        <f>IF(V51&gt;0,X38,0)</f>
        <v>0</v>
      </c>
      <c r="Y51" s="222">
        <f>IF(T38&gt;0,AD38,0)</f>
        <v>0</v>
      </c>
      <c r="Z51" s="306">
        <f>AF38</f>
        <v>0</v>
      </c>
      <c r="AA51" s="303"/>
      <c r="AB51" s="222">
        <f>AB38</f>
        <v>0</v>
      </c>
      <c r="AC51" s="222"/>
      <c r="AD51" s="222">
        <f>IF(AB51&gt;0,AD38,0)</f>
        <v>0</v>
      </c>
      <c r="AE51" s="222">
        <f>IF(Z38&gt;0,AJ38,0)</f>
        <v>0</v>
      </c>
      <c r="AF51" s="306">
        <f>AL38</f>
        <v>0</v>
      </c>
      <c r="AG51" s="303"/>
      <c r="AH51" s="222">
        <f>AH38</f>
        <v>0</v>
      </c>
      <c r="AI51" s="222"/>
      <c r="AJ51" s="222">
        <f>IF(AH51&gt;0,AJ38,0)</f>
        <v>0</v>
      </c>
      <c r="AK51" s="222">
        <f>IF(AF38&gt;0,AP38,0)</f>
        <v>0</v>
      </c>
      <c r="AL51" s="306">
        <f>AR38</f>
        <v>0</v>
      </c>
      <c r="AM51" s="303"/>
    </row>
    <row r="52" spans="1:39" s="2" customFormat="1">
      <c r="A52" s="181" t="s">
        <v>92</v>
      </c>
      <c r="C52" s="296"/>
      <c r="F52" s="206"/>
      <c r="J52" s="302"/>
      <c r="K52" s="222"/>
      <c r="L52" s="222"/>
      <c r="M52" s="222">
        <f>IF(N41&gt;0,R41,0)</f>
        <v>0</v>
      </c>
      <c r="N52" s="222"/>
      <c r="O52" s="303"/>
      <c r="P52" s="222">
        <f>P41</f>
        <v>0</v>
      </c>
      <c r="Q52" s="222"/>
      <c r="R52" s="222">
        <f>IF(P52&gt;0,R41,0)</f>
        <v>0</v>
      </c>
      <c r="S52" s="222">
        <f>IF(N41&gt;0,X41,0)</f>
        <v>0</v>
      </c>
      <c r="T52" s="306">
        <f>Z41</f>
        <v>0</v>
      </c>
      <c r="U52" s="303"/>
      <c r="V52" s="222">
        <f>V41</f>
        <v>0</v>
      </c>
      <c r="W52" s="222"/>
      <c r="X52" s="222">
        <f>IF(V52&gt;0,X41,0)</f>
        <v>0</v>
      </c>
      <c r="Y52" s="222">
        <f>IF(T41&gt;0,AD41,0)</f>
        <v>0</v>
      </c>
      <c r="Z52" s="306">
        <f>AF41</f>
        <v>0</v>
      </c>
      <c r="AA52" s="303"/>
      <c r="AB52" s="222">
        <f>AB41</f>
        <v>0</v>
      </c>
      <c r="AC52" s="222"/>
      <c r="AD52" s="222">
        <f>IF(AB52&gt;0,AD41,0)</f>
        <v>0</v>
      </c>
      <c r="AE52" s="222">
        <f>IF(Z41&gt;0,AJ41,0)</f>
        <v>0</v>
      </c>
      <c r="AF52" s="306">
        <f>AL41</f>
        <v>0</v>
      </c>
      <c r="AG52" s="303"/>
      <c r="AH52" s="222">
        <f>AH41</f>
        <v>0</v>
      </c>
      <c r="AI52" s="222"/>
      <c r="AJ52" s="222">
        <f>IF(AH52&gt;0,AJ41,0)</f>
        <v>0</v>
      </c>
      <c r="AK52" s="222">
        <f>IF(AF41&gt;0,AP41,0)</f>
        <v>0</v>
      </c>
      <c r="AL52" s="306">
        <f>AR41</f>
        <v>0</v>
      </c>
      <c r="AM52" s="303"/>
    </row>
    <row r="53" spans="1:39" s="2" customFormat="1">
      <c r="A53" s="181"/>
      <c r="C53" s="296"/>
      <c r="F53" s="206"/>
      <c r="J53" s="301">
        <f>SUM(J48:J52)</f>
        <v>0</v>
      </c>
      <c r="K53" s="301"/>
      <c r="L53" s="301">
        <f>SUM(L48:L52)</f>
        <v>0</v>
      </c>
      <c r="M53" s="301">
        <f>SUM(M48:M52)</f>
        <v>0</v>
      </c>
      <c r="N53" s="301">
        <f>SUM(N48:N52)</f>
        <v>0</v>
      </c>
      <c r="O53" s="304"/>
      <c r="P53" s="301">
        <f>SUM(P48:P52)</f>
        <v>0</v>
      </c>
      <c r="Q53" s="301"/>
      <c r="R53" s="301">
        <f>SUM(R48:R52)</f>
        <v>0</v>
      </c>
      <c r="S53" s="301">
        <f>SUM(S48:S52)</f>
        <v>0</v>
      </c>
      <c r="T53" s="301">
        <f>SUM(T48:T52)</f>
        <v>0</v>
      </c>
      <c r="U53" s="304"/>
      <c r="V53" s="301">
        <f>SUM(V48:V52)</f>
        <v>0</v>
      </c>
      <c r="W53" s="301"/>
      <c r="X53" s="301">
        <f>SUM(X48:X52)</f>
        <v>0</v>
      </c>
      <c r="Y53" s="301">
        <f>SUM(Y48:Y52)</f>
        <v>0</v>
      </c>
      <c r="Z53" s="301">
        <f>SUM(Z48:Z52)</f>
        <v>0</v>
      </c>
      <c r="AA53" s="304"/>
      <c r="AB53" s="301">
        <f>SUM(AB48:AB52)</f>
        <v>0</v>
      </c>
      <c r="AC53" s="301"/>
      <c r="AD53" s="301">
        <f>SUM(AD48:AD52)</f>
        <v>0</v>
      </c>
      <c r="AE53" s="301">
        <f>SUM(AE48:AE52)</f>
        <v>0</v>
      </c>
      <c r="AF53" s="301">
        <f>SUM(AF48:AF52)</f>
        <v>0</v>
      </c>
      <c r="AG53" s="304"/>
      <c r="AH53" s="301">
        <f>SUM(AH48:AH52)</f>
        <v>0</v>
      </c>
      <c r="AI53" s="301"/>
      <c r="AJ53" s="301">
        <f>SUM(AJ48:AJ52)</f>
        <v>0</v>
      </c>
      <c r="AK53" s="222">
        <f>IF(AL42&gt;0,AP42,0)</f>
        <v>0</v>
      </c>
      <c r="AL53" s="301">
        <f>SUM(AL48:AL52)</f>
        <v>0</v>
      </c>
      <c r="AM53" s="304"/>
    </row>
    <row r="54" spans="1:39" s="2" customFormat="1">
      <c r="A54" s="181"/>
      <c r="C54" s="296"/>
      <c r="F54" s="206"/>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row>
    <row r="55" spans="1:39" s="2" customFormat="1">
      <c r="A55" s="181"/>
      <c r="C55" s="296"/>
      <c r="F55" s="206"/>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8"/>
      <c r="AL55" s="188"/>
      <c r="AM55" s="188"/>
    </row>
    <row r="56" spans="1:39">
      <c r="A56" s="119"/>
      <c r="B56" s="127"/>
      <c r="C56" s="128"/>
      <c r="D56" s="128"/>
      <c r="E56" s="128"/>
    </row>
    <row r="57" spans="1:39" s="2" customFormat="1">
      <c r="A57" s="30" t="s">
        <v>39</v>
      </c>
      <c r="B57" s="51">
        <f>'7. T2 RESULTATB.'!E8</f>
        <v>0</v>
      </c>
      <c r="C57" s="51"/>
      <c r="D57" s="51">
        <f>'7. T2 RESULTATB.'!G8</f>
        <v>2025</v>
      </c>
      <c r="E57" s="51"/>
      <c r="F57" s="51">
        <f>'7. T2 RESULTATB.'!I8</f>
        <v>2026</v>
      </c>
      <c r="G57" s="51"/>
      <c r="H57" s="51">
        <f>'7. T2 RESULTATB.'!K8</f>
        <v>2027</v>
      </c>
      <c r="I57" s="51"/>
      <c r="J57" s="51">
        <f>'7. T2 RESULTATB.'!M8</f>
        <v>2028</v>
      </c>
      <c r="L57" s="51"/>
      <c r="N57" s="51"/>
    </row>
    <row r="58" spans="1:39">
      <c r="A58" s="4" t="s">
        <v>38</v>
      </c>
      <c r="B58" s="2136"/>
      <c r="C58" s="2137"/>
      <c r="D58" s="2136">
        <f>'3. E1 KOSTNADER'!D47+'3. E1 KOSTNADER'!D50+'3. E1 KOSTNADER'!D53+'3. E1 KOSTNADER'!D56+'3. E1 KOSTNADER'!D57+'3. E1 KOSTNADER'!D58+'3. E1 KOSTNADER'!D59+'3. E1 KOSTNADER'!D60+'3. E1 KOSTNADER'!D61+'3. E1 KOSTNADER'!D62+'3. E1 KOSTNADER'!D65+'3. E1 KOSTNADER'!D72+'3. E1 KOSTNADER'!D78+'3. E1 KOSTNADER'!D79+'3. E1 KOSTNADER'!D80+'3. E1 KOSTNADER'!D82+'3. E1 KOSTNADER'!D83+'3. E1 KOSTNADER'!D95+'3. E1 KOSTNADER'!D96+'3. E1 KOSTNADER'!D102+'3. E1 KOSTNADER'!D107+'3. E1 KOSTNADER'!D116+'3. E1 KOSTNADER'!D117+'3. E1 KOSTNADER'!D118+'3. E1 KOSTNADER'!D124+'3. E1 KOSTNADER'!D125+'3. E1 KOSTNADER'!D126+'3. E1 KOSTNADER'!D129</f>
        <v>0</v>
      </c>
      <c r="E58" s="2137"/>
      <c r="F58" s="2136">
        <f>'3. E1 KOSTNADER'!F47+'3. E1 KOSTNADER'!F50+'3. E1 KOSTNADER'!F53+'3. E1 KOSTNADER'!F56+'3. E1 KOSTNADER'!F57+'3. E1 KOSTNADER'!F58+'3. E1 KOSTNADER'!F59+'3. E1 KOSTNADER'!F60+'3. E1 KOSTNADER'!F61+'3. E1 KOSTNADER'!F62+'3. E1 KOSTNADER'!F65+'3. E1 KOSTNADER'!F72+'3. E1 KOSTNADER'!F78+'3. E1 KOSTNADER'!F79+'3. E1 KOSTNADER'!F80+'3. E1 KOSTNADER'!F82+'3. E1 KOSTNADER'!F83+'3. E1 KOSTNADER'!F95+'3. E1 KOSTNADER'!F96+'3. E1 KOSTNADER'!F102+'3. E1 KOSTNADER'!F107+'3. E1 KOSTNADER'!F116+'3. E1 KOSTNADER'!F117+'3. E1 KOSTNADER'!F118+'3. E1 KOSTNADER'!F124+'3. E1 KOSTNADER'!F125+'3. E1 KOSTNADER'!F126+'3. E1 KOSTNADER'!F129</f>
        <v>0</v>
      </c>
      <c r="G58" s="2137"/>
      <c r="H58" s="2136">
        <f>'3. E1 KOSTNADER'!H47+'3. E1 KOSTNADER'!H50+'3. E1 KOSTNADER'!H53+'3. E1 KOSTNADER'!H56+'3. E1 KOSTNADER'!H57+'3. E1 KOSTNADER'!H58+'3. E1 KOSTNADER'!H59+'3. E1 KOSTNADER'!H60+'3. E1 KOSTNADER'!H61+'3. E1 KOSTNADER'!H62+'3. E1 KOSTNADER'!H65+'3. E1 KOSTNADER'!H72+'3. E1 KOSTNADER'!H78+'3. E1 KOSTNADER'!H79+'3. E1 KOSTNADER'!H80+'3. E1 KOSTNADER'!H82+'3. E1 KOSTNADER'!H83+'3. E1 KOSTNADER'!H95+'3. E1 KOSTNADER'!H96+'3. E1 KOSTNADER'!H102+'3. E1 KOSTNADER'!H107+'3. E1 KOSTNADER'!H116+'3. E1 KOSTNADER'!H117+'3. E1 KOSTNADER'!H118+'3. E1 KOSTNADER'!H124+'3. E1 KOSTNADER'!H125+'3. E1 KOSTNADER'!H126+'3. E1 KOSTNADER'!H129</f>
        <v>0</v>
      </c>
      <c r="I58" s="2137"/>
      <c r="J58" s="2136">
        <f>'3. E1 KOSTNADER'!J47+'3. E1 KOSTNADER'!J50+'3. E1 KOSTNADER'!J53+'3. E1 KOSTNADER'!J56+'3. E1 KOSTNADER'!J57+'3. E1 KOSTNADER'!J58+'3. E1 KOSTNADER'!J59+'3. E1 KOSTNADER'!J60+'3. E1 KOSTNADER'!J61+'3. E1 KOSTNADER'!J62+'3. E1 KOSTNADER'!J65+'3. E1 KOSTNADER'!J72+'3. E1 KOSTNADER'!J78+'3. E1 KOSTNADER'!J79+'3. E1 KOSTNADER'!J80+'3. E1 KOSTNADER'!J82+'3. E1 KOSTNADER'!J83+'3. E1 KOSTNADER'!J95+'3. E1 KOSTNADER'!J96+'3. E1 KOSTNADER'!J102+'3. E1 KOSTNADER'!J107+'3. E1 KOSTNADER'!J116+'3. E1 KOSTNADER'!J117+'3. E1 KOSTNADER'!J118+'3. E1 KOSTNADER'!J124+'3. E1 KOSTNADER'!J125+'3. E1 KOSTNADER'!J126+'3. E1 KOSTNADER'!J129</f>
        <v>0</v>
      </c>
      <c r="K58" s="2137"/>
      <c r="L58" s="2136"/>
      <c r="M58" s="2137"/>
      <c r="N58" s="2136"/>
      <c r="O58" s="2137"/>
    </row>
    <row r="59" spans="1:39">
      <c r="A59" s="4" t="s">
        <v>60</v>
      </c>
      <c r="B59" s="384"/>
      <c r="C59" s="385"/>
      <c r="D59" s="2136">
        <f>D58*'8. T5 KASSABUDGET'!$F$30%</f>
        <v>0</v>
      </c>
      <c r="E59" s="2137"/>
      <c r="F59" s="2136">
        <f>F58*'8. T5 KASSABUDGET'!$F$30%</f>
        <v>0</v>
      </c>
      <c r="G59" s="2137"/>
      <c r="H59" s="2136">
        <f>H58*'8. T5 KASSABUDGET'!$F$30%</f>
        <v>0</v>
      </c>
      <c r="I59" s="2137"/>
      <c r="J59" s="2136">
        <f>J58*'8. T5 KASSABUDGET'!$F$30%</f>
        <v>0</v>
      </c>
      <c r="K59" s="2137"/>
      <c r="L59" s="2136"/>
      <c r="M59" s="2137"/>
      <c r="N59" s="2136"/>
      <c r="O59" s="2137"/>
    </row>
    <row r="60" spans="1:39">
      <c r="A60" s="4" t="s">
        <v>107</v>
      </c>
      <c r="B60" s="282"/>
      <c r="C60" s="398"/>
      <c r="D60" s="2138">
        <f>'3. E1 KOSTNADER'!D48+'3. E1 KOSTNADER'!D49+'3. E1 KOSTNADER'!D51+'3. E1 KOSTNADER'!D89+'3. E1 KOSTNADER'!D88+'3. E1 KOSTNADER'!D90+'3. E1 KOSTNADER'!D63*0.003+'3. E1 KOSTNADER'!D64+'3. E1 KOSTNADER'!D81+'3. E1 KOSTNADER'!D91+'3. E1 KOSTNADER'!D94+'3. E1 KOSTNADER'!D112+'3. E1 KOSTNADER'!D119+'3. E1 KOSTNADER'!D120+'3. E1 KOSTNADER'!D127+'3. E1 KOSTNADER'!D131</f>
        <v>0</v>
      </c>
      <c r="E60" s="2139"/>
      <c r="F60" s="2138">
        <f>'3. E1 KOSTNADER'!F48+'3. E1 KOSTNADER'!F49+'3. E1 KOSTNADER'!F51+'3. E1 KOSTNADER'!F89+'3. E1 KOSTNADER'!F88+'3. E1 KOSTNADER'!F90+'3. E1 KOSTNADER'!F63*0.003+'3. E1 KOSTNADER'!F64+'3. E1 KOSTNADER'!F81+'3. E1 KOSTNADER'!F91+'3. E1 KOSTNADER'!F94+'3. E1 KOSTNADER'!F112+'3. E1 KOSTNADER'!F119+'3. E1 KOSTNADER'!F120+'3. E1 KOSTNADER'!F127+'3. E1 KOSTNADER'!F131</f>
        <v>0</v>
      </c>
      <c r="G60" s="2139"/>
      <c r="H60" s="2138">
        <f>'3. E1 KOSTNADER'!H48+'3. E1 KOSTNADER'!H49+'3. E1 KOSTNADER'!H51+'3. E1 KOSTNADER'!H89+'3. E1 KOSTNADER'!H88+'3. E1 KOSTNADER'!H90+'3. E1 KOSTNADER'!H63*0.003+'3. E1 KOSTNADER'!H64+'3. E1 KOSTNADER'!H81+'3. E1 KOSTNADER'!H91+'3. E1 KOSTNADER'!H94+'3. E1 KOSTNADER'!H112+'3. E1 KOSTNADER'!H119+'3. E1 KOSTNADER'!H120+'3. E1 KOSTNADER'!H127+'3. E1 KOSTNADER'!H131</f>
        <v>0</v>
      </c>
      <c r="I60" s="2139"/>
      <c r="J60" s="2138">
        <f>'3. E1 KOSTNADER'!J48+'3. E1 KOSTNADER'!J49+'3. E1 KOSTNADER'!J51+'3. E1 KOSTNADER'!J89+'3. E1 KOSTNADER'!J88+'3. E1 KOSTNADER'!J90+'3. E1 KOSTNADER'!J63*0.003+'3. E1 KOSTNADER'!J64+'3. E1 KOSTNADER'!J81+'3. E1 KOSTNADER'!J91+'3. E1 KOSTNADER'!J94+'3. E1 KOSTNADER'!J112+'3. E1 KOSTNADER'!J119+'3. E1 KOSTNADER'!J120+'3. E1 KOSTNADER'!J127+'3. E1 KOSTNADER'!J131</f>
        <v>0</v>
      </c>
      <c r="K60" s="2139"/>
      <c r="L60" s="2138"/>
      <c r="M60" s="2139"/>
      <c r="N60" s="2138"/>
      <c r="O60" s="2139"/>
    </row>
    <row r="61" spans="1:39">
      <c r="A61" s="178" t="s">
        <v>108</v>
      </c>
      <c r="B61" s="396"/>
      <c r="C61" s="397"/>
      <c r="D61" s="2142">
        <f>D58-'3. E1 KOSTNADER'!D53-'3. E1 KOSTNADER'!D65-'3. E1 KOSTNADER'!D78</f>
        <v>0</v>
      </c>
      <c r="E61" s="2142"/>
      <c r="F61" s="2142">
        <f>F58-'3. E1 KOSTNADER'!F53-'3. E1 KOSTNADER'!F65-'3. E1 KOSTNADER'!F78</f>
        <v>0</v>
      </c>
      <c r="G61" s="2142"/>
      <c r="H61" s="2142">
        <f>H58-'3. E1 KOSTNADER'!H53-'3. E1 KOSTNADER'!H65-'3. E1 KOSTNADER'!H78</f>
        <v>0</v>
      </c>
      <c r="I61" s="2142"/>
      <c r="J61" s="2142">
        <f>J58-'3. E1 KOSTNADER'!J53-'3. E1 KOSTNADER'!J65-'3. E1 KOSTNADER'!J78</f>
        <v>0</v>
      </c>
      <c r="K61" s="2142"/>
      <c r="L61" s="2142"/>
      <c r="M61" s="2142"/>
      <c r="N61" s="2142"/>
      <c r="O61" s="2142"/>
    </row>
    <row r="62" spans="1:39">
      <c r="A62" s="1"/>
      <c r="B62" s="127"/>
      <c r="C62" s="128"/>
      <c r="D62" s="128"/>
      <c r="E62" s="128"/>
    </row>
    <row r="63" spans="1:39" ht="12.9" thickBot="1">
      <c r="A63" s="1"/>
      <c r="B63" s="51"/>
      <c r="C63" s="51"/>
      <c r="D63" s="51"/>
      <c r="E63" s="51"/>
      <c r="F63" s="51"/>
      <c r="G63" s="51"/>
      <c r="I63" s="34"/>
      <c r="J63" s="35"/>
      <c r="K63" s="35"/>
      <c r="L63" s="24"/>
      <c r="M63" s="35"/>
      <c r="N63" s="12"/>
      <c r="O63" s="35"/>
      <c r="P63" s="12"/>
      <c r="Q63" s="35"/>
    </row>
    <row r="64" spans="1:39">
      <c r="A64" s="210"/>
      <c r="C64" s="128"/>
      <c r="I64" s="216" t="s">
        <v>84</v>
      </c>
      <c r="J64" s="2143" t="s">
        <v>24</v>
      </c>
      <c r="K64" s="2144"/>
      <c r="L64" s="2143" t="s">
        <v>22</v>
      </c>
      <c r="M64" s="2144"/>
      <c r="N64" s="2143" t="s">
        <v>21</v>
      </c>
      <c r="O64" s="2144"/>
      <c r="P64" s="2143" t="s">
        <v>23</v>
      </c>
      <c r="Q64" s="2144"/>
      <c r="R64" s="2143" t="str">
        <f>AB3</f>
        <v>Ennuste 4</v>
      </c>
      <c r="S64" s="2144"/>
    </row>
    <row r="65" spans="1:19">
      <c r="A65" s="210"/>
      <c r="C65" s="128"/>
      <c r="D65" s="128"/>
      <c r="E65" s="128"/>
      <c r="F65" s="128"/>
      <c r="I65" s="37"/>
      <c r="J65" s="2140" t="str">
        <f>E4</f>
        <v xml:space="preserve"> </v>
      </c>
      <c r="K65" s="2141"/>
      <c r="L65" s="2140">
        <f>J4</f>
        <v>2025</v>
      </c>
      <c r="M65" s="2141"/>
      <c r="N65" s="2140">
        <f>P4</f>
        <v>2026</v>
      </c>
      <c r="O65" s="2141"/>
      <c r="P65" s="2140">
        <f>V4</f>
        <v>2027</v>
      </c>
      <c r="Q65" s="2141"/>
      <c r="R65" s="2140">
        <f>AB4</f>
        <v>2028</v>
      </c>
      <c r="S65" s="2141"/>
    </row>
    <row r="66" spans="1:19">
      <c r="A66" s="119"/>
      <c r="B66" s="127"/>
      <c r="C66" s="128"/>
      <c r="D66" s="128"/>
      <c r="E66" s="128"/>
      <c r="F66" s="128"/>
      <c r="G66" s="40"/>
      <c r="H66" s="40"/>
      <c r="I66" s="215" t="s">
        <v>83</v>
      </c>
      <c r="J66" s="217" t="e">
        <f>'3. E1 KOSTNADER'!#REF!+'3. E1 KOSTNADER'!#REF!+'3. E1 KOSTNADER'!#REF!+'3. E1 KOSTNADER'!#REF!+'3. E1 KOSTNADER'!#REF!+'3. E1 KOSTNADER'!#REF!</f>
        <v>#REF!</v>
      </c>
      <c r="K66" s="20"/>
      <c r="L66" s="217">
        <f>'3. E1 KOSTNADER'!D43+'3. E1 KOSTNADER'!D63+'3. E1 KOSTNADER'!D81+'3. E1 KOSTNADER'!D121+'3. E1 KOSTNADER'!D122+'3. E1 KOSTNADER'!D123</f>
        <v>0</v>
      </c>
      <c r="M66" s="20"/>
      <c r="N66" s="217">
        <f>'3. E1 KOSTNADER'!F43+'3. E1 KOSTNADER'!F63+'3. E1 KOSTNADER'!F81+'3. E1 KOSTNADER'!F121+'3. E1 KOSTNADER'!F122+'3. E1 KOSTNADER'!F123</f>
        <v>0</v>
      </c>
      <c r="O66" s="20"/>
      <c r="P66" s="217">
        <f>'3. E1 KOSTNADER'!H43+'3. E1 KOSTNADER'!H63+'3. E1 KOSTNADER'!H81+'3. E1 KOSTNADER'!H121+'3. E1 KOSTNADER'!H122+'3. E1 KOSTNADER'!H123</f>
        <v>0</v>
      </c>
      <c r="Q66" s="20"/>
      <c r="R66" s="217">
        <f>'3. E1 KOSTNADER'!J43+'3. E1 KOSTNADER'!J63+'3. E1 KOSTNADER'!J81+'3. E1 KOSTNADER'!J121+'3. E1 KOSTNADER'!J122+'3. E1 KOSTNADER'!J123</f>
        <v>0</v>
      </c>
    </row>
    <row r="67" spans="1:19">
      <c r="A67" s="121"/>
      <c r="B67" s="127"/>
      <c r="C67" s="128"/>
      <c r="D67" s="128"/>
      <c r="E67" s="128"/>
      <c r="F67" s="128"/>
      <c r="G67" s="128"/>
      <c r="H67" s="128"/>
      <c r="I67" s="37" t="s">
        <v>88</v>
      </c>
      <c r="J67" s="35"/>
      <c r="K67" s="35"/>
      <c r="L67" s="12">
        <f>'3. E1 KOSTNADER'!D52+'3. E1 KOSTNADER'!D78+'3. E1 KOSTNADER'!D79+'3. E1 KOSTNADER'!D80+'3. E1 KOSTNADER'!D82+'3. E1 KOSTNADER'!D72+'3. E1 KOSTNADER'!D83+'3. E1 KOSTNADER'!D95+'3. E1 KOSTNADER'!D96+'3. E1 KOSTNADER'!D102+'3. E1 KOSTNADER'!D107+'3. E1 KOSTNADER'!D116+'3. E1 KOSTNADER'!D117+'3. E1 KOSTNADER'!D118+'3. E1 KOSTNADER'!D124+'3. E1 KOSTNADER'!D125+'3. E1 KOSTNADER'!D128</f>
        <v>0</v>
      </c>
      <c r="M67" s="217"/>
      <c r="N67" s="12">
        <f>'3. E1 KOSTNADER'!F52+'3. E1 KOSTNADER'!F78+'3. E1 KOSTNADER'!F79+'3. E1 KOSTNADER'!F80+'3. E1 KOSTNADER'!F82+'3. E1 KOSTNADER'!F72+'3. E1 KOSTNADER'!F83+'3. E1 KOSTNADER'!F95+'3. E1 KOSTNADER'!F96+'3. E1 KOSTNADER'!F102+'3. E1 KOSTNADER'!F107+'3. E1 KOSTNADER'!F116+'3. E1 KOSTNADER'!F117+'3. E1 KOSTNADER'!F118+'3. E1 KOSTNADER'!F124+'3. E1 KOSTNADER'!F125+'3. E1 KOSTNADER'!F128</f>
        <v>0</v>
      </c>
      <c r="O67" s="217"/>
      <c r="P67" s="12">
        <f>'3. E1 KOSTNADER'!H52+'3. E1 KOSTNADER'!H78+'3. E1 KOSTNADER'!H79+'3. E1 KOSTNADER'!H80+'3. E1 KOSTNADER'!H82+'3. E1 KOSTNADER'!H72+'3. E1 KOSTNADER'!H83+'3. E1 KOSTNADER'!H95+'3. E1 KOSTNADER'!H96+'3. E1 KOSTNADER'!H102+'3. E1 KOSTNADER'!H107+'3. E1 KOSTNADER'!H116+'3. E1 KOSTNADER'!H117+'3. E1 KOSTNADER'!H118+'3. E1 KOSTNADER'!H124+'3. E1 KOSTNADER'!H125+'3. E1 KOSTNADER'!H128</f>
        <v>0</v>
      </c>
      <c r="Q67" s="20"/>
      <c r="R67" s="12">
        <f>'3. E1 KOSTNADER'!J52+'3. E1 KOSTNADER'!J78+'3. E1 KOSTNADER'!J79+'3. E1 KOSTNADER'!J80+'3. E1 KOSTNADER'!J82+'3. E1 KOSTNADER'!J72+'3. E1 KOSTNADER'!J83+'3. E1 KOSTNADER'!J95+'3. E1 KOSTNADER'!J96+'3. E1 KOSTNADER'!J102+'3. E1 KOSTNADER'!J107+'3. E1 KOSTNADER'!J116+'3. E1 KOSTNADER'!J117+'3. E1 KOSTNADER'!J118+'3. E1 KOSTNADER'!J124+'3. E1 KOSTNADER'!J125+'3. E1 KOSTNADER'!J128</f>
        <v>0</v>
      </c>
    </row>
    <row r="68" spans="1:19">
      <c r="A68" s="119"/>
      <c r="B68" s="127"/>
      <c r="C68" s="128"/>
      <c r="D68" s="128"/>
      <c r="E68" s="128"/>
      <c r="F68" s="128"/>
      <c r="I68" s="34"/>
      <c r="J68" s="20"/>
      <c r="K68" s="20"/>
      <c r="L68" s="11"/>
      <c r="M68" s="20"/>
      <c r="N68" s="11"/>
      <c r="O68" s="20"/>
      <c r="P68" s="11"/>
      <c r="Q68" s="20"/>
    </row>
    <row r="69" spans="1:19">
      <c r="A69" s="119"/>
      <c r="B69" s="127"/>
      <c r="C69" s="128"/>
      <c r="D69" s="128"/>
      <c r="E69" s="128"/>
      <c r="F69" s="128"/>
    </row>
    <row r="70" spans="1:19">
      <c r="A70" s="119"/>
      <c r="B70" s="127"/>
      <c r="C70" s="128"/>
      <c r="D70" s="128"/>
      <c r="E70" s="128"/>
      <c r="F70" s="128"/>
    </row>
    <row r="71" spans="1:19" s="2" customFormat="1">
      <c r="A71" s="119"/>
      <c r="B71" s="127"/>
      <c r="C71" s="128"/>
      <c r="D71" s="128"/>
      <c r="E71" s="128"/>
      <c r="F71" s="128"/>
    </row>
    <row r="72" spans="1:19">
      <c r="A72" s="119"/>
      <c r="B72" s="127"/>
      <c r="C72" s="128"/>
      <c r="D72" s="128"/>
      <c r="E72" s="128"/>
      <c r="F72" s="128"/>
    </row>
    <row r="73" spans="1:19">
      <c r="A73" s="119"/>
      <c r="B73" s="127"/>
      <c r="C73" s="128"/>
      <c r="D73" s="128"/>
      <c r="E73" s="128"/>
      <c r="F73" s="128"/>
    </row>
    <row r="74" spans="1:19">
      <c r="A74" s="119"/>
      <c r="B74" s="127"/>
      <c r="C74" s="128"/>
      <c r="D74" s="128"/>
      <c r="E74" s="128"/>
      <c r="F74" s="128"/>
    </row>
    <row r="75" spans="1:19">
      <c r="A75" s="119"/>
      <c r="B75" s="127"/>
      <c r="C75" s="128"/>
      <c r="D75" s="128"/>
      <c r="E75" s="128"/>
      <c r="F75" s="128"/>
    </row>
    <row r="76" spans="1:19">
      <c r="A76" s="119"/>
      <c r="B76" s="127"/>
      <c r="C76" s="128"/>
      <c r="D76" s="128"/>
      <c r="E76" s="128"/>
      <c r="F76" s="128"/>
    </row>
    <row r="77" spans="1:19">
      <c r="A77" s="119"/>
      <c r="B77" s="127"/>
      <c r="C77" s="128"/>
      <c r="D77" s="128"/>
      <c r="E77" s="128"/>
      <c r="F77" s="128"/>
    </row>
    <row r="78" spans="1:19">
      <c r="A78" s="119"/>
      <c r="B78" s="127"/>
      <c r="C78" s="128"/>
      <c r="D78" s="128"/>
      <c r="E78" s="128"/>
      <c r="F78" s="128"/>
    </row>
    <row r="79" spans="1:19">
      <c r="A79" s="119"/>
      <c r="B79" s="127"/>
      <c r="C79" s="128"/>
      <c r="D79" s="128"/>
      <c r="E79" s="128"/>
      <c r="F79" s="128"/>
    </row>
    <row r="80" spans="1:19">
      <c r="A80" s="119"/>
      <c r="B80" s="127"/>
      <c r="C80" s="128"/>
      <c r="D80" s="128"/>
      <c r="E80" s="128"/>
      <c r="F80" s="128"/>
    </row>
    <row r="81" spans="1:6">
      <c r="A81" s="119"/>
      <c r="B81" s="127"/>
      <c r="C81" s="128"/>
      <c r="D81" s="128"/>
      <c r="E81" s="128"/>
      <c r="F81" s="128"/>
    </row>
    <row r="82" spans="1:6">
      <c r="A82" s="119"/>
      <c r="B82" s="127"/>
      <c r="C82" s="128"/>
      <c r="D82" s="128"/>
      <c r="E82" s="128"/>
      <c r="F82" s="128"/>
    </row>
    <row r="83" spans="1:6">
      <c r="A83" s="119"/>
      <c r="B83" s="127"/>
      <c r="C83" s="128"/>
      <c r="D83" s="128"/>
      <c r="E83" s="128"/>
      <c r="F83" s="128"/>
    </row>
    <row r="84" spans="1:6">
      <c r="A84" s="119"/>
      <c r="B84" s="127"/>
      <c r="C84" s="128"/>
      <c r="D84" s="128"/>
      <c r="E84" s="128"/>
      <c r="F84" s="128"/>
    </row>
    <row r="85" spans="1:6">
      <c r="A85" s="119"/>
      <c r="B85" s="127"/>
      <c r="C85" s="128"/>
      <c r="D85" s="128"/>
      <c r="E85" s="128"/>
      <c r="F85" s="128"/>
    </row>
    <row r="86" spans="1:6">
      <c r="A86" s="117"/>
      <c r="B86" s="131"/>
      <c r="C86" s="131"/>
      <c r="D86" s="131"/>
      <c r="E86" s="131"/>
      <c r="F86" s="131"/>
    </row>
    <row r="87" spans="1:6">
      <c r="A87" s="2"/>
      <c r="C87" s="131"/>
      <c r="D87" s="131"/>
      <c r="E87" s="131"/>
      <c r="F87" s="131"/>
    </row>
    <row r="88" spans="1:6">
      <c r="A88" s="122"/>
      <c r="B88" s="131"/>
      <c r="C88" s="131"/>
      <c r="D88" s="131"/>
      <c r="E88" s="131"/>
      <c r="F88" s="131"/>
    </row>
    <row r="89" spans="1:6">
      <c r="A89" s="117"/>
    </row>
    <row r="90" spans="1:6" s="2" customFormat="1">
      <c r="A90" s="117"/>
      <c r="B90" s="128"/>
      <c r="C90" s="132"/>
      <c r="D90" s="132"/>
      <c r="E90" s="132"/>
    </row>
    <row r="91" spans="1:6">
      <c r="A91" s="118"/>
      <c r="B91" s="124"/>
      <c r="C91" s="257"/>
      <c r="D91" s="257"/>
      <c r="E91" s="257"/>
    </row>
    <row r="92" spans="1:6">
      <c r="A92" s="2"/>
      <c r="B92" s="125"/>
      <c r="C92" s="125"/>
      <c r="D92" s="125"/>
      <c r="E92" s="125"/>
    </row>
    <row r="93" spans="1:6">
      <c r="A93" s="2"/>
      <c r="B93" s="127"/>
      <c r="C93" s="128"/>
      <c r="D93" s="128"/>
      <c r="E93" s="128"/>
    </row>
    <row r="94" spans="1:6">
      <c r="A94" s="1"/>
      <c r="B94" s="127"/>
      <c r="C94" s="127"/>
      <c r="D94" s="127"/>
      <c r="E94" s="127"/>
    </row>
    <row r="95" spans="1:6">
      <c r="A95" s="119"/>
      <c r="C95"/>
    </row>
    <row r="96" spans="1:6">
      <c r="A96" s="119"/>
      <c r="B96" s="128"/>
      <c r="C96" s="128"/>
      <c r="D96" s="128"/>
      <c r="E96" s="128"/>
    </row>
    <row r="97" spans="1:5">
      <c r="A97" s="119"/>
      <c r="B97" s="127"/>
      <c r="C97" s="128"/>
      <c r="D97" s="128"/>
      <c r="E97" s="128"/>
    </row>
    <row r="98" spans="1:5">
      <c r="A98" s="120"/>
      <c r="B98" s="127"/>
      <c r="C98" s="128"/>
      <c r="D98" s="128"/>
      <c r="E98" s="128"/>
    </row>
    <row r="99" spans="1:5">
      <c r="A99" s="119"/>
      <c r="B99" s="127"/>
      <c r="C99" s="128"/>
      <c r="D99" s="128"/>
      <c r="E99" s="128"/>
    </row>
    <row r="100" spans="1:5" s="67" customFormat="1" ht="12.9">
      <c r="B100" s="133"/>
      <c r="C100" s="133"/>
      <c r="D100" s="133"/>
      <c r="E100" s="133"/>
    </row>
    <row r="101" spans="1:5">
      <c r="A101" s="118"/>
      <c r="B101" s="124"/>
      <c r="C101" s="124"/>
      <c r="D101" s="124"/>
      <c r="E101" s="124"/>
    </row>
    <row r="102" spans="1:5">
      <c r="A102" s="1"/>
      <c r="B102" s="123"/>
      <c r="C102" s="123"/>
      <c r="D102" s="123"/>
      <c r="E102" s="123"/>
    </row>
    <row r="103" spans="1:5">
      <c r="A103" s="1"/>
      <c r="B103" s="127"/>
      <c r="C103" s="127"/>
      <c r="D103" s="127"/>
      <c r="E103" s="127"/>
    </row>
    <row r="104" spans="1:5">
      <c r="A104" s="1"/>
      <c r="B104" s="127"/>
      <c r="C104" s="127"/>
      <c r="D104" s="127"/>
      <c r="E104" s="127"/>
    </row>
    <row r="105" spans="1:5">
      <c r="A105" s="119"/>
      <c r="C105"/>
    </row>
    <row r="106" spans="1:5">
      <c r="A106" s="119"/>
      <c r="B106" s="128"/>
      <c r="C106" s="128"/>
      <c r="D106" s="128"/>
      <c r="E106" s="128"/>
    </row>
    <row r="107" spans="1:5">
      <c r="A107" s="119"/>
      <c r="B107" s="127"/>
      <c r="C107" s="128"/>
      <c r="D107" s="128"/>
      <c r="E107" s="128"/>
    </row>
    <row r="108" spans="1:5">
      <c r="A108" s="120"/>
      <c r="B108" s="127"/>
      <c r="C108" s="128"/>
      <c r="D108" s="128"/>
      <c r="E108" s="128"/>
    </row>
    <row r="109" spans="1:5">
      <c r="A109" s="119"/>
      <c r="B109" s="127"/>
      <c r="C109" s="128"/>
      <c r="D109" s="128"/>
      <c r="E109" s="128"/>
    </row>
    <row r="110" spans="1:5">
      <c r="A110" s="119"/>
      <c r="B110" s="127"/>
      <c r="C110" s="128"/>
      <c r="D110" s="128"/>
      <c r="E110" s="128"/>
    </row>
    <row r="111" spans="1:5">
      <c r="A111" s="117"/>
      <c r="B111" s="127"/>
      <c r="C111" s="128"/>
      <c r="D111" s="128"/>
      <c r="E111" s="128"/>
    </row>
    <row r="112" spans="1:5" s="2" customFormat="1">
      <c r="B112" s="2153"/>
      <c r="C112" s="2153"/>
      <c r="D112" s="132"/>
      <c r="E112" s="132"/>
    </row>
    <row r="113" spans="1:5">
      <c r="A113" s="118"/>
      <c r="B113" s="124"/>
      <c r="C113" s="124"/>
      <c r="D113" s="124"/>
      <c r="E113" s="124"/>
    </row>
    <row r="114" spans="1:5">
      <c r="A114" s="1"/>
      <c r="B114" s="123"/>
      <c r="C114" s="123"/>
      <c r="D114" s="123"/>
      <c r="E114" s="123"/>
    </row>
    <row r="115" spans="1:5">
      <c r="A115" s="1"/>
      <c r="B115" s="123"/>
      <c r="C115" s="123"/>
      <c r="D115" s="123"/>
      <c r="E115" s="123"/>
    </row>
    <row r="116" spans="1:5">
      <c r="A116" s="1"/>
      <c r="B116" s="129"/>
      <c r="C116" s="129"/>
      <c r="D116" s="129"/>
      <c r="E116" s="129"/>
    </row>
    <row r="117" spans="1:5">
      <c r="A117" s="1"/>
      <c r="B117" s="125"/>
      <c r="C117" s="125"/>
      <c r="D117" s="125"/>
      <c r="E117" s="125"/>
    </row>
    <row r="118" spans="1:5">
      <c r="A118" s="1"/>
      <c r="B118" s="126"/>
      <c r="C118" s="126"/>
      <c r="D118" s="126"/>
      <c r="E118" s="126"/>
    </row>
    <row r="119" spans="1:5">
      <c r="A119" s="1"/>
      <c r="B119" s="126"/>
      <c r="C119" s="126"/>
      <c r="D119" s="126"/>
      <c r="E119" s="126"/>
    </row>
    <row r="120" spans="1:5">
      <c r="A120" s="1"/>
      <c r="B120" s="21"/>
      <c r="C120" s="21"/>
      <c r="D120" s="21"/>
      <c r="E120" s="21"/>
    </row>
    <row r="121" spans="1:5">
      <c r="A121" s="1"/>
      <c r="B121" s="130"/>
      <c r="C121" s="130"/>
      <c r="D121" s="130"/>
      <c r="E121" s="130"/>
    </row>
    <row r="122" spans="1:5">
      <c r="A122" s="2"/>
      <c r="B122" s="131"/>
      <c r="C122" s="131"/>
      <c r="D122" s="131"/>
      <c r="E122" s="131"/>
    </row>
    <row r="123" spans="1:5">
      <c r="A123" s="119"/>
      <c r="C123"/>
    </row>
    <row r="124" spans="1:5">
      <c r="A124" s="119"/>
      <c r="B124" s="127"/>
      <c r="C124" s="127"/>
      <c r="D124" s="127"/>
      <c r="E124" s="127"/>
    </row>
    <row r="125" spans="1:5">
      <c r="A125" s="119"/>
      <c r="B125" s="127"/>
      <c r="C125" s="128"/>
      <c r="D125" s="128"/>
      <c r="E125" s="128"/>
    </row>
    <row r="126" spans="1:5">
      <c r="A126" s="121"/>
      <c r="B126" s="127"/>
      <c r="C126" s="128"/>
      <c r="D126" s="128"/>
      <c r="E126" s="128"/>
    </row>
    <row r="127" spans="1:5">
      <c r="A127" s="122"/>
      <c r="B127" s="131"/>
      <c r="C127" s="131"/>
      <c r="D127" s="131"/>
      <c r="E127" s="131"/>
    </row>
    <row r="128" spans="1:5">
      <c r="A128" s="119"/>
      <c r="B128" s="128"/>
      <c r="C128" s="128"/>
      <c r="D128" s="128"/>
      <c r="E128" s="128"/>
    </row>
    <row r="129" spans="1:5">
      <c r="A129" s="122"/>
      <c r="B129" s="131"/>
      <c r="C129" s="131"/>
      <c r="D129" s="131"/>
      <c r="E129" s="131"/>
    </row>
  </sheetData>
  <sheetProtection algorithmName="SHA-512" hashValue="5XIf8x+GhmygiRG2elY2kA9fdrdvdUVLsBbHfs3pt2dDym19FfVmbpSlHhvLY7/WRXHydPrZsSy95GnK1nCQzQ==" saltValue="gX2Y7lFLTq1Bmk2sbYaLZw==" spinCount="100000" sheet="1" objects="1" scenarios="1" selectLockedCells="1" selectUnlockedCells="1"/>
  <mergeCells count="66">
    <mergeCell ref="AH3:AM3"/>
    <mergeCell ref="AH4:AM4"/>
    <mergeCell ref="B58:C58"/>
    <mergeCell ref="D58:E58"/>
    <mergeCell ref="F58:G58"/>
    <mergeCell ref="H58:I58"/>
    <mergeCell ref="J3:O3"/>
    <mergeCell ref="P3:U3"/>
    <mergeCell ref="AB3:AG3"/>
    <mergeCell ref="AB4:AG4"/>
    <mergeCell ref="V3:AA3"/>
    <mergeCell ref="AB27:AG27"/>
    <mergeCell ref="AH27:AM27"/>
    <mergeCell ref="AB26:AG26"/>
    <mergeCell ref="AH26:AM26"/>
    <mergeCell ref="AB45:AG45"/>
    <mergeCell ref="B112:C112"/>
    <mergeCell ref="E4:I4"/>
    <mergeCell ref="E3:I3"/>
    <mergeCell ref="E26:I26"/>
    <mergeCell ref="E45:I45"/>
    <mergeCell ref="D60:E60"/>
    <mergeCell ref="D59:E59"/>
    <mergeCell ref="F59:G59"/>
    <mergeCell ref="E27:I27"/>
    <mergeCell ref="D61:E61"/>
    <mergeCell ref="F61:G61"/>
    <mergeCell ref="F60:G60"/>
    <mergeCell ref="H59:I59"/>
    <mergeCell ref="N61:O61"/>
    <mergeCell ref="J4:O4"/>
    <mergeCell ref="V27:AA27"/>
    <mergeCell ref="V45:AA45"/>
    <mergeCell ref="P4:U4"/>
    <mergeCell ref="V4:AA4"/>
    <mergeCell ref="J27:O27"/>
    <mergeCell ref="P27:U27"/>
    <mergeCell ref="J58:K58"/>
    <mergeCell ref="J26:O26"/>
    <mergeCell ref="P26:U26"/>
    <mergeCell ref="V26:AA26"/>
    <mergeCell ref="J45:O45"/>
    <mergeCell ref="P45:U45"/>
    <mergeCell ref="L58:M58"/>
    <mergeCell ref="N58:O58"/>
    <mergeCell ref="R65:S65"/>
    <mergeCell ref="P65:Q65"/>
    <mergeCell ref="J65:K65"/>
    <mergeCell ref="L65:M65"/>
    <mergeCell ref="H60:I60"/>
    <mergeCell ref="H61:I61"/>
    <mergeCell ref="J61:K61"/>
    <mergeCell ref="P64:Q64"/>
    <mergeCell ref="N65:O65"/>
    <mergeCell ref="J64:K64"/>
    <mergeCell ref="J60:K60"/>
    <mergeCell ref="R64:S64"/>
    <mergeCell ref="L64:M64"/>
    <mergeCell ref="N64:O64"/>
    <mergeCell ref="L60:M60"/>
    <mergeCell ref="L61:M61"/>
    <mergeCell ref="AH45:AM45"/>
    <mergeCell ref="J59:K59"/>
    <mergeCell ref="L59:M59"/>
    <mergeCell ref="N59:O59"/>
    <mergeCell ref="N60:O60"/>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2:AA320"/>
  <sheetViews>
    <sheetView showGridLines="0" showZeros="0" zoomScale="115" zoomScaleNormal="115" workbookViewId="0">
      <selection activeCell="Q18" sqref="Q18"/>
    </sheetView>
  </sheetViews>
  <sheetFormatPr defaultRowHeight="12.45"/>
  <cols>
    <col min="1" max="1" width="10.53515625" customWidth="1"/>
    <col min="2" max="2" width="3" customWidth="1"/>
    <col min="3" max="3" width="21.07421875" customWidth="1"/>
    <col min="4" max="19" width="5.84375" customWidth="1"/>
  </cols>
  <sheetData>
    <row r="2" spans="1:18">
      <c r="B2" s="136" t="s">
        <v>697</v>
      </c>
      <c r="C2" s="136"/>
      <c r="F2" s="136"/>
      <c r="G2" s="136"/>
      <c r="H2" s="136"/>
      <c r="I2" s="136"/>
      <c r="J2" s="136"/>
      <c r="K2" s="371"/>
      <c r="L2" s="574" t="s">
        <v>149</v>
      </c>
      <c r="M2" s="371"/>
      <c r="N2" s="137"/>
      <c r="O2" s="137"/>
      <c r="P2" s="137"/>
      <c r="Q2" s="137"/>
      <c r="R2" s="137"/>
    </row>
    <row r="3" spans="1:18" ht="12" customHeight="1">
      <c r="B3" s="450"/>
      <c r="C3" s="451" t="s">
        <v>0</v>
      </c>
      <c r="F3" s="451"/>
      <c r="G3" s="371"/>
      <c r="H3" s="137"/>
      <c r="I3" s="137"/>
      <c r="J3" s="264"/>
      <c r="K3" s="371"/>
      <c r="L3" s="2380">
        <f>'1. T1 INVESTERINGSP.'!E4</f>
        <v>0</v>
      </c>
      <c r="M3" s="2380"/>
      <c r="N3" s="137"/>
      <c r="O3" s="137"/>
      <c r="P3" s="137"/>
      <c r="Q3" s="137"/>
      <c r="R3" s="137"/>
    </row>
    <row r="4" spans="1:18" ht="4.4000000000000004" customHeight="1">
      <c r="B4" s="450"/>
      <c r="C4" s="451"/>
      <c r="F4" s="451"/>
      <c r="G4" s="371"/>
      <c r="H4" s="137"/>
      <c r="I4" s="137"/>
      <c r="J4" s="264"/>
      <c r="K4" s="371"/>
      <c r="L4" s="917"/>
      <c r="M4" s="851"/>
      <c r="N4" s="137"/>
      <c r="O4" s="137"/>
      <c r="P4" s="137"/>
      <c r="Q4" s="137"/>
      <c r="R4" s="137"/>
    </row>
    <row r="5" spans="1:18" ht="6" customHeight="1">
      <c r="B5" s="450"/>
      <c r="C5" s="371"/>
      <c r="F5" s="371"/>
      <c r="G5" s="371"/>
      <c r="H5" s="1720"/>
      <c r="I5" s="450"/>
      <c r="J5" s="450"/>
      <c r="K5" s="452"/>
      <c r="L5" s="137"/>
      <c r="M5" s="137"/>
      <c r="N5" s="137"/>
      <c r="O5" s="137"/>
      <c r="P5" s="137"/>
      <c r="Q5" s="137"/>
      <c r="R5" s="137"/>
    </row>
    <row r="6" spans="1:18" ht="14.15" customHeight="1">
      <c r="B6" s="1718" t="s">
        <v>151</v>
      </c>
      <c r="C6" s="1712"/>
      <c r="D6" s="1717"/>
      <c r="E6" s="1717"/>
      <c r="F6" s="1712"/>
      <c r="G6" s="1712"/>
      <c r="H6" s="1712"/>
      <c r="I6" s="1712"/>
      <c r="J6" s="1712"/>
      <c r="K6" s="1712"/>
      <c r="L6" s="1718" t="s">
        <v>152</v>
      </c>
      <c r="M6" s="1719"/>
      <c r="N6" s="1719"/>
      <c r="O6" s="1719"/>
      <c r="P6" s="1719"/>
      <c r="Q6" s="1719"/>
      <c r="R6" s="1719"/>
    </row>
    <row r="7" spans="1:18" ht="14.15" customHeight="1">
      <c r="B7" s="845">
        <f>'1. T1 INVESTERINGSP.'!B7:D7</f>
        <v>0</v>
      </c>
      <c r="C7" s="845"/>
      <c r="D7" s="572"/>
      <c r="E7" s="572"/>
      <c r="F7" s="845"/>
      <c r="G7" s="845"/>
      <c r="H7" s="845"/>
      <c r="I7" s="845"/>
      <c r="J7" s="845"/>
      <c r="K7" s="845"/>
      <c r="L7" s="516">
        <f>'1. T1 INVESTERINGSP.'!E7</f>
        <v>0</v>
      </c>
      <c r="M7" s="516"/>
      <c r="N7" s="516"/>
      <c r="O7" s="516"/>
      <c r="P7" s="516"/>
      <c r="Q7" s="516"/>
      <c r="R7" s="516"/>
    </row>
    <row r="8" spans="1:18" ht="14.15" customHeight="1">
      <c r="B8" s="1721" t="s">
        <v>153</v>
      </c>
      <c r="C8" s="1710"/>
      <c r="D8" s="1710"/>
      <c r="E8" s="1710"/>
      <c r="F8" s="1710"/>
      <c r="G8" s="1710"/>
      <c r="H8" s="1710"/>
      <c r="I8" s="1710"/>
      <c r="J8" s="1713"/>
      <c r="K8" s="1713"/>
      <c r="L8" s="1715" t="s">
        <v>154</v>
      </c>
      <c r="M8" s="1716"/>
      <c r="N8" s="1716"/>
      <c r="O8" s="1716"/>
      <c r="P8" s="1716"/>
      <c r="Q8" s="1716"/>
      <c r="R8" s="1716"/>
    </row>
    <row r="9" spans="1:18" s="4" customFormat="1" ht="14.15" customHeight="1">
      <c r="B9" s="1741">
        <f>'1. T1 INVESTERINGSP.'!B9:D9</f>
        <v>0</v>
      </c>
      <c r="C9" s="982"/>
      <c r="D9" s="572"/>
      <c r="E9" s="572"/>
      <c r="F9" s="982"/>
      <c r="G9" s="982"/>
      <c r="H9" s="982"/>
      <c r="I9" s="982"/>
      <c r="J9" s="516"/>
      <c r="K9" s="516"/>
      <c r="L9" s="983">
        <f>'1. T1 INVESTERINGSP.'!E9</f>
        <v>0</v>
      </c>
      <c r="M9" s="982"/>
      <c r="N9" s="982"/>
      <c r="O9" s="982"/>
      <c r="P9" s="982"/>
      <c r="Q9" s="982"/>
      <c r="R9" s="982"/>
    </row>
    <row r="10" spans="1:18" ht="14.15" customHeight="1">
      <c r="B10" s="1722" t="s">
        <v>155</v>
      </c>
      <c r="C10" s="1711"/>
      <c r="D10" s="1710"/>
      <c r="E10" s="1710"/>
      <c r="F10" s="1710"/>
      <c r="G10" s="1711"/>
      <c r="H10" s="1711"/>
      <c r="I10" s="1711"/>
      <c r="J10" s="1714"/>
      <c r="K10" s="1714"/>
      <c r="L10" s="1715" t="s">
        <v>156</v>
      </c>
      <c r="M10" s="1716"/>
      <c r="N10" s="1716"/>
      <c r="O10" s="1716"/>
      <c r="P10" s="1716"/>
      <c r="Q10" s="1716"/>
      <c r="R10" s="1716"/>
    </row>
    <row r="11" spans="1:18" ht="14.15" customHeight="1">
      <c r="B11" s="985">
        <f>'1. T1 INVESTERINGSP.'!B11</f>
        <v>0</v>
      </c>
      <c r="C11" s="985"/>
      <c r="D11" s="986"/>
      <c r="E11" s="986"/>
      <c r="F11" s="985"/>
      <c r="G11" s="985"/>
      <c r="H11" s="985"/>
      <c r="I11" s="985"/>
      <c r="J11" s="318"/>
      <c r="K11" s="318"/>
      <c r="L11" s="984">
        <f>'1. T1 INVESTERINGSP.'!E11</f>
        <v>0</v>
      </c>
      <c r="M11" s="984"/>
      <c r="N11" s="984"/>
      <c r="O11" s="984"/>
      <c r="P11" s="984"/>
      <c r="Q11" s="984"/>
      <c r="R11" s="984"/>
    </row>
    <row r="12" spans="1:18" ht="14.15" customHeight="1">
      <c r="B12" s="985">
        <f>'1. T1 INVESTERINGSP.'!B12</f>
        <v>0</v>
      </c>
      <c r="C12" s="985"/>
      <c r="D12" s="986"/>
      <c r="E12" s="986"/>
      <c r="F12" s="985"/>
      <c r="G12" s="985"/>
      <c r="H12" s="985"/>
      <c r="I12" s="985"/>
      <c r="J12" s="318"/>
      <c r="K12" s="318"/>
      <c r="L12" s="1715" t="s">
        <v>157</v>
      </c>
      <c r="M12" s="1716"/>
      <c r="N12" s="1716"/>
      <c r="O12" s="1716"/>
      <c r="P12" s="1716"/>
      <c r="Q12" s="1716"/>
      <c r="R12" s="1716"/>
    </row>
    <row r="13" spans="1:18" ht="14.15" customHeight="1">
      <c r="B13" s="1547">
        <f>'1. T1 INVESTERINGSP.'!B13</f>
        <v>0</v>
      </c>
      <c r="C13" s="1547"/>
      <c r="D13" s="1548"/>
      <c r="E13" s="1548"/>
      <c r="F13" s="1547"/>
      <c r="G13" s="1547"/>
      <c r="H13" s="1547"/>
      <c r="I13" s="1547"/>
      <c r="J13" s="318"/>
      <c r="K13" s="318"/>
      <c r="L13" s="984">
        <f>'1. T1 INVESTERINGSP.'!E13</f>
        <v>0</v>
      </c>
      <c r="M13" s="984"/>
      <c r="N13" s="984"/>
      <c r="O13" s="984"/>
      <c r="P13" s="984"/>
      <c r="Q13" s="984"/>
      <c r="R13" s="984"/>
    </row>
    <row r="14" spans="1:18" ht="12" customHeight="1">
      <c r="B14" s="450"/>
      <c r="C14" s="371"/>
      <c r="F14" s="371"/>
      <c r="G14" s="371"/>
      <c r="H14" s="371"/>
      <c r="I14" s="371"/>
      <c r="J14" s="371"/>
      <c r="K14" s="371"/>
      <c r="L14" s="137"/>
      <c r="M14" s="137"/>
      <c r="N14" s="137"/>
      <c r="O14" s="137"/>
      <c r="P14" s="137"/>
      <c r="Q14" s="137"/>
      <c r="R14" s="137"/>
    </row>
    <row r="15" spans="1:18" ht="11.25" customHeight="1">
      <c r="B15" s="2227" t="s">
        <v>652</v>
      </c>
      <c r="C15" s="2228"/>
      <c r="D15" s="2228"/>
      <c r="E15" s="2228"/>
      <c r="F15" s="1549"/>
      <c r="G15" s="1550" t="s">
        <v>456</v>
      </c>
      <c r="H15" s="1550" t="s">
        <v>457</v>
      </c>
      <c r="I15" s="1550" t="s">
        <v>458</v>
      </c>
      <c r="J15" s="1550" t="s">
        <v>459</v>
      </c>
      <c r="K15" s="2387" t="s">
        <v>353</v>
      </c>
      <c r="L15" s="2192" t="s">
        <v>653</v>
      </c>
      <c r="M15" s="2193"/>
      <c r="N15" s="1551"/>
      <c r="O15" s="1551"/>
      <c r="P15" s="1551"/>
      <c r="Q15" s="1551"/>
      <c r="R15" s="1552"/>
    </row>
    <row r="16" spans="1:18" ht="11.25" customHeight="1">
      <c r="A16" s="53"/>
      <c r="B16" s="2229"/>
      <c r="C16" s="2230"/>
      <c r="D16" s="2230"/>
      <c r="E16" s="2230"/>
      <c r="F16" s="1553"/>
      <c r="G16" s="1554">
        <f>'1. T1 INVESTERINGSP.'!D16</f>
        <v>2025</v>
      </c>
      <c r="H16" s="1554">
        <f>'1. T1 INVESTERINGSP.'!E16</f>
        <v>2026</v>
      </c>
      <c r="I16" s="1554">
        <f>'1. T1 INVESTERINGSP.'!F16</f>
        <v>2027</v>
      </c>
      <c r="J16" s="1554">
        <f>'1. T1 INVESTERINGSP.'!G16</f>
        <v>2028</v>
      </c>
      <c r="K16" s="2388"/>
      <c r="L16" s="2194"/>
      <c r="M16" s="2195"/>
      <c r="N16" s="1555"/>
      <c r="O16" s="1555"/>
      <c r="P16" s="1555"/>
      <c r="Q16" s="1555"/>
      <c r="R16" s="1556"/>
    </row>
    <row r="17" spans="1:18" ht="12" customHeight="1">
      <c r="B17" s="829" t="s">
        <v>2</v>
      </c>
      <c r="C17" s="2231" t="s">
        <v>163</v>
      </c>
      <c r="D17" s="2231"/>
      <c r="E17" s="2231"/>
      <c r="F17" s="2232"/>
      <c r="G17" s="940">
        <f>'1. T1 INVESTERINGSP.'!D17/1000</f>
        <v>0</v>
      </c>
      <c r="H17" s="940">
        <f>'1. T1 INVESTERINGSP.'!E17/1000</f>
        <v>0</v>
      </c>
      <c r="I17" s="940">
        <f>'1. T1 INVESTERINGSP.'!F17/1000</f>
        <v>0</v>
      </c>
      <c r="J17" s="940">
        <f>'1. T1 INVESTERINGSP.'!G17/1000</f>
        <v>0</v>
      </c>
      <c r="K17" s="940">
        <f>'1. T1 INVESTERINGSP.'!H17/1000</f>
        <v>0</v>
      </c>
      <c r="L17" s="453">
        <f>'1. T1 INVESTERINGSP.'!J17</f>
        <v>0</v>
      </c>
      <c r="M17" s="454"/>
      <c r="N17" s="454"/>
      <c r="O17" s="454"/>
      <c r="P17" s="454"/>
      <c r="Q17" s="454"/>
      <c r="R17" s="579"/>
    </row>
    <row r="18" spans="1:18" ht="12" customHeight="1">
      <c r="B18" s="578"/>
      <c r="C18" s="910" t="s">
        <v>165</v>
      </c>
      <c r="D18" s="901"/>
      <c r="E18" s="901"/>
      <c r="F18" s="911"/>
      <c r="G18" s="1707">
        <f>'1. T1 INVESTERINGSP.'!D19</f>
        <v>0</v>
      </c>
      <c r="H18" s="1707">
        <f>'1. T1 INVESTERINGSP.'!E19</f>
        <v>0</v>
      </c>
      <c r="I18" s="1707">
        <f>'1. T1 INVESTERINGSP.'!F19</f>
        <v>0</v>
      </c>
      <c r="J18" s="1707">
        <f>'1. T1 INVESTERINGSP.'!G19</f>
        <v>0</v>
      </c>
      <c r="K18" s="941"/>
      <c r="L18" s="453"/>
      <c r="M18" s="454"/>
      <c r="N18" s="454"/>
      <c r="O18" s="454"/>
      <c r="P18" s="454"/>
      <c r="Q18" s="454"/>
      <c r="R18" s="579"/>
    </row>
    <row r="19" spans="1:18" ht="12" customHeight="1">
      <c r="A19" s="53"/>
      <c r="B19" s="829" t="s">
        <v>3</v>
      </c>
      <c r="C19" s="834" t="s">
        <v>166</v>
      </c>
      <c r="D19" s="901"/>
      <c r="E19" s="901"/>
      <c r="F19" s="830"/>
      <c r="G19" s="856">
        <f>'1. T1 INVESTERINGSP.'!D20/1000</f>
        <v>0</v>
      </c>
      <c r="H19" s="856">
        <f>'1. T1 INVESTERINGSP.'!E20/1000</f>
        <v>0</v>
      </c>
      <c r="I19" s="856">
        <f>'1. T1 INVESTERINGSP.'!F20/1000</f>
        <v>0</v>
      </c>
      <c r="J19" s="856">
        <f>'1. T1 INVESTERINGSP.'!G20/1000</f>
        <v>0</v>
      </c>
      <c r="K19" s="856">
        <f>'1. T1 INVESTERINGSP.'!H20/1000</f>
        <v>0</v>
      </c>
      <c r="L19" s="453">
        <f>'1. T1 INVESTERINGSP.'!J20</f>
        <v>0</v>
      </c>
      <c r="M19" s="454"/>
      <c r="N19" s="454"/>
      <c r="O19" s="454"/>
      <c r="P19" s="454"/>
      <c r="Q19" s="454"/>
      <c r="R19" s="579"/>
    </row>
    <row r="20" spans="1:18" ht="12" customHeight="1">
      <c r="A20" s="2"/>
      <c r="B20" s="578"/>
      <c r="C20" s="910" t="s">
        <v>165</v>
      </c>
      <c r="D20" s="901"/>
      <c r="E20" s="901"/>
      <c r="F20" s="911"/>
      <c r="G20" s="1707">
        <f>'1. T1 INVESTERINGSP.'!D23</f>
        <v>0</v>
      </c>
      <c r="H20" s="1707">
        <f>'1. T1 INVESTERINGSP.'!E23</f>
        <v>0</v>
      </c>
      <c r="I20" s="1707">
        <f>'1. T1 INVESTERINGSP.'!F23</f>
        <v>0</v>
      </c>
      <c r="J20" s="1707">
        <f>'1. T1 INVESTERINGSP.'!G23</f>
        <v>0</v>
      </c>
      <c r="K20" s="941"/>
      <c r="L20" s="453"/>
      <c r="M20" s="454"/>
      <c r="N20" s="454"/>
      <c r="O20" s="454"/>
      <c r="P20" s="454"/>
      <c r="Q20" s="454"/>
      <c r="R20" s="579"/>
    </row>
    <row r="21" spans="1:18" ht="12" customHeight="1">
      <c r="A21" s="53"/>
      <c r="B21" s="829" t="s">
        <v>4</v>
      </c>
      <c r="C21" s="834" t="s">
        <v>169</v>
      </c>
      <c r="D21" s="901"/>
      <c r="E21" s="901"/>
      <c r="F21" s="830"/>
      <c r="G21" s="856">
        <f>'1. T1 INVESTERINGSP.'!D24/1000</f>
        <v>0</v>
      </c>
      <c r="H21" s="856">
        <f>'1. T1 INVESTERINGSP.'!E24/1000</f>
        <v>0</v>
      </c>
      <c r="I21" s="856">
        <f>'1. T1 INVESTERINGSP.'!F24/1000</f>
        <v>0</v>
      </c>
      <c r="J21" s="856">
        <f>'1. T1 INVESTERINGSP.'!G24/1000</f>
        <v>0</v>
      </c>
      <c r="K21" s="856">
        <f>'1. T1 INVESTERINGSP.'!H24/1000</f>
        <v>0</v>
      </c>
      <c r="L21" s="453">
        <f>'1. T1 INVESTERINGSP.'!J24</f>
        <v>0</v>
      </c>
      <c r="M21" s="454"/>
      <c r="N21" s="454"/>
      <c r="O21" s="454"/>
      <c r="P21" s="454"/>
      <c r="Q21" s="454"/>
      <c r="R21" s="579"/>
    </row>
    <row r="22" spans="1:18" ht="12" customHeight="1">
      <c r="B22" s="578"/>
      <c r="C22" s="910" t="s">
        <v>165</v>
      </c>
      <c r="D22" s="901"/>
      <c r="E22" s="901"/>
      <c r="F22" s="911"/>
      <c r="G22" s="1707">
        <f>'1. T1 INVESTERINGSP.'!D26</f>
        <v>0</v>
      </c>
      <c r="H22" s="1707">
        <f>'1. T1 INVESTERINGSP.'!E26</f>
        <v>0</v>
      </c>
      <c r="I22" s="1707">
        <f>'1. T1 INVESTERINGSP.'!F26</f>
        <v>0</v>
      </c>
      <c r="J22" s="1707">
        <f>'1. T1 INVESTERINGSP.'!G26</f>
        <v>0</v>
      </c>
      <c r="K22" s="941"/>
      <c r="L22" s="453"/>
      <c r="M22" s="454"/>
      <c r="N22" s="454"/>
      <c r="O22" s="454"/>
      <c r="P22" s="454"/>
      <c r="Q22" s="454"/>
      <c r="R22" s="579"/>
    </row>
    <row r="23" spans="1:18" ht="12" customHeight="1">
      <c r="A23" s="53"/>
      <c r="B23" s="829" t="s">
        <v>5</v>
      </c>
      <c r="C23" s="834" t="s">
        <v>170</v>
      </c>
      <c r="D23" s="901"/>
      <c r="E23" s="901"/>
      <c r="F23" s="830"/>
      <c r="G23" s="856">
        <f>'1. T1 INVESTERINGSP.'!D27/1000</f>
        <v>0</v>
      </c>
      <c r="H23" s="856">
        <f>'1. T1 INVESTERINGSP.'!E27/1000</f>
        <v>0</v>
      </c>
      <c r="I23" s="856">
        <f>'1. T1 INVESTERINGSP.'!F27/1000</f>
        <v>0</v>
      </c>
      <c r="J23" s="856">
        <f>'1. T1 INVESTERINGSP.'!G27/1000</f>
        <v>0</v>
      </c>
      <c r="K23" s="856">
        <f>'1. T1 INVESTERINGSP.'!H27/1000</f>
        <v>0</v>
      </c>
      <c r="L23" s="453">
        <f>'1. T1 INVESTERINGSP.'!J27</f>
        <v>0</v>
      </c>
      <c r="M23" s="454"/>
      <c r="N23" s="454"/>
      <c r="O23" s="454"/>
      <c r="P23" s="454"/>
      <c r="Q23" s="454"/>
      <c r="R23" s="579"/>
    </row>
    <row r="24" spans="1:18" ht="12" customHeight="1">
      <c r="B24" s="578"/>
      <c r="C24" s="910" t="s">
        <v>165</v>
      </c>
      <c r="D24" s="901"/>
      <c r="E24" s="901"/>
      <c r="F24" s="911"/>
      <c r="G24" s="1707">
        <f>'1. T1 INVESTERINGSP.'!D29</f>
        <v>0</v>
      </c>
      <c r="H24" s="1707">
        <f>'1. T1 INVESTERINGSP.'!E29</f>
        <v>0</v>
      </c>
      <c r="I24" s="1707">
        <f>'1. T1 INVESTERINGSP.'!F29</f>
        <v>0</v>
      </c>
      <c r="J24" s="1707">
        <f>'1. T1 INVESTERINGSP.'!G29</f>
        <v>0</v>
      </c>
      <c r="K24" s="941"/>
      <c r="L24" s="453"/>
      <c r="M24" s="454"/>
      <c r="N24" s="454"/>
      <c r="O24" s="454"/>
      <c r="P24" s="454"/>
      <c r="Q24" s="454"/>
      <c r="R24" s="579"/>
    </row>
    <row r="25" spans="1:18" ht="12" customHeight="1">
      <c r="A25" s="53"/>
      <c r="B25" s="829" t="s">
        <v>6</v>
      </c>
      <c r="C25" s="834" t="s">
        <v>171</v>
      </c>
      <c r="D25" s="901"/>
      <c r="E25" s="901"/>
      <c r="F25" s="830"/>
      <c r="G25" s="856">
        <f>'1. T1 INVESTERINGSP.'!D30/1000</f>
        <v>0</v>
      </c>
      <c r="H25" s="856">
        <f>'1. T1 INVESTERINGSP.'!E30/1000</f>
        <v>0</v>
      </c>
      <c r="I25" s="856">
        <f>'1. T1 INVESTERINGSP.'!F30/1000</f>
        <v>0</v>
      </c>
      <c r="J25" s="856">
        <f>'1. T1 INVESTERINGSP.'!G30/1000</f>
        <v>0</v>
      </c>
      <c r="K25" s="856">
        <f>'1. T1 INVESTERINGSP.'!H30/1000</f>
        <v>0</v>
      </c>
      <c r="L25" s="453">
        <f>'1. T1 INVESTERINGSP.'!J30</f>
        <v>0</v>
      </c>
      <c r="M25" s="454"/>
      <c r="N25" s="454"/>
      <c r="O25" s="454"/>
      <c r="P25" s="454"/>
      <c r="Q25" s="454"/>
      <c r="R25" s="579"/>
    </row>
    <row r="26" spans="1:18" ht="12" customHeight="1">
      <c r="A26" s="53"/>
      <c r="B26" s="829"/>
      <c r="C26" s="834" t="s">
        <v>165</v>
      </c>
      <c r="D26" s="901"/>
      <c r="E26" s="901"/>
      <c r="F26" s="830"/>
      <c r="G26" s="1709">
        <f>'1. T1 INVESTERINGSP.'!D31</f>
        <v>0</v>
      </c>
      <c r="H26" s="1709">
        <f>'1. T1 INVESTERINGSP.'!E31</f>
        <v>0</v>
      </c>
      <c r="I26" s="1709">
        <f>'1. T1 INVESTERINGSP.'!F31</f>
        <v>0</v>
      </c>
      <c r="J26" s="1709">
        <f>'1. T1 INVESTERINGSP.'!G31</f>
        <v>0</v>
      </c>
      <c r="K26" s="942"/>
      <c r="L26" s="453"/>
      <c r="M26" s="454"/>
      <c r="N26" s="454"/>
      <c r="O26" s="454"/>
      <c r="P26" s="454"/>
      <c r="Q26" s="454"/>
      <c r="R26" s="579"/>
    </row>
    <row r="27" spans="1:18" ht="12" customHeight="1">
      <c r="B27" s="829" t="s">
        <v>7</v>
      </c>
      <c r="C27" s="834" t="s">
        <v>172</v>
      </c>
      <c r="D27" s="901"/>
      <c r="E27" s="901"/>
      <c r="F27" s="830"/>
      <c r="G27" s="856">
        <f>'1. T1 INVESTERINGSP.'!D32/1000</f>
        <v>0</v>
      </c>
      <c r="H27" s="856">
        <f>'1. T1 INVESTERINGSP.'!E32/1000</f>
        <v>0</v>
      </c>
      <c r="I27" s="856">
        <f>'1. T1 INVESTERINGSP.'!F32/1000</f>
        <v>0</v>
      </c>
      <c r="J27" s="856">
        <f>'1. T1 INVESTERINGSP.'!G32/1000</f>
        <v>0</v>
      </c>
      <c r="K27" s="856">
        <f>'1. T1 INVESTERINGSP.'!H32/1000</f>
        <v>0</v>
      </c>
      <c r="L27" s="453">
        <f>'1. T1 INVESTERINGSP.'!J32</f>
        <v>0</v>
      </c>
      <c r="M27" s="454"/>
      <c r="N27" s="454"/>
      <c r="O27" s="454"/>
      <c r="P27" s="454"/>
      <c r="Q27" s="454"/>
      <c r="R27" s="579"/>
    </row>
    <row r="28" spans="1:18" ht="12" customHeight="1">
      <c r="B28" s="578"/>
      <c r="C28" s="910" t="s">
        <v>165</v>
      </c>
      <c r="D28" s="901"/>
      <c r="E28" s="901"/>
      <c r="F28" s="911"/>
      <c r="G28" s="1707">
        <f>'1. T1 INVESTERINGSP.'!D34</f>
        <v>0</v>
      </c>
      <c r="H28" s="1707">
        <f>'1. T1 INVESTERINGSP.'!E34</f>
        <v>0</v>
      </c>
      <c r="I28" s="1707">
        <f>'1. T1 INVESTERINGSP.'!F34</f>
        <v>0</v>
      </c>
      <c r="J28" s="1707">
        <f>'1. T1 INVESTERINGSP.'!G34</f>
        <v>0</v>
      </c>
      <c r="K28" s="941"/>
      <c r="L28" s="453"/>
      <c r="M28" s="454"/>
      <c r="N28" s="454"/>
      <c r="O28" s="454"/>
      <c r="P28" s="454"/>
      <c r="Q28" s="454"/>
      <c r="R28" s="579"/>
    </row>
    <row r="29" spans="1:18" ht="12" customHeight="1">
      <c r="B29" s="829" t="s">
        <v>8</v>
      </c>
      <c r="C29" s="834" t="s">
        <v>173</v>
      </c>
      <c r="D29" s="901"/>
      <c r="E29" s="901"/>
      <c r="F29" s="830"/>
      <c r="G29" s="856">
        <f>'1. T1 INVESTERINGSP.'!D35/1000</f>
        <v>0</v>
      </c>
      <c r="H29" s="856">
        <f>'1. T1 INVESTERINGSP.'!E35/1000</f>
        <v>0</v>
      </c>
      <c r="I29" s="856">
        <f>'1. T1 INVESTERINGSP.'!F35/1000</f>
        <v>0</v>
      </c>
      <c r="J29" s="856">
        <f>'1. T1 INVESTERINGSP.'!G35/1000</f>
        <v>0</v>
      </c>
      <c r="K29" s="856">
        <f>'1. T1 INVESTERINGSP.'!H35/1000</f>
        <v>0</v>
      </c>
      <c r="L29" s="453">
        <f>'1. T1 INVESTERINGSP.'!J35</f>
        <v>0</v>
      </c>
      <c r="M29" s="454"/>
      <c r="N29" s="454"/>
      <c r="O29" s="454"/>
      <c r="P29" s="454"/>
      <c r="Q29" s="454"/>
      <c r="R29" s="579"/>
    </row>
    <row r="30" spans="1:18" ht="12" customHeight="1">
      <c r="B30" s="578"/>
      <c r="C30" s="910" t="s">
        <v>165</v>
      </c>
      <c r="D30" s="901"/>
      <c r="E30" s="901"/>
      <c r="F30" s="911"/>
      <c r="G30" s="1707">
        <f>'1. T1 INVESTERINGSP.'!D37</f>
        <v>0</v>
      </c>
      <c r="H30" s="1707">
        <f>'1. T1 INVESTERINGSP.'!E37</f>
        <v>0</v>
      </c>
      <c r="I30" s="1707">
        <f>'1. T1 INVESTERINGSP.'!F37</f>
        <v>0</v>
      </c>
      <c r="J30" s="1707">
        <f>'1. T1 INVESTERINGSP.'!G37</f>
        <v>0</v>
      </c>
      <c r="K30" s="941"/>
      <c r="L30" s="453"/>
      <c r="M30" s="454"/>
      <c r="N30" s="454"/>
      <c r="O30" s="454"/>
      <c r="P30" s="454"/>
      <c r="Q30" s="454"/>
      <c r="R30" s="579"/>
    </row>
    <row r="31" spans="1:18" ht="12" customHeight="1">
      <c r="B31" s="829" t="s">
        <v>9</v>
      </c>
      <c r="C31" s="834" t="s">
        <v>174</v>
      </c>
      <c r="D31" s="901"/>
      <c r="E31" s="901"/>
      <c r="F31" s="830"/>
      <c r="G31" s="856">
        <f>'1. T1 INVESTERINGSP.'!D38/1000</f>
        <v>0</v>
      </c>
      <c r="H31" s="856">
        <f>'1. T1 INVESTERINGSP.'!E38/1000</f>
        <v>0</v>
      </c>
      <c r="I31" s="856">
        <f>'1. T1 INVESTERINGSP.'!F38/1000</f>
        <v>0</v>
      </c>
      <c r="J31" s="856">
        <f>'1. T1 INVESTERINGSP.'!G38/1000</f>
        <v>0</v>
      </c>
      <c r="K31" s="856">
        <f>'1. T1 INVESTERINGSP.'!H38/1000</f>
        <v>0</v>
      </c>
      <c r="L31" s="453">
        <f>'1. T1 INVESTERINGSP.'!J38</f>
        <v>0</v>
      </c>
      <c r="M31" s="454"/>
      <c r="N31" s="454"/>
      <c r="O31" s="454"/>
      <c r="P31" s="454"/>
      <c r="Q31" s="454"/>
      <c r="R31" s="579"/>
    </row>
    <row r="32" spans="1:18" ht="12" customHeight="1">
      <c r="B32" s="829" t="s">
        <v>10</v>
      </c>
      <c r="C32" s="834" t="s">
        <v>175</v>
      </c>
      <c r="D32" s="901"/>
      <c r="E32" s="901"/>
      <c r="F32" s="830"/>
      <c r="G32" s="856">
        <f>'1. T1 INVESTERINGSP.'!D39/1000</f>
        <v>0</v>
      </c>
      <c r="H32" s="856">
        <f>'1. T1 INVESTERINGSP.'!E39/1000</f>
        <v>0</v>
      </c>
      <c r="I32" s="856">
        <f>'1. T1 INVESTERINGSP.'!F39/1000</f>
        <v>0</v>
      </c>
      <c r="J32" s="856">
        <f>'1. T1 INVESTERINGSP.'!G39/1000</f>
        <v>0</v>
      </c>
      <c r="K32" s="856">
        <f>'1. T1 INVESTERINGSP.'!H39/1000</f>
        <v>0</v>
      </c>
      <c r="L32" s="453">
        <f>'1. T1 INVESTERINGSP.'!J39</f>
        <v>0</v>
      </c>
      <c r="M32" s="454"/>
      <c r="N32" s="454"/>
      <c r="O32" s="454"/>
      <c r="P32" s="454"/>
      <c r="Q32" s="454"/>
      <c r="R32" s="579"/>
    </row>
    <row r="33" spans="1:18" ht="12" customHeight="1">
      <c r="B33" s="829" t="s">
        <v>11</v>
      </c>
      <c r="C33" s="895" t="s">
        <v>718</v>
      </c>
      <c r="D33" s="1557"/>
      <c r="E33" s="1557"/>
      <c r="F33" s="1790"/>
      <c r="G33" s="856">
        <f>'1. T1 INVESTERINGSP.'!D40/1000</f>
        <v>0</v>
      </c>
      <c r="H33" s="856">
        <f>'1. T1 INVESTERINGSP.'!E40/1000</f>
        <v>0</v>
      </c>
      <c r="I33" s="856">
        <f>'1. T1 INVESTERINGSP.'!F40/1000</f>
        <v>0</v>
      </c>
      <c r="J33" s="856">
        <f>'1. T1 INVESTERINGSP.'!G40/1000</f>
        <v>0</v>
      </c>
      <c r="K33" s="856">
        <f>'1. T1 INVESTERINGSP.'!H40/1000</f>
        <v>0</v>
      </c>
      <c r="L33" s="453"/>
      <c r="M33" s="454"/>
      <c r="N33" s="454"/>
      <c r="O33" s="454"/>
      <c r="P33" s="454"/>
      <c r="Q33" s="454"/>
      <c r="R33" s="579"/>
    </row>
    <row r="34" spans="1:18" ht="12" customHeight="1">
      <c r="B34" s="829" t="s">
        <v>41</v>
      </c>
      <c r="C34" s="894" t="s">
        <v>176</v>
      </c>
      <c r="D34" s="1557"/>
      <c r="E34" s="1557"/>
      <c r="F34" s="1558"/>
      <c r="G34" s="944">
        <f>'1. T1 INVESTERINGSP.'!D42/1000</f>
        <v>0</v>
      </c>
      <c r="H34" s="944">
        <f>'1. T1 INVESTERINGSP.'!E42/1000</f>
        <v>0</v>
      </c>
      <c r="I34" s="944">
        <f>'1. T1 INVESTERINGSP.'!F42/1000</f>
        <v>0</v>
      </c>
      <c r="J34" s="944">
        <f>'1. T1 INVESTERINGSP.'!G42/1000</f>
        <v>0</v>
      </c>
      <c r="K34" s="944">
        <f>'1. T1 INVESTERINGSP.'!H42/1000</f>
        <v>0</v>
      </c>
      <c r="L34" s="453">
        <f>'1. T1 INVESTERINGSP.'!J42</f>
        <v>0</v>
      </c>
      <c r="M34" s="454"/>
      <c r="N34" s="454"/>
      <c r="O34" s="454"/>
      <c r="P34" s="454"/>
      <c r="Q34" s="454"/>
      <c r="R34" s="579"/>
    </row>
    <row r="35" spans="1:18" ht="11.25" customHeight="1">
      <c r="B35" s="2227" t="s">
        <v>654</v>
      </c>
      <c r="C35" s="2228"/>
      <c r="D35" s="2228"/>
      <c r="E35" s="2228"/>
      <c r="F35" s="1549"/>
      <c r="G35" s="1562" t="s">
        <v>456</v>
      </c>
      <c r="H35" s="1562" t="s">
        <v>457</v>
      </c>
      <c r="I35" s="1562" t="s">
        <v>458</v>
      </c>
      <c r="J35" s="1562" t="s">
        <v>459</v>
      </c>
      <c r="K35" s="2387" t="s">
        <v>353</v>
      </c>
      <c r="L35" s="2192" t="s">
        <v>653</v>
      </c>
      <c r="M35" s="2193"/>
      <c r="N35" s="1551"/>
      <c r="O35" s="1551"/>
      <c r="P35" s="1551"/>
      <c r="Q35" s="1551"/>
      <c r="R35" s="1552"/>
    </row>
    <row r="36" spans="1:18" ht="11.25" customHeight="1">
      <c r="B36" s="2229"/>
      <c r="C36" s="2230"/>
      <c r="D36" s="2230"/>
      <c r="E36" s="2230"/>
      <c r="F36" s="1553"/>
      <c r="G36" s="1563">
        <f>G16</f>
        <v>2025</v>
      </c>
      <c r="H36" s="1563">
        <f>H16</f>
        <v>2026</v>
      </c>
      <c r="I36" s="1563">
        <f>I16</f>
        <v>2027</v>
      </c>
      <c r="J36" s="1564">
        <f>J16</f>
        <v>2028</v>
      </c>
      <c r="K36" s="2388"/>
      <c r="L36" s="2194"/>
      <c r="M36" s="2195"/>
      <c r="N36" s="1555"/>
      <c r="O36" s="1555"/>
      <c r="P36" s="1555"/>
      <c r="Q36" s="1555"/>
      <c r="R36" s="1556"/>
    </row>
    <row r="37" spans="1:18" ht="12" customHeight="1">
      <c r="B37" s="2242" t="s">
        <v>177</v>
      </c>
      <c r="C37" s="2243"/>
      <c r="F37" s="1559"/>
      <c r="G37" s="1560"/>
      <c r="H37" s="1560"/>
      <c r="I37" s="1560"/>
      <c r="J37" s="1560"/>
      <c r="K37" s="1561" t="s">
        <v>0</v>
      </c>
      <c r="L37" s="455"/>
      <c r="M37" s="454"/>
      <c r="N37" s="454"/>
      <c r="O37" s="454"/>
      <c r="P37" s="454"/>
      <c r="Q37" s="454"/>
      <c r="R37" s="579"/>
    </row>
    <row r="38" spans="1:18" ht="12" customHeight="1">
      <c r="B38" s="829" t="s">
        <v>42</v>
      </c>
      <c r="C38" s="2231" t="s">
        <v>178</v>
      </c>
      <c r="D38" s="2231"/>
      <c r="E38" s="2231"/>
      <c r="F38" s="2232"/>
      <c r="G38" s="938"/>
      <c r="H38" s="938"/>
      <c r="I38" s="938"/>
      <c r="J38" s="938"/>
      <c r="K38" s="939"/>
      <c r="L38" s="455"/>
      <c r="M38" s="454"/>
      <c r="N38" s="454"/>
      <c r="O38" s="454"/>
      <c r="P38" s="454"/>
      <c r="Q38" s="454"/>
      <c r="R38" s="579"/>
    </row>
    <row r="39" spans="1:18" ht="12" customHeight="1">
      <c r="B39" s="955"/>
      <c r="C39" s="849" t="s">
        <v>460</v>
      </c>
      <c r="D39" s="912"/>
      <c r="E39" s="912"/>
      <c r="F39" s="831"/>
      <c r="G39" s="856">
        <f>'1. T1 INVESTERINGSP.'!D48/1000</f>
        <v>0</v>
      </c>
      <c r="H39" s="856">
        <f>'1. T1 INVESTERINGSP.'!E48/1000</f>
        <v>0</v>
      </c>
      <c r="I39" s="856">
        <f>'1. T1 INVESTERINGSP.'!F48/1000</f>
        <v>0</v>
      </c>
      <c r="J39" s="856">
        <f>'1. T1 INVESTERINGSP.'!G48/1000</f>
        <v>0</v>
      </c>
      <c r="K39" s="856">
        <f>'1. T1 INVESTERINGSP.'!H48/1000</f>
        <v>0</v>
      </c>
      <c r="L39" s="455"/>
      <c r="M39" s="454"/>
      <c r="N39" s="454"/>
      <c r="O39" s="454"/>
      <c r="P39" s="454"/>
      <c r="Q39" s="454"/>
      <c r="R39" s="579"/>
    </row>
    <row r="40" spans="1:18" ht="12" customHeight="1">
      <c r="B40" s="955"/>
      <c r="C40" s="849" t="s">
        <v>461</v>
      </c>
      <c r="D40" s="912"/>
      <c r="E40" s="912"/>
      <c r="F40" s="831"/>
      <c r="G40" s="856">
        <f>'1. T1 INVESTERINGSP.'!D49/1000</f>
        <v>0</v>
      </c>
      <c r="H40" s="856">
        <f>'1. T1 INVESTERINGSP.'!E49/1000</f>
        <v>0</v>
      </c>
      <c r="I40" s="856">
        <f>'1. T1 INVESTERINGSP.'!F49/1000</f>
        <v>0</v>
      </c>
      <c r="J40" s="856">
        <f>'1. T1 INVESTERINGSP.'!G49/1000</f>
        <v>0</v>
      </c>
      <c r="K40" s="856">
        <f>'1. T1 INVESTERINGSP.'!H49/1000</f>
        <v>0</v>
      </c>
      <c r="L40" s="455"/>
      <c r="M40" s="454"/>
      <c r="N40" s="454"/>
      <c r="O40" s="454"/>
      <c r="P40" s="454"/>
      <c r="Q40" s="454"/>
      <c r="R40" s="579"/>
    </row>
    <row r="41" spans="1:18" ht="12" customHeight="1">
      <c r="B41" s="955" t="s">
        <v>141</v>
      </c>
      <c r="C41" s="834" t="s">
        <v>181</v>
      </c>
      <c r="D41" s="912"/>
      <c r="E41" s="912"/>
      <c r="F41" s="830"/>
      <c r="G41" s="856">
        <f>'1. T1 INVESTERINGSP.'!D50/1000</f>
        <v>0</v>
      </c>
      <c r="H41" s="856">
        <f>'1. T1 INVESTERINGSP.'!E50/1000</f>
        <v>0</v>
      </c>
      <c r="I41" s="856">
        <f>'1. T1 INVESTERINGSP.'!F50/1000</f>
        <v>0</v>
      </c>
      <c r="J41" s="856">
        <f>'1. T1 INVESTERINGSP.'!G50/1000</f>
        <v>0</v>
      </c>
      <c r="K41" s="856">
        <f>'1. T1 INVESTERINGSP.'!H50/1000</f>
        <v>0</v>
      </c>
      <c r="L41" s="455"/>
      <c r="M41" s="454"/>
      <c r="N41" s="454"/>
      <c r="O41" s="454"/>
      <c r="P41" s="454"/>
      <c r="Q41" s="454"/>
      <c r="R41" s="579"/>
    </row>
    <row r="42" spans="1:18" ht="12" customHeight="1">
      <c r="B42" s="955" t="s">
        <v>43</v>
      </c>
      <c r="C42" s="834" t="s">
        <v>182</v>
      </c>
      <c r="D42" s="912"/>
      <c r="E42" s="912"/>
      <c r="F42" s="830"/>
      <c r="G42" s="856">
        <f>'1. T1 INVESTERINGSP.'!D51/1000</f>
        <v>0</v>
      </c>
      <c r="H42" s="856">
        <f>'1. T1 INVESTERINGSP.'!E51/1000</f>
        <v>0</v>
      </c>
      <c r="I42" s="856">
        <f>'1. T1 INVESTERINGSP.'!F51/1000</f>
        <v>0</v>
      </c>
      <c r="J42" s="856">
        <f>'1. T1 INVESTERINGSP.'!G51/1000</f>
        <v>0</v>
      </c>
      <c r="K42" s="856">
        <f>'1. T1 INVESTERINGSP.'!H51/1000</f>
        <v>0</v>
      </c>
      <c r="L42" s="455"/>
      <c r="M42" s="454"/>
      <c r="N42" s="454"/>
      <c r="O42" s="454"/>
      <c r="P42" s="454"/>
      <c r="Q42" s="454"/>
      <c r="R42" s="579"/>
    </row>
    <row r="43" spans="1:18" ht="12" customHeight="1">
      <c r="B43" s="955" t="s">
        <v>44</v>
      </c>
      <c r="C43" s="849" t="s">
        <v>183</v>
      </c>
      <c r="D43" s="912"/>
      <c r="E43" s="912"/>
      <c r="F43" s="831"/>
      <c r="G43" s="856">
        <f>'1. T1 INVESTERINGSP.'!D52/1000</f>
        <v>0</v>
      </c>
      <c r="H43" s="856">
        <f>'1. T1 INVESTERINGSP.'!E52/1000</f>
        <v>0</v>
      </c>
      <c r="I43" s="856">
        <f>'1. T1 INVESTERINGSP.'!F52/1000</f>
        <v>0</v>
      </c>
      <c r="J43" s="856">
        <f>'1. T1 INVESTERINGSP.'!G52/1000</f>
        <v>0</v>
      </c>
      <c r="K43" s="856">
        <f>'1. T1 INVESTERINGSP.'!H52/1000</f>
        <v>0</v>
      </c>
      <c r="L43" s="455"/>
      <c r="M43" s="454"/>
      <c r="N43" s="454"/>
      <c r="O43" s="454"/>
      <c r="P43" s="454"/>
      <c r="Q43" s="454"/>
      <c r="R43" s="579"/>
    </row>
    <row r="44" spans="1:18" ht="12" customHeight="1">
      <c r="B44" s="2244" t="s">
        <v>184</v>
      </c>
      <c r="C44" s="2245"/>
      <c r="D44" s="912"/>
      <c r="E44" s="912"/>
      <c r="F44" s="913"/>
      <c r="G44" s="942"/>
      <c r="H44" s="942"/>
      <c r="I44" s="942"/>
      <c r="J44" s="942"/>
      <c r="K44" s="943"/>
      <c r="L44" s="1515" t="s">
        <v>510</v>
      </c>
      <c r="M44" s="1516"/>
      <c r="N44" s="1517"/>
      <c r="O44" s="1518" t="s">
        <v>511</v>
      </c>
      <c r="P44" s="1519" t="s">
        <v>525</v>
      </c>
      <c r="Q44" s="1520"/>
      <c r="R44" s="579"/>
    </row>
    <row r="45" spans="1:18" ht="12" customHeight="1">
      <c r="B45" s="829" t="s">
        <v>45</v>
      </c>
      <c r="C45" s="914" t="str">
        <f>'1. T1 INVESTERINGSP.'!C55</f>
        <v xml:space="preserve">Finnvera </v>
      </c>
      <c r="D45" s="915"/>
      <c r="E45" s="915"/>
      <c r="F45" s="916"/>
      <c r="G45" s="856">
        <f>'1. T1 INVESTERINGSP.'!D55/1000</f>
        <v>0</v>
      </c>
      <c r="H45" s="856">
        <f>'1. T1 INVESTERINGSP.'!E55/1000</f>
        <v>0</v>
      </c>
      <c r="I45" s="856">
        <f>'1. T1 INVESTERINGSP.'!F55/1000</f>
        <v>0</v>
      </c>
      <c r="J45" s="856">
        <f>'1. T1 INVESTERINGSP.'!G55/1000</f>
        <v>0</v>
      </c>
      <c r="K45" s="856">
        <f>'1. T1 INVESTERINGSP.'!H55/1000</f>
        <v>0</v>
      </c>
      <c r="L45" s="1524" t="str">
        <f>'1. T1 INVESTERINGSP.'!J54</f>
        <v xml:space="preserve">Finnvera </v>
      </c>
      <c r="M45" s="842"/>
      <c r="N45" s="841"/>
      <c r="O45" s="832">
        <f>'1. T1 INVESTERINGSP.'!L54</f>
        <v>0</v>
      </c>
      <c r="P45" s="840">
        <f>'1. T1 INVESTERINGSP.'!M54</f>
        <v>0</v>
      </c>
      <c r="Q45" s="841"/>
      <c r="R45" s="637"/>
    </row>
    <row r="46" spans="1:18" ht="12" customHeight="1">
      <c r="A46" s="53"/>
      <c r="B46" s="829" t="s">
        <v>46</v>
      </c>
      <c r="C46" s="849" t="str">
        <f>'1. T1 INVESTERINGSP.'!C56</f>
        <v>Bank</v>
      </c>
      <c r="D46" s="912"/>
      <c r="E46" s="912"/>
      <c r="F46" s="831"/>
      <c r="G46" s="856">
        <f>'1. T1 INVESTERINGSP.'!D56/1000</f>
        <v>0</v>
      </c>
      <c r="H46" s="856">
        <f>'1. T1 INVESTERINGSP.'!E56/1000</f>
        <v>0</v>
      </c>
      <c r="I46" s="856">
        <f>'1. T1 INVESTERINGSP.'!F56/1000</f>
        <v>0</v>
      </c>
      <c r="J46" s="856">
        <f>'1. T1 INVESTERINGSP.'!G56/1000</f>
        <v>0</v>
      </c>
      <c r="K46" s="856">
        <f>'1. T1 INVESTERINGSP.'!H56/1000</f>
        <v>0</v>
      </c>
      <c r="L46" s="1524" t="str">
        <f>'1. T1 INVESTERINGSP.'!J55</f>
        <v>Bank</v>
      </c>
      <c r="M46" s="842"/>
      <c r="N46" s="833"/>
      <c r="O46" s="832">
        <f>'1. T1 INVESTERINGSP.'!L55</f>
        <v>0</v>
      </c>
      <c r="P46" s="840">
        <f>'1. T1 INVESTERINGSP.'!M55</f>
        <v>0</v>
      </c>
      <c r="Q46" s="841"/>
      <c r="R46" s="637"/>
    </row>
    <row r="47" spans="1:18" ht="12" customHeight="1">
      <c r="A47" s="2"/>
      <c r="B47" s="829" t="s">
        <v>47</v>
      </c>
      <c r="C47" s="849" t="str">
        <f>'1. T1 INVESTERINGSP.'!C57</f>
        <v>Avbetalning, pensionsförsäkringsbolagets lån</v>
      </c>
      <c r="D47" s="912"/>
      <c r="E47" s="912"/>
      <c r="F47" s="831"/>
      <c r="G47" s="856">
        <f>'1. T1 INVESTERINGSP.'!D57/1000</f>
        <v>0</v>
      </c>
      <c r="H47" s="856">
        <f>'1. T1 INVESTERINGSP.'!E57/1000</f>
        <v>0</v>
      </c>
      <c r="I47" s="856">
        <f>'1. T1 INVESTERINGSP.'!F57/1000</f>
        <v>0</v>
      </c>
      <c r="J47" s="856">
        <f>'1. T1 INVESTERINGSP.'!G57/1000</f>
        <v>0</v>
      </c>
      <c r="K47" s="856">
        <f>'1. T1 INVESTERINGSP.'!H57/1000</f>
        <v>0</v>
      </c>
      <c r="L47" s="1524" t="str">
        <f>'1. T1 INVESTERINGSP.'!J56</f>
        <v>Avbetalning</v>
      </c>
      <c r="M47" s="842"/>
      <c r="N47" s="833"/>
      <c r="O47" s="832">
        <f>'1. T1 INVESTERINGSP.'!L56</f>
        <v>0</v>
      </c>
      <c r="P47" s="840">
        <f>'1. T1 INVESTERINGSP.'!M56</f>
        <v>0</v>
      </c>
      <c r="Q47" s="841"/>
      <c r="R47" s="637"/>
    </row>
    <row r="48" spans="1:18" ht="12" customHeight="1">
      <c r="B48" s="829" t="s">
        <v>48</v>
      </c>
      <c r="C48" s="849" t="s">
        <v>546</v>
      </c>
      <c r="D48" s="912"/>
      <c r="E48" s="912"/>
      <c r="F48" s="831"/>
      <c r="G48" s="856">
        <f>('1. T1 INVESTERINGSP.'!D58+'1. T1 INVESTERINGSP.'!D59)/1000</f>
        <v>0</v>
      </c>
      <c r="H48" s="856">
        <f>('1. T1 INVESTERINGSP.'!E58+'1. T1 INVESTERINGSP.'!E59)/1000</f>
        <v>0</v>
      </c>
      <c r="I48" s="856">
        <f>('1. T1 INVESTERINGSP.'!F58+'1. T1 INVESTERINGSP.'!F59)/1000</f>
        <v>0</v>
      </c>
      <c r="J48" s="856">
        <f>('1. T1 INVESTERINGSP.'!G58+'1. T1 INVESTERINGSP.'!G59)/1000</f>
        <v>0</v>
      </c>
      <c r="K48" s="856">
        <f>('1. T1 INVESTERINGSP.'!H58+'1. T1 INVESTERINGSP.'!H59)/1000</f>
        <v>0</v>
      </c>
      <c r="L48" s="1524" t="str">
        <f>'1. T1 INVESTERINGSP.'!J57</f>
        <v>Lån av försäkringsbolag</v>
      </c>
      <c r="M48" s="842"/>
      <c r="N48" s="833"/>
      <c r="O48" s="832">
        <f>'1. T1 INVESTERINGSP.'!L57</f>
        <v>0</v>
      </c>
      <c r="P48" s="840">
        <f>'1. T1 INVESTERINGSP.'!M57</f>
        <v>0</v>
      </c>
      <c r="Q48" s="841"/>
      <c r="R48" s="637"/>
    </row>
    <row r="49" spans="2:18" ht="12" customHeight="1">
      <c r="B49" s="829" t="s">
        <v>18</v>
      </c>
      <c r="C49" s="834" t="s">
        <v>186</v>
      </c>
      <c r="D49" s="912"/>
      <c r="E49" s="912"/>
      <c r="F49" s="830"/>
      <c r="G49" s="856">
        <f>'1. T1 INVESTERINGSP.'!D60/1000</f>
        <v>0</v>
      </c>
      <c r="H49" s="856">
        <f>'1. T1 INVESTERINGSP.'!E60/1000</f>
        <v>0</v>
      </c>
      <c r="I49" s="856">
        <f>'1. T1 INVESTERINGSP.'!F60/1000</f>
        <v>0</v>
      </c>
      <c r="J49" s="856">
        <f>'1. T1 INVESTERINGSP.'!G60/1000</f>
        <v>0</v>
      </c>
      <c r="K49" s="856">
        <f>'1. T1 INVESTERINGSP.'!H60/1000</f>
        <v>0</v>
      </c>
      <c r="L49" s="455"/>
      <c r="M49" s="454"/>
      <c r="N49" s="454"/>
      <c r="O49" s="454"/>
      <c r="P49" s="454"/>
      <c r="Q49" s="454"/>
      <c r="R49" s="579"/>
    </row>
    <row r="50" spans="2:18" ht="12" customHeight="1">
      <c r="B50" s="1579" t="s">
        <v>494</v>
      </c>
      <c r="C50" s="834" t="s">
        <v>187</v>
      </c>
      <c r="D50" s="912"/>
      <c r="E50" s="912"/>
      <c r="F50" s="830"/>
      <c r="G50" s="856">
        <f>'1. T1 INVESTERINGSP.'!D61/1000</f>
        <v>0</v>
      </c>
      <c r="H50" s="856">
        <f>'1. T1 INVESTERINGSP.'!E61/1000</f>
        <v>0</v>
      </c>
      <c r="I50" s="856">
        <f>'1. T1 INVESTERINGSP.'!F61/1000</f>
        <v>0</v>
      </c>
      <c r="J50" s="856">
        <f>'1. T1 INVESTERINGSP.'!G61/1000</f>
        <v>0</v>
      </c>
      <c r="K50" s="856">
        <f>'1. T1 INVESTERINGSP.'!H61/1000</f>
        <v>0</v>
      </c>
      <c r="L50" s="455"/>
      <c r="M50" s="454"/>
      <c r="N50" s="454"/>
      <c r="O50" s="454"/>
      <c r="P50" s="454"/>
      <c r="Q50" s="454"/>
      <c r="R50" s="579"/>
    </row>
    <row r="51" spans="2:18" ht="11.25" customHeight="1">
      <c r="B51" s="1579" t="s">
        <v>495</v>
      </c>
      <c r="C51" s="1580" t="s">
        <v>188</v>
      </c>
      <c r="D51" s="1581"/>
      <c r="E51" s="1581"/>
      <c r="F51" s="1582"/>
      <c r="G51" s="836">
        <f>'1. T1 INVESTERINGSP.'!D62/1000</f>
        <v>0</v>
      </c>
      <c r="H51" s="836">
        <f>'1. T1 INVESTERINGSP.'!E62/1000</f>
        <v>0</v>
      </c>
      <c r="I51" s="836">
        <f>'1. T1 INVESTERINGSP.'!F62/1000</f>
        <v>0</v>
      </c>
      <c r="J51" s="836">
        <f>'1. T1 INVESTERINGSP.'!G62/1000</f>
        <v>0</v>
      </c>
      <c r="K51" s="836">
        <f>'1. T1 INVESTERINGSP.'!H62/1000</f>
        <v>0</v>
      </c>
      <c r="L51" s="1583"/>
      <c r="M51" s="1584"/>
      <c r="N51" s="1584"/>
      <c r="O51" s="1584"/>
      <c r="P51" s="1584"/>
      <c r="Q51" s="1584"/>
      <c r="R51" s="1585"/>
    </row>
    <row r="52" spans="2:18" ht="12.65" customHeight="1">
      <c r="B52" s="137"/>
      <c r="C52" s="137"/>
      <c r="D52" s="137"/>
      <c r="E52" s="137"/>
      <c r="F52" s="137"/>
      <c r="G52" s="137"/>
      <c r="H52" s="137"/>
      <c r="I52" s="137"/>
      <c r="J52" s="137"/>
      <c r="K52" s="137"/>
      <c r="L52" s="137"/>
      <c r="M52" s="137"/>
      <c r="N52" s="137"/>
      <c r="O52" s="137"/>
      <c r="P52" s="137"/>
    </row>
    <row r="53" spans="2:18" ht="11.25" customHeight="1">
      <c r="B53" s="2227" t="s">
        <v>462</v>
      </c>
      <c r="C53" s="2246"/>
      <c r="D53" s="1565"/>
      <c r="E53" s="2251"/>
      <c r="F53" s="2251"/>
      <c r="G53" s="1566"/>
      <c r="H53" s="1566"/>
      <c r="I53" s="1567"/>
      <c r="J53" s="1568"/>
      <c r="K53" s="2233" t="s">
        <v>158</v>
      </c>
      <c r="L53" s="2252"/>
      <c r="M53" s="2233" t="s">
        <v>159</v>
      </c>
      <c r="N53" s="2252"/>
      <c r="O53" s="2233" t="s">
        <v>160</v>
      </c>
      <c r="P53" s="2252"/>
      <c r="Q53" s="2233" t="s">
        <v>161</v>
      </c>
      <c r="R53" s="2234"/>
    </row>
    <row r="54" spans="2:18" ht="11.25" customHeight="1">
      <c r="B54" s="2247"/>
      <c r="C54" s="2248"/>
      <c r="D54" s="1521"/>
      <c r="E54" s="2253"/>
      <c r="F54" s="2253"/>
      <c r="G54" s="1517"/>
      <c r="H54" s="1517"/>
      <c r="I54" s="1546"/>
      <c r="J54" s="1522"/>
      <c r="K54" s="2237">
        <f>G36</f>
        <v>2025</v>
      </c>
      <c r="L54" s="2238"/>
      <c r="M54" s="2237">
        <f>H36</f>
        <v>2026</v>
      </c>
      <c r="N54" s="2238"/>
      <c r="O54" s="2237">
        <f>I36</f>
        <v>2027</v>
      </c>
      <c r="P54" s="2238"/>
      <c r="Q54" s="2235">
        <f>J36</f>
        <v>2028</v>
      </c>
      <c r="R54" s="2236"/>
    </row>
    <row r="55" spans="2:18" ht="11.25" customHeight="1">
      <c r="B55" s="2249"/>
      <c r="C55" s="2250"/>
      <c r="D55" s="1569"/>
      <c r="E55" s="1570"/>
      <c r="F55" s="1571"/>
      <c r="G55" s="1572"/>
      <c r="H55" s="1572"/>
      <c r="I55" s="1570"/>
      <c r="J55" s="1573"/>
      <c r="K55" s="1574" t="s">
        <v>140</v>
      </c>
      <c r="L55" s="1575" t="s">
        <v>13</v>
      </c>
      <c r="M55" s="1574" t="s">
        <v>140</v>
      </c>
      <c r="N55" s="1576" t="s">
        <v>13</v>
      </c>
      <c r="O55" s="1577" t="s">
        <v>140</v>
      </c>
      <c r="P55" s="1576" t="s">
        <v>13</v>
      </c>
      <c r="Q55" s="1574" t="s">
        <v>140</v>
      </c>
      <c r="R55" s="1578" t="s">
        <v>13</v>
      </c>
    </row>
    <row r="56" spans="2:18" ht="11.25" customHeight="1">
      <c r="B56" s="1638"/>
      <c r="C56" s="1639" t="s">
        <v>194</v>
      </c>
      <c r="D56" s="1640"/>
      <c r="E56" s="1640"/>
      <c r="F56" s="1640"/>
      <c r="G56" s="1640"/>
      <c r="H56" s="1640"/>
      <c r="I56" s="1640"/>
      <c r="J56" s="1641"/>
      <c r="K56" s="2239">
        <f>'7. T2 RESULTATB.'!G10</f>
        <v>12</v>
      </c>
      <c r="L56" s="2240"/>
      <c r="M56" s="2239" t="str">
        <f>'7. T2 RESULTATB.'!I10</f>
        <v>12</v>
      </c>
      <c r="N56" s="2240"/>
      <c r="O56" s="2239" t="str">
        <f>'7. T2 RESULTATB.'!K10</f>
        <v>12</v>
      </c>
      <c r="P56" s="2240"/>
      <c r="Q56" s="2239" t="str">
        <f>'7. T2 RESULTATB.'!M10</f>
        <v>12</v>
      </c>
      <c r="R56" s="2241"/>
    </row>
    <row r="57" spans="2:18" ht="12" customHeight="1">
      <c r="B57" s="829" t="s">
        <v>2</v>
      </c>
      <c r="C57" s="583" t="s">
        <v>196</v>
      </c>
      <c r="D57" s="583"/>
      <c r="E57" s="583"/>
      <c r="F57" s="583"/>
      <c r="G57" s="583"/>
      <c r="H57" s="583"/>
      <c r="I57" s="1633"/>
      <c r="J57" s="1634"/>
      <c r="K57" s="1588">
        <f>'7. T2 RESULTATB.'!G11/1000</f>
        <v>0</v>
      </c>
      <c r="L57" s="1635">
        <v>0</v>
      </c>
      <c r="M57" s="1588">
        <f>'7. T2 RESULTATB.'!I11/1000</f>
        <v>0</v>
      </c>
      <c r="N57" s="1635">
        <v>0</v>
      </c>
      <c r="O57" s="1588">
        <f>'7. T2 RESULTATB.'!K11/1000</f>
        <v>0</v>
      </c>
      <c r="P57" s="1635">
        <v>0</v>
      </c>
      <c r="Q57" s="1636">
        <f>'7. T2 RESULTATB.'!M11/1000</f>
        <v>0</v>
      </c>
      <c r="R57" s="1637">
        <v>0</v>
      </c>
    </row>
    <row r="58" spans="2:18" ht="12" customHeight="1">
      <c r="B58" s="829" t="s">
        <v>3</v>
      </c>
      <c r="C58" s="834" t="s">
        <v>197</v>
      </c>
      <c r="D58" s="834"/>
      <c r="E58" s="834"/>
      <c r="F58" s="834"/>
      <c r="G58" s="834"/>
      <c r="H58" s="834"/>
      <c r="I58" s="903"/>
      <c r="J58" s="904"/>
      <c r="K58" s="896">
        <f>'7. T2 RESULTATB.'!G12/1000</f>
        <v>0</v>
      </c>
      <c r="L58" s="918"/>
      <c r="M58" s="896">
        <f>'7. T2 RESULTATB.'!I12/1000</f>
        <v>0</v>
      </c>
      <c r="N58" s="918"/>
      <c r="O58" s="896">
        <f>'7. T2 RESULTATB.'!K12/1000</f>
        <v>0</v>
      </c>
      <c r="P58" s="918"/>
      <c r="Q58" s="897">
        <f>'7. T2 RESULTATB.'!M12/1000</f>
        <v>0</v>
      </c>
      <c r="R58" s="924"/>
    </row>
    <row r="59" spans="2:18" ht="12" customHeight="1">
      <c r="B59" s="829" t="s">
        <v>4</v>
      </c>
      <c r="C59" s="834" t="s">
        <v>198</v>
      </c>
      <c r="D59" s="834"/>
      <c r="E59" s="834"/>
      <c r="F59" s="834"/>
      <c r="G59" s="834"/>
      <c r="H59" s="834"/>
      <c r="I59" s="903"/>
      <c r="J59" s="904"/>
      <c r="K59" s="896">
        <f>'7. T2 RESULTATB.'!G13/1000</f>
        <v>0</v>
      </c>
      <c r="L59" s="918"/>
      <c r="M59" s="896">
        <f>'7. T2 RESULTATB.'!I13/1000</f>
        <v>0</v>
      </c>
      <c r="N59" s="918"/>
      <c r="O59" s="896">
        <f>'7. T2 RESULTATB.'!K13/1000</f>
        <v>0</v>
      </c>
      <c r="P59" s="918"/>
      <c r="Q59" s="897">
        <f>'7. T2 RESULTATB.'!M13/1000</f>
        <v>0</v>
      </c>
      <c r="R59" s="924"/>
    </row>
    <row r="60" spans="2:18" ht="12" customHeight="1">
      <c r="B60" s="829" t="s">
        <v>5</v>
      </c>
      <c r="C60" s="835" t="s">
        <v>199</v>
      </c>
      <c r="D60" s="834"/>
      <c r="E60" s="834"/>
      <c r="F60" s="834"/>
      <c r="G60" s="834"/>
      <c r="H60" s="834"/>
      <c r="I60" s="905"/>
      <c r="J60" s="906"/>
      <c r="K60" s="898">
        <f>'7. T2 RESULTATB.'!G14/1000</f>
        <v>0</v>
      </c>
      <c r="L60" s="919">
        <v>100</v>
      </c>
      <c r="M60" s="898">
        <f>'7. T2 RESULTATB.'!I14/1000</f>
        <v>0</v>
      </c>
      <c r="N60" s="919">
        <v>100</v>
      </c>
      <c r="O60" s="898">
        <f>'7. T2 RESULTATB.'!K14/1000</f>
        <v>0</v>
      </c>
      <c r="P60" s="919">
        <v>100</v>
      </c>
      <c r="Q60" s="899">
        <f>'7. T2 RESULTATB.'!M14/1000</f>
        <v>0</v>
      </c>
      <c r="R60" s="925">
        <v>100</v>
      </c>
    </row>
    <row r="61" spans="2:18" ht="12" customHeight="1">
      <c r="B61" s="829" t="s">
        <v>6</v>
      </c>
      <c r="C61" s="834" t="s">
        <v>200</v>
      </c>
      <c r="D61" s="834"/>
      <c r="E61" s="834"/>
      <c r="F61" s="834"/>
      <c r="G61" s="834"/>
      <c r="H61" s="834"/>
      <c r="I61" s="903"/>
      <c r="J61" s="904"/>
      <c r="K61" s="896">
        <f>'7. T2 RESULTATB.'!G15/1000</f>
        <v>0</v>
      </c>
      <c r="L61" s="920">
        <f>'7. T2 RESULTATB.'!H15</f>
        <v>0</v>
      </c>
      <c r="M61" s="896">
        <f>'7. T2 RESULTATB.'!I15/1000</f>
        <v>0</v>
      </c>
      <c r="N61" s="920">
        <f>'7. T2 RESULTATB.'!J15</f>
        <v>0</v>
      </c>
      <c r="O61" s="896">
        <f>'7. T2 RESULTATB.'!K15/1000</f>
        <v>0</v>
      </c>
      <c r="P61" s="920">
        <f>'7. T2 RESULTATB.'!L15</f>
        <v>0</v>
      </c>
      <c r="Q61" s="897">
        <f>'7. T2 RESULTATB.'!M15/1000</f>
        <v>0</v>
      </c>
      <c r="R61" s="926">
        <f>'7. T2 RESULTATB.'!N15</f>
        <v>0</v>
      </c>
    </row>
    <row r="62" spans="2:18" ht="12" customHeight="1">
      <c r="B62" s="829" t="s">
        <v>7</v>
      </c>
      <c r="C62" s="834" t="s">
        <v>201</v>
      </c>
      <c r="D62" s="834"/>
      <c r="E62" s="834"/>
      <c r="F62" s="834"/>
      <c r="G62" s="834"/>
      <c r="H62" s="834"/>
      <c r="I62" s="903"/>
      <c r="J62" s="904"/>
      <c r="K62" s="896">
        <f>'7. T2 RESULTATB.'!G16/1000</f>
        <v>0</v>
      </c>
      <c r="L62" s="920">
        <f>'7. T2 RESULTATB.'!H16</f>
        <v>0</v>
      </c>
      <c r="M62" s="896">
        <f>'7. T2 RESULTATB.'!I16/1000</f>
        <v>0</v>
      </c>
      <c r="N62" s="920">
        <f>'7. T2 RESULTATB.'!J16</f>
        <v>0</v>
      </c>
      <c r="O62" s="896">
        <f>'7. T2 RESULTATB.'!K16/1000</f>
        <v>0</v>
      </c>
      <c r="P62" s="920">
        <f>'7. T2 RESULTATB.'!L16</f>
        <v>0</v>
      </c>
      <c r="Q62" s="897">
        <f>'7. T2 RESULTATB.'!M16/1000</f>
        <v>0</v>
      </c>
      <c r="R62" s="926">
        <f>'7. T2 RESULTATB.'!N16</f>
        <v>0</v>
      </c>
    </row>
    <row r="63" spans="2:18" ht="12" customHeight="1">
      <c r="B63" s="829" t="s">
        <v>8</v>
      </c>
      <c r="C63" s="834" t="s">
        <v>463</v>
      </c>
      <c r="D63" s="834"/>
      <c r="E63" s="834"/>
      <c r="F63" s="834"/>
      <c r="G63" s="834"/>
      <c r="H63" s="834"/>
      <c r="I63" s="903"/>
      <c r="J63" s="904"/>
      <c r="K63" s="896">
        <f>'7. T2 RESULTATB.'!G17/1000</f>
        <v>0</v>
      </c>
      <c r="L63" s="920">
        <f>'7. T2 RESULTATB.'!H17</f>
        <v>0</v>
      </c>
      <c r="M63" s="896">
        <f>'7. T2 RESULTATB.'!I17/1000</f>
        <v>0</v>
      </c>
      <c r="N63" s="920">
        <f>'7. T2 RESULTATB.'!J17</f>
        <v>0</v>
      </c>
      <c r="O63" s="896">
        <f>'7. T2 RESULTATB.'!K17/1000</f>
        <v>0</v>
      </c>
      <c r="P63" s="920">
        <f>'7. T2 RESULTATB.'!L17</f>
        <v>0</v>
      </c>
      <c r="Q63" s="897">
        <f>'7. T2 RESULTATB.'!M17/1000</f>
        <v>0</v>
      </c>
      <c r="R63" s="926">
        <f>'7. T2 RESULTATB.'!N17</f>
        <v>0</v>
      </c>
    </row>
    <row r="64" spans="2:18" ht="12" customHeight="1">
      <c r="B64" s="829" t="s">
        <v>9</v>
      </c>
      <c r="C64" s="834" t="s">
        <v>203</v>
      </c>
      <c r="D64" s="834"/>
      <c r="E64" s="834"/>
      <c r="F64" s="834"/>
      <c r="G64" s="834"/>
      <c r="H64" s="834"/>
      <c r="I64" s="903"/>
      <c r="J64" s="904"/>
      <c r="K64" s="896">
        <f>'7. T2 RESULTATB.'!G18/1000</f>
        <v>0</v>
      </c>
      <c r="L64" s="920">
        <f>'7. T2 RESULTATB.'!H18</f>
        <v>0</v>
      </c>
      <c r="M64" s="896">
        <f>'7. T2 RESULTATB.'!I18/1000</f>
        <v>0</v>
      </c>
      <c r="N64" s="920">
        <f>'7. T2 RESULTATB.'!J18</f>
        <v>0</v>
      </c>
      <c r="O64" s="896">
        <f>'7. T2 RESULTATB.'!K18/1000</f>
        <v>0</v>
      </c>
      <c r="P64" s="920">
        <f>'7. T2 RESULTATB.'!L18</f>
        <v>0</v>
      </c>
      <c r="Q64" s="897">
        <f>'7. T2 RESULTATB.'!M18/1000</f>
        <v>0</v>
      </c>
      <c r="R64" s="926">
        <f>'7. T2 RESULTATB.'!N18</f>
        <v>0</v>
      </c>
    </row>
    <row r="65" spans="2:18" ht="12" customHeight="1">
      <c r="B65" s="829" t="s">
        <v>10</v>
      </c>
      <c r="C65" s="834" t="s">
        <v>204</v>
      </c>
      <c r="D65" s="834"/>
      <c r="E65" s="834"/>
      <c r="F65" s="834"/>
      <c r="G65" s="834"/>
      <c r="H65" s="834"/>
      <c r="I65" s="903"/>
      <c r="J65" s="904"/>
      <c r="K65" s="900"/>
      <c r="L65" s="921">
        <f>'7. T2 RESULTATB.'!H19</f>
        <v>0</v>
      </c>
      <c r="M65" s="896">
        <f>'7. T2 RESULTATB.'!I19/1000</f>
        <v>0</v>
      </c>
      <c r="N65" s="920">
        <f>'7. T2 RESULTATB.'!J19</f>
        <v>0</v>
      </c>
      <c r="O65" s="896">
        <f>'7. T2 RESULTATB.'!K19/1000</f>
        <v>0</v>
      </c>
      <c r="P65" s="920">
        <f>'7. T2 RESULTATB.'!L19</f>
        <v>0</v>
      </c>
      <c r="Q65" s="897">
        <f>'7. T2 RESULTATB.'!M19/1000</f>
        <v>0</v>
      </c>
      <c r="R65" s="926">
        <f>'7. T2 RESULTATB.'!N19</f>
        <v>0</v>
      </c>
    </row>
    <row r="66" spans="2:18" ht="12" customHeight="1">
      <c r="B66" s="829" t="s">
        <v>11</v>
      </c>
      <c r="C66" s="835" t="s">
        <v>205</v>
      </c>
      <c r="D66" s="834"/>
      <c r="E66" s="834"/>
      <c r="F66" s="834"/>
      <c r="G66" s="834"/>
      <c r="H66" s="834"/>
      <c r="I66" s="905"/>
      <c r="J66" s="907"/>
      <c r="K66" s="898">
        <f>'7. T2 RESULTATB.'!G20/1000</f>
        <v>0</v>
      </c>
      <c r="L66" s="922">
        <f>'7. T2 RESULTATB.'!H20</f>
        <v>0</v>
      </c>
      <c r="M66" s="898">
        <f>'7. T2 RESULTATB.'!I20/1000</f>
        <v>0</v>
      </c>
      <c r="N66" s="922">
        <f>'7. T2 RESULTATB.'!J20</f>
        <v>0</v>
      </c>
      <c r="O66" s="898">
        <f>'7. T2 RESULTATB.'!K20/1000</f>
        <v>0</v>
      </c>
      <c r="P66" s="922">
        <f>'7. T2 RESULTATB.'!L20</f>
        <v>0</v>
      </c>
      <c r="Q66" s="899">
        <f>'7. T2 RESULTATB.'!M20/1000</f>
        <v>0</v>
      </c>
      <c r="R66" s="927">
        <f>'7. T2 RESULTATB.'!N20</f>
        <v>0</v>
      </c>
    </row>
    <row r="67" spans="2:18" ht="12" customHeight="1">
      <c r="B67" s="829" t="s">
        <v>41</v>
      </c>
      <c r="C67" s="834" t="s">
        <v>206</v>
      </c>
      <c r="D67" s="834"/>
      <c r="E67" s="834"/>
      <c r="F67" s="834"/>
      <c r="G67" s="834"/>
      <c r="H67" s="834"/>
      <c r="I67" s="903"/>
      <c r="J67" s="904"/>
      <c r="K67" s="896">
        <f>'7. T2 RESULTATB.'!G21/1000</f>
        <v>0</v>
      </c>
      <c r="L67" s="929">
        <f>'7. T2 RESULTATB.'!H21</f>
        <v>0</v>
      </c>
      <c r="M67" s="896">
        <f>'7. T2 RESULTATB.'!I21/1000</f>
        <v>0</v>
      </c>
      <c r="N67" s="929">
        <f>'7. T2 RESULTATB.'!J21</f>
        <v>0</v>
      </c>
      <c r="O67" s="896">
        <f>'7. T2 RESULTATB.'!K21/1000</f>
        <v>0</v>
      </c>
      <c r="P67" s="929">
        <f>'7. T2 RESULTATB.'!L21</f>
        <v>0</v>
      </c>
      <c r="Q67" s="897">
        <f>'7. T2 RESULTATB.'!M21/1000</f>
        <v>0</v>
      </c>
      <c r="R67" s="930">
        <f>'7. T2 RESULTATB.'!N21</f>
        <v>0</v>
      </c>
    </row>
    <row r="68" spans="2:18" ht="12" customHeight="1">
      <c r="B68" s="829" t="s">
        <v>42</v>
      </c>
      <c r="C68" s="835" t="s">
        <v>207</v>
      </c>
      <c r="D68" s="834"/>
      <c r="E68" s="834"/>
      <c r="F68" s="834"/>
      <c r="G68" s="834"/>
      <c r="H68" s="834"/>
      <c r="I68" s="905"/>
      <c r="J68" s="907"/>
      <c r="K68" s="898">
        <f>'7. T2 RESULTATB.'!G22/1000</f>
        <v>0</v>
      </c>
      <c r="L68" s="922">
        <f>'7. T2 RESULTATB.'!H22</f>
        <v>0</v>
      </c>
      <c r="M68" s="898">
        <f>'7. T2 RESULTATB.'!I22/1000</f>
        <v>0</v>
      </c>
      <c r="N68" s="922">
        <f>'7. T2 RESULTATB.'!J22</f>
        <v>0</v>
      </c>
      <c r="O68" s="898">
        <f>'7. T2 RESULTATB.'!K22/1000</f>
        <v>0</v>
      </c>
      <c r="P68" s="922">
        <f>'7. T2 RESULTATB.'!L22</f>
        <v>0</v>
      </c>
      <c r="Q68" s="898">
        <f>'7. T2 RESULTATB.'!M22/1000</f>
        <v>0</v>
      </c>
      <c r="R68" s="927">
        <f>'7. T2 RESULTATB.'!N22</f>
        <v>0</v>
      </c>
    </row>
    <row r="69" spans="2:18" ht="12" customHeight="1">
      <c r="B69" s="829" t="s">
        <v>141</v>
      </c>
      <c r="C69" s="834" t="s">
        <v>208</v>
      </c>
      <c r="D69" s="834"/>
      <c r="E69" s="834"/>
      <c r="F69" s="834"/>
      <c r="G69" s="834"/>
      <c r="H69" s="834"/>
      <c r="I69" s="903"/>
      <c r="J69" s="904"/>
      <c r="K69" s="1315">
        <f>'7. T2 RESULTATB.'!G23/1000</f>
        <v>0</v>
      </c>
      <c r="L69" s="931">
        <f>'7. T2 RESULTATB.'!H23</f>
        <v>0</v>
      </c>
      <c r="M69" s="1315">
        <f>'7. T2 RESULTATB.'!I23/1000</f>
        <v>0</v>
      </c>
      <c r="N69" s="931">
        <f>'7. T2 RESULTATB.'!J23</f>
        <v>0</v>
      </c>
      <c r="O69" s="896">
        <f>'7. T2 RESULTATB.'!K23/1000</f>
        <v>0</v>
      </c>
      <c r="P69" s="931">
        <f>'7. T2 RESULTATB.'!L23</f>
        <v>0</v>
      </c>
      <c r="Q69" s="897">
        <f>'7. T2 RESULTATB.'!M23/1000</f>
        <v>0</v>
      </c>
      <c r="R69" s="932">
        <f>'7. T2 RESULTATB.'!N23</f>
        <v>0</v>
      </c>
    </row>
    <row r="70" spans="2:18" ht="12" customHeight="1">
      <c r="B70" s="829" t="s">
        <v>43</v>
      </c>
      <c r="C70" s="834" t="s">
        <v>210</v>
      </c>
      <c r="D70" s="834"/>
      <c r="E70" s="834"/>
      <c r="F70" s="834"/>
      <c r="G70" s="834"/>
      <c r="H70" s="834"/>
      <c r="I70" s="903"/>
      <c r="J70" s="904"/>
      <c r="K70" s="1315">
        <f>'7. T2 RESULTATB.'!G24/1000</f>
        <v>0</v>
      </c>
      <c r="L70" s="931">
        <f>'7. T2 RESULTATB.'!H24</f>
        <v>0</v>
      </c>
      <c r="M70" s="1315">
        <f>'7. T2 RESULTATB.'!I24/1000</f>
        <v>0</v>
      </c>
      <c r="N70" s="931">
        <f>'7. T2 RESULTATB.'!J24</f>
        <v>0</v>
      </c>
      <c r="O70" s="896">
        <f>'7. T2 RESULTATB.'!K24/1000</f>
        <v>0</v>
      </c>
      <c r="P70" s="931">
        <f>'7. T2 RESULTATB.'!L24</f>
        <v>0</v>
      </c>
      <c r="Q70" s="897">
        <f>'7. T2 RESULTATB.'!M24/1000</f>
        <v>0</v>
      </c>
      <c r="R70" s="932">
        <f>'7. T2 RESULTATB.'!N24</f>
        <v>0</v>
      </c>
    </row>
    <row r="71" spans="2:18" ht="12" customHeight="1">
      <c r="B71" s="829" t="s">
        <v>44</v>
      </c>
      <c r="C71" s="834" t="s">
        <v>209</v>
      </c>
      <c r="D71" s="834"/>
      <c r="E71" s="834"/>
      <c r="F71" s="834"/>
      <c r="G71" s="834"/>
      <c r="H71" s="834"/>
      <c r="I71" s="903"/>
      <c r="J71" s="904"/>
      <c r="K71" s="1315">
        <f>'7. T2 RESULTATB.'!G25/1000</f>
        <v>0</v>
      </c>
      <c r="L71" s="931">
        <f>'7. T2 RESULTATB.'!H25</f>
        <v>0</v>
      </c>
      <c r="M71" s="1315">
        <f>'7. T2 RESULTATB.'!I25/1000</f>
        <v>0</v>
      </c>
      <c r="N71" s="931">
        <f>'7. T2 RESULTATB.'!J25</f>
        <v>0</v>
      </c>
      <c r="O71" s="896">
        <f>'7. T2 RESULTATB.'!K25/1000</f>
        <v>0</v>
      </c>
      <c r="P71" s="931">
        <f>'7. T2 RESULTATB.'!L25</f>
        <v>0</v>
      </c>
      <c r="Q71" s="897">
        <f>'7. T2 RESULTATB.'!M25/1000</f>
        <v>0</v>
      </c>
      <c r="R71" s="932">
        <f>'7. T2 RESULTATB.'!N25</f>
        <v>0</v>
      </c>
    </row>
    <row r="72" spans="2:18" ht="12" customHeight="1">
      <c r="B72" s="829" t="s">
        <v>45</v>
      </c>
      <c r="C72" s="835" t="s">
        <v>211</v>
      </c>
      <c r="D72" s="834"/>
      <c r="E72" s="834"/>
      <c r="F72" s="834"/>
      <c r="G72" s="834"/>
      <c r="H72" s="834"/>
      <c r="I72" s="908"/>
      <c r="J72" s="909"/>
      <c r="K72" s="898">
        <f>'7. T2 RESULTATB.'!G26/1000</f>
        <v>0</v>
      </c>
      <c r="L72" s="923">
        <f>'7. T2 RESULTATB.'!H26</f>
        <v>0</v>
      </c>
      <c r="M72" s="898">
        <f>'7. T2 RESULTATB.'!I26/1000</f>
        <v>0</v>
      </c>
      <c r="N72" s="923">
        <f>'7. T2 RESULTATB.'!J26</f>
        <v>0</v>
      </c>
      <c r="O72" s="898">
        <f>'7. T2 RESULTATB.'!K26/1000</f>
        <v>0</v>
      </c>
      <c r="P72" s="923">
        <f>'7. T2 RESULTATB.'!L26</f>
        <v>0</v>
      </c>
      <c r="Q72" s="899">
        <f>'7. T2 RESULTATB.'!M26/1000</f>
        <v>0</v>
      </c>
      <c r="R72" s="928">
        <f>'7. T2 RESULTATB.'!N26</f>
        <v>0</v>
      </c>
    </row>
    <row r="73" spans="2:18" ht="12" customHeight="1">
      <c r="B73" s="829" t="s">
        <v>46</v>
      </c>
      <c r="C73" s="834" t="s">
        <v>212</v>
      </c>
      <c r="D73" s="834"/>
      <c r="E73" s="834"/>
      <c r="F73" s="834"/>
      <c r="G73" s="834"/>
      <c r="H73" s="834"/>
      <c r="I73" s="903"/>
      <c r="J73" s="904"/>
      <c r="K73" s="896">
        <f>'7. T2 RESULTATB.'!G27/1000</f>
        <v>0</v>
      </c>
      <c r="L73" s="931">
        <f>'7. T2 RESULTATB.'!H27</f>
        <v>0</v>
      </c>
      <c r="M73" s="896">
        <f>'7. T2 RESULTATB.'!I27/1000</f>
        <v>0</v>
      </c>
      <c r="N73" s="931">
        <f>'7. T2 RESULTATB.'!J27</f>
        <v>0</v>
      </c>
      <c r="O73" s="896">
        <f>'7. T2 RESULTATB.'!K27/1000</f>
        <v>0</v>
      </c>
      <c r="P73" s="931">
        <f>'7. T2 RESULTATB.'!L27</f>
        <v>0</v>
      </c>
      <c r="Q73" s="897">
        <f>'7. T2 RESULTATB.'!M27/1000</f>
        <v>0</v>
      </c>
      <c r="R73" s="932">
        <f>'7. T2 RESULTATB.'!N27</f>
        <v>0</v>
      </c>
    </row>
    <row r="74" spans="2:18" ht="12" customHeight="1">
      <c r="B74" s="829" t="s">
        <v>47</v>
      </c>
      <c r="C74" s="834" t="s">
        <v>214</v>
      </c>
      <c r="D74" s="834"/>
      <c r="E74" s="834"/>
      <c r="F74" s="834"/>
      <c r="G74" s="834"/>
      <c r="H74" s="834"/>
      <c r="I74" s="903"/>
      <c r="J74" s="904"/>
      <c r="K74" s="896">
        <f>'7. T2 RESULTATB.'!G29/1000</f>
        <v>0</v>
      </c>
      <c r="L74" s="931">
        <f>'7. T2 RESULTATB.'!H28</f>
        <v>0</v>
      </c>
      <c r="M74" s="896">
        <f>'7. T2 RESULTATB.'!I29/1000</f>
        <v>0</v>
      </c>
      <c r="N74" s="931">
        <f>'7. T2 RESULTATB.'!J28</f>
        <v>0</v>
      </c>
      <c r="O74" s="896">
        <f>'7. T2 RESULTATB.'!K29/1000</f>
        <v>0</v>
      </c>
      <c r="P74" s="931">
        <f>'7. T2 RESULTATB.'!L28</f>
        <v>0</v>
      </c>
      <c r="Q74" s="897">
        <f>'7. T2 RESULTATB.'!M29/1000</f>
        <v>0</v>
      </c>
      <c r="R74" s="932">
        <f>'7. T2 RESULTATB.'!N28</f>
        <v>0</v>
      </c>
    </row>
    <row r="75" spans="2:18" ht="12" customHeight="1">
      <c r="B75" s="829" t="s">
        <v>48</v>
      </c>
      <c r="C75" s="834" t="s">
        <v>464</v>
      </c>
      <c r="D75" s="834"/>
      <c r="E75" s="834"/>
      <c r="F75" s="834"/>
      <c r="G75" s="834"/>
      <c r="H75" s="834"/>
      <c r="I75" s="903"/>
      <c r="J75" s="904"/>
      <c r="K75" s="896">
        <f>'7. T2 RESULTATB.'!G30/1000</f>
        <v>0</v>
      </c>
      <c r="L75" s="931">
        <f>'7. T2 RESULTATB.'!H29</f>
        <v>0</v>
      </c>
      <c r="M75" s="896">
        <f>'7. T2 RESULTATB.'!I30/1000</f>
        <v>0</v>
      </c>
      <c r="N75" s="931">
        <f>'7. T2 RESULTATB.'!J29</f>
        <v>0</v>
      </c>
      <c r="O75" s="896">
        <f>'7. T2 RESULTATB.'!K30/1000</f>
        <v>0</v>
      </c>
      <c r="P75" s="931">
        <f>'7. T2 RESULTATB.'!L29</f>
        <v>0</v>
      </c>
      <c r="Q75" s="897">
        <f>'7. T2 RESULTATB.'!M30/1000</f>
        <v>0</v>
      </c>
      <c r="R75" s="932">
        <f>'7. T2 RESULTATB.'!N29</f>
        <v>0</v>
      </c>
    </row>
    <row r="76" spans="2:18" ht="12" customHeight="1">
      <c r="B76" s="829" t="s">
        <v>18</v>
      </c>
      <c r="C76" s="894" t="s">
        <v>215</v>
      </c>
      <c r="D76" s="895"/>
      <c r="E76" s="895"/>
      <c r="F76" s="895"/>
      <c r="G76" s="895"/>
      <c r="H76" s="895"/>
      <c r="I76" s="1586"/>
      <c r="J76" s="1587"/>
      <c r="K76" s="1588">
        <f>'7. T2 RESULTATB.'!G31/1000</f>
        <v>0</v>
      </c>
      <c r="L76" s="1589">
        <f>'7. T2 RESULTATB.'!H31</f>
        <v>0</v>
      </c>
      <c r="M76" s="1590">
        <f>'7. T2 RESULTATB.'!I31/1000</f>
        <v>0</v>
      </c>
      <c r="N76" s="1589">
        <f>'7. T2 RESULTATB.'!J31</f>
        <v>0</v>
      </c>
      <c r="O76" s="1590">
        <f>'7. T2 RESULTATB.'!K31/1000</f>
        <v>0</v>
      </c>
      <c r="P76" s="1589">
        <f>'7. T2 RESULTATB.'!L31</f>
        <v>0</v>
      </c>
      <c r="Q76" s="1591">
        <f>'7. T2 RESULTATB.'!M31/1000</f>
        <v>0</v>
      </c>
      <c r="R76" s="1592">
        <f>'7. T2 RESULTATB.'!N31</f>
        <v>0</v>
      </c>
    </row>
    <row r="77" spans="2:18" ht="12" customHeight="1">
      <c r="B77" s="1593"/>
      <c r="C77" s="1594" t="s">
        <v>216</v>
      </c>
      <c r="D77" s="1594"/>
      <c r="E77" s="1594"/>
      <c r="F77" s="1594"/>
      <c r="G77" s="1594"/>
      <c r="H77" s="1594"/>
      <c r="I77" s="2362"/>
      <c r="J77" s="2176"/>
      <c r="K77" s="2175">
        <f>'7. T2 RESULTATB.'!G33</f>
        <v>1</v>
      </c>
      <c r="L77" s="2176"/>
      <c r="M77" s="2175">
        <f>K77</f>
        <v>1</v>
      </c>
      <c r="N77" s="2176"/>
      <c r="O77" s="2175">
        <f>M77</f>
        <v>1</v>
      </c>
      <c r="P77" s="2176"/>
      <c r="Q77" s="2175">
        <f>O77</f>
        <v>1</v>
      </c>
      <c r="R77" s="2176"/>
    </row>
    <row r="78" spans="2:18" ht="12" customHeight="1">
      <c r="B78" s="1595"/>
      <c r="C78" s="1596" t="s">
        <v>659</v>
      </c>
      <c r="D78" s="1596"/>
      <c r="E78" s="1596"/>
      <c r="F78" s="1596"/>
      <c r="G78" s="1596"/>
      <c r="H78" s="1596"/>
      <c r="I78" s="2363"/>
      <c r="J78" s="2197"/>
      <c r="K78" s="2196">
        <f>'5. T4 FINANSIERINGSB.'!Q14</f>
        <v>0</v>
      </c>
      <c r="L78" s="2197"/>
      <c r="M78" s="2196">
        <f>'5. T4 FINANSIERINGSB.'!R14</f>
        <v>0</v>
      </c>
      <c r="N78" s="2197"/>
      <c r="O78" s="2196">
        <f>'5. T4 FINANSIERINGSB.'!S14</f>
        <v>0</v>
      </c>
      <c r="P78" s="2197"/>
      <c r="Q78" s="2196">
        <f>'5. T4 FINANSIERINGSB.'!T14</f>
        <v>0</v>
      </c>
      <c r="R78" s="2197"/>
    </row>
    <row r="79" spans="2:18" ht="12" customHeight="1">
      <c r="B79" s="138"/>
      <c r="C79" s="160"/>
      <c r="D79" s="160"/>
      <c r="E79" s="160"/>
      <c r="F79" s="160"/>
      <c r="G79" s="160"/>
      <c r="H79" s="160"/>
      <c r="I79" s="1004"/>
      <c r="J79" s="1004"/>
      <c r="K79" s="1004"/>
      <c r="L79" s="1004"/>
      <c r="M79" s="1004"/>
      <c r="N79" s="1004"/>
      <c r="O79" s="1004"/>
      <c r="P79" s="1004"/>
      <c r="Q79" s="1004"/>
      <c r="R79" s="1004"/>
    </row>
    <row r="80" spans="2:18" ht="12" customHeight="1">
      <c r="B80" s="456"/>
      <c r="C80" s="457"/>
      <c r="D80" s="457"/>
      <c r="E80" s="458"/>
      <c r="F80" s="458"/>
      <c r="G80" s="458"/>
      <c r="H80" s="458"/>
      <c r="I80" s="458"/>
      <c r="J80" s="458"/>
      <c r="K80" s="458"/>
      <c r="L80" s="458"/>
      <c r="M80" s="458"/>
      <c r="N80" s="458"/>
      <c r="O80" s="458"/>
      <c r="R80" s="863">
        <f>'6. T3 BALANS'!J100</f>
        <v>0</v>
      </c>
    </row>
    <row r="81" spans="2:27">
      <c r="B81" s="2382" t="str">
        <f>'1. T1 INVESTERINGSP.'!B66</f>
        <v>Tjänsten erbjuds av: Dynamo Närpes och Kristinestads näringslivscentral</v>
      </c>
      <c r="C81" s="2382"/>
      <c r="D81" s="2382"/>
      <c r="E81" s="2382"/>
      <c r="F81" s="2382"/>
      <c r="G81" s="2382"/>
      <c r="H81" s="2382"/>
      <c r="I81" s="2382"/>
      <c r="J81" s="2382"/>
      <c r="K81" s="2383" t="str">
        <f>STARTSIDAN!G26</f>
        <v xml:space="preserve">FT6 Det nya företagets resultatplan </v>
      </c>
      <c r="L81" s="2383"/>
      <c r="M81" s="2383"/>
      <c r="N81" s="2383"/>
      <c r="O81" s="2383"/>
      <c r="P81" s="2383"/>
      <c r="Q81" s="2383"/>
      <c r="R81" s="2383"/>
      <c r="S81" s="934"/>
      <c r="T81" s="934"/>
      <c r="U81" s="934"/>
      <c r="V81" s="934"/>
      <c r="W81" s="934"/>
      <c r="X81" s="934"/>
      <c r="Y81" s="934"/>
      <c r="Z81" s="934"/>
      <c r="AA81" s="934"/>
    </row>
    <row r="82" spans="2:27" ht="4.4000000000000004" customHeight="1">
      <c r="B82" s="371"/>
      <c r="C82" s="137"/>
      <c r="D82" s="137"/>
      <c r="E82" s="137"/>
      <c r="F82" s="137"/>
      <c r="G82" s="606"/>
      <c r="H82" s="606"/>
      <c r="I82" s="860"/>
      <c r="J82" s="860"/>
      <c r="K82" s="860"/>
      <c r="L82" s="860"/>
      <c r="M82" s="860"/>
      <c r="N82" s="860"/>
      <c r="O82" s="860"/>
      <c r="P82" s="860"/>
      <c r="Q82" s="858"/>
      <c r="R82" s="858"/>
      <c r="S82" s="858"/>
      <c r="T82" s="858"/>
      <c r="U82" s="858"/>
      <c r="V82" s="858"/>
      <c r="W82" s="858"/>
    </row>
    <row r="83" spans="2:27" ht="12.75" customHeight="1">
      <c r="B83" s="2156" t="s">
        <v>465</v>
      </c>
      <c r="C83" s="2156"/>
      <c r="D83" s="2156"/>
      <c r="E83" s="2156"/>
      <c r="F83" s="2156"/>
      <c r="G83" s="2156"/>
      <c r="H83" s="2156"/>
      <c r="I83" s="2156"/>
      <c r="J83" s="1742"/>
      <c r="K83" s="2364"/>
      <c r="L83" s="2364"/>
      <c r="M83" s="859"/>
      <c r="N83" s="859"/>
      <c r="O83" s="859"/>
      <c r="P83" s="859"/>
    </row>
    <row r="84" spans="2:27" ht="4.95" customHeight="1">
      <c r="B84" s="850"/>
      <c r="C84" s="850"/>
      <c r="D84" s="850"/>
      <c r="E84" s="846"/>
      <c r="F84" s="846"/>
      <c r="G84" s="846"/>
      <c r="H84" s="846"/>
      <c r="I84" s="846"/>
      <c r="J84" s="846"/>
      <c r="K84" s="2322"/>
      <c r="L84" s="2322"/>
      <c r="M84" s="137"/>
      <c r="N84" s="137"/>
      <c r="O84" s="137"/>
      <c r="P84" s="137"/>
    </row>
    <row r="85" spans="2:27" ht="15" customHeight="1">
      <c r="B85" s="2157">
        <f>'1. T1 INVESTERINGSP.'!B7</f>
        <v>0</v>
      </c>
      <c r="C85" s="2157"/>
      <c r="D85" s="2157"/>
      <c r="E85" s="2157"/>
      <c r="F85" s="2157"/>
      <c r="G85" s="2157"/>
      <c r="H85" s="2157"/>
      <c r="I85" s="2157"/>
      <c r="J85" s="2157"/>
      <c r="K85" s="857"/>
      <c r="L85" s="857"/>
      <c r="M85" s="137"/>
      <c r="N85" s="137"/>
      <c r="O85" s="137"/>
      <c r="P85" s="137"/>
    </row>
    <row r="86" spans="2:27" ht="3.9" customHeight="1">
      <c r="B86" s="137"/>
      <c r="C86" s="137"/>
      <c r="D86" s="137"/>
      <c r="E86" s="137"/>
      <c r="F86" s="137"/>
      <c r="G86" s="137"/>
      <c r="H86" s="137"/>
      <c r="I86" s="137"/>
      <c r="J86" s="137"/>
      <c r="K86" s="137"/>
      <c r="L86" s="137"/>
      <c r="M86" s="137"/>
      <c r="N86" s="137"/>
      <c r="O86" s="137"/>
      <c r="P86" s="137"/>
    </row>
    <row r="87" spans="2:27" ht="11.25" customHeight="1">
      <c r="B87" s="2202" t="s">
        <v>661</v>
      </c>
      <c r="C87" s="2203"/>
      <c r="D87" s="2203"/>
      <c r="E87" s="2203"/>
      <c r="F87" s="2203"/>
      <c r="G87" s="2203"/>
      <c r="H87" s="2203"/>
      <c r="I87" s="2203"/>
      <c r="J87" s="2204"/>
      <c r="K87" s="2171" t="s">
        <v>158</v>
      </c>
      <c r="L87" s="2168"/>
      <c r="M87" s="2171" t="s">
        <v>159</v>
      </c>
      <c r="N87" s="2168"/>
      <c r="O87" s="2171" t="s">
        <v>160</v>
      </c>
      <c r="P87" s="2168"/>
      <c r="Q87" s="2171" t="s">
        <v>161</v>
      </c>
      <c r="R87" s="2168"/>
    </row>
    <row r="88" spans="2:27" ht="11.25" customHeight="1">
      <c r="B88" s="2205"/>
      <c r="C88" s="2206"/>
      <c r="D88" s="2206"/>
      <c r="E88" s="2206"/>
      <c r="F88" s="2206"/>
      <c r="G88" s="2206"/>
      <c r="H88" s="2206"/>
      <c r="I88" s="2206"/>
      <c r="J88" s="2207"/>
      <c r="K88" s="2172">
        <f>'6. T3 BALANS'!G11</f>
        <v>2025</v>
      </c>
      <c r="L88" s="2170"/>
      <c r="M88" s="2172">
        <f>'6. T3 BALANS'!H11</f>
        <v>2026</v>
      </c>
      <c r="N88" s="2170"/>
      <c r="O88" s="2172">
        <f>'6. T3 BALANS'!I11</f>
        <v>2027</v>
      </c>
      <c r="P88" s="2170"/>
      <c r="Q88" s="2172">
        <f>'6. T3 BALANS'!J11</f>
        <v>2028</v>
      </c>
      <c r="R88" s="2170"/>
    </row>
    <row r="89" spans="2:27" ht="12" customHeight="1">
      <c r="B89" s="1541" t="s">
        <v>73</v>
      </c>
      <c r="C89" s="838" t="s">
        <v>221</v>
      </c>
      <c r="D89" s="583"/>
      <c r="E89" s="2342"/>
      <c r="F89" s="2342"/>
      <c r="G89" s="902"/>
      <c r="H89" s="902"/>
      <c r="I89" s="2343"/>
      <c r="J89" s="2344"/>
      <c r="K89" s="2223">
        <f>'6. T3 BALANS'!G13/1000</f>
        <v>0</v>
      </c>
      <c r="L89" s="2223"/>
      <c r="M89" s="2223">
        <f>'6. T3 BALANS'!H13/1000</f>
        <v>0</v>
      </c>
      <c r="N89" s="2223"/>
      <c r="O89" s="2223">
        <f>'6. T3 BALANS'!I13/1000</f>
        <v>0</v>
      </c>
      <c r="P89" s="2223"/>
      <c r="Q89" s="2223">
        <f>'6. T3 BALANS'!J13/1000</f>
        <v>0</v>
      </c>
      <c r="R89" s="2223"/>
    </row>
    <row r="90" spans="2:27" ht="12" customHeight="1">
      <c r="B90" s="1542" t="s">
        <v>142</v>
      </c>
      <c r="C90" s="583" t="s">
        <v>173</v>
      </c>
      <c r="D90" s="160"/>
      <c r="E90" s="2366"/>
      <c r="F90" s="2366"/>
      <c r="G90" s="901"/>
      <c r="H90" s="901"/>
      <c r="I90" s="2357"/>
      <c r="J90" s="2358"/>
      <c r="K90" s="2199">
        <f>'6. T3 BALANS'!G14/1000</f>
        <v>0</v>
      </c>
      <c r="L90" s="2199"/>
      <c r="M90" s="2199">
        <f>'6. T3 BALANS'!H14/1000</f>
        <v>0</v>
      </c>
      <c r="N90" s="2199"/>
      <c r="O90" s="2199">
        <f>'6. T3 BALANS'!I14/1000</f>
        <v>0</v>
      </c>
      <c r="P90" s="2199"/>
      <c r="Q90" s="2199">
        <f>'6. T3 BALANS'!J14/1000</f>
        <v>0</v>
      </c>
      <c r="R90" s="2199"/>
    </row>
    <row r="91" spans="2:27" ht="12" customHeight="1">
      <c r="B91" s="1542" t="s">
        <v>143</v>
      </c>
      <c r="C91" s="835" t="s">
        <v>226</v>
      </c>
      <c r="D91" s="834"/>
      <c r="E91" s="2366"/>
      <c r="F91" s="2366"/>
      <c r="G91" s="901"/>
      <c r="H91" s="901"/>
      <c r="I91" s="2357"/>
      <c r="J91" s="2358"/>
      <c r="K91" s="2224">
        <f>'6. T3 BALANS'!G18/1000</f>
        <v>0</v>
      </c>
      <c r="L91" s="2224"/>
      <c r="M91" s="2224">
        <f>'6. T3 BALANS'!H18/1000</f>
        <v>0</v>
      </c>
      <c r="N91" s="2224"/>
      <c r="O91" s="2224">
        <f>'6. T3 BALANS'!I18/1000</f>
        <v>0</v>
      </c>
      <c r="P91" s="2224"/>
      <c r="Q91" s="2224">
        <f>'6. T3 BALANS'!J18/1000</f>
        <v>0</v>
      </c>
      <c r="R91" s="2224"/>
    </row>
    <row r="92" spans="2:27" ht="12" customHeight="1">
      <c r="B92" s="1542"/>
      <c r="C92" s="834" t="s">
        <v>466</v>
      </c>
      <c r="D92" s="834"/>
      <c r="E92" s="2361"/>
      <c r="F92" s="2361"/>
      <c r="G92" s="901"/>
      <c r="H92" s="901"/>
      <c r="I92" s="2359"/>
      <c r="J92" s="2360"/>
      <c r="K92" s="2224">
        <f>'6. T3 BALANS'!G19/1000</f>
        <v>0</v>
      </c>
      <c r="L92" s="2224"/>
      <c r="M92" s="2224">
        <f>'6. T3 BALANS'!H19/1000</f>
        <v>0</v>
      </c>
      <c r="N92" s="2224"/>
      <c r="O92" s="2224">
        <f>'6. T3 BALANS'!I19/1000</f>
        <v>0</v>
      </c>
      <c r="P92" s="2224"/>
      <c r="Q92" s="2224">
        <f>'6. T3 BALANS'!J19/1000</f>
        <v>0</v>
      </c>
      <c r="R92" s="2224"/>
    </row>
    <row r="93" spans="2:27" ht="12" customHeight="1">
      <c r="B93" s="1542"/>
      <c r="C93" s="834" t="s">
        <v>227</v>
      </c>
      <c r="D93" s="834"/>
      <c r="E93" s="2361"/>
      <c r="F93" s="2361"/>
      <c r="G93" s="901"/>
      <c r="H93" s="901"/>
      <c r="I93" s="2359"/>
      <c r="J93" s="2360"/>
      <c r="K93" s="2224">
        <f>'6. T3 BALANS'!G22/1000</f>
        <v>0</v>
      </c>
      <c r="L93" s="2224"/>
      <c r="M93" s="2224">
        <f>'6. T3 BALANS'!H22/1000</f>
        <v>0</v>
      </c>
      <c r="N93" s="2224"/>
      <c r="O93" s="2224">
        <f>'6. T3 BALANS'!I22/1000</f>
        <v>0</v>
      </c>
      <c r="P93" s="2224"/>
      <c r="Q93" s="2224">
        <f>'6. T3 BALANS'!J22/1000</f>
        <v>0</v>
      </c>
      <c r="R93" s="2224"/>
    </row>
    <row r="94" spans="2:27" ht="12" customHeight="1">
      <c r="B94" s="1542"/>
      <c r="C94" s="834" t="s">
        <v>228</v>
      </c>
      <c r="D94" s="834"/>
      <c r="E94" s="2361"/>
      <c r="F94" s="2361"/>
      <c r="G94" s="901"/>
      <c r="H94" s="901"/>
      <c r="I94" s="2359"/>
      <c r="J94" s="2360"/>
      <c r="K94" s="2224">
        <f>'6. T3 BALANS'!G26/1000</f>
        <v>0</v>
      </c>
      <c r="L94" s="2224"/>
      <c r="M94" s="2224">
        <f>'6. T3 BALANS'!H26/1000</f>
        <v>0</v>
      </c>
      <c r="N94" s="2224"/>
      <c r="O94" s="2224">
        <f>'6. T3 BALANS'!I26/1000</f>
        <v>0</v>
      </c>
      <c r="P94" s="2224"/>
      <c r="Q94" s="2224">
        <f>'6. T3 BALANS'!J26/1000</f>
        <v>0</v>
      </c>
      <c r="R94" s="2224"/>
    </row>
    <row r="95" spans="2:27" ht="12" customHeight="1">
      <c r="B95" s="1542"/>
      <c r="C95" s="834" t="s">
        <v>467</v>
      </c>
      <c r="D95" s="834"/>
      <c r="E95" s="2361"/>
      <c r="F95" s="2361"/>
      <c r="G95" s="901"/>
      <c r="H95" s="901"/>
      <c r="I95" s="2359"/>
      <c r="J95" s="2360"/>
      <c r="K95" s="2224">
        <f>'6. T3 BALANS'!G30/1000</f>
        <v>0</v>
      </c>
      <c r="L95" s="2224"/>
      <c r="M95" s="2224">
        <f>'6. T3 BALANS'!H30/1000</f>
        <v>0</v>
      </c>
      <c r="N95" s="2224"/>
      <c r="O95" s="2224">
        <f>'6. T3 BALANS'!I30/1000</f>
        <v>0</v>
      </c>
      <c r="P95" s="2224"/>
      <c r="Q95" s="2224">
        <f>'6. T3 BALANS'!J30/1000</f>
        <v>0</v>
      </c>
      <c r="R95" s="2224"/>
    </row>
    <row r="96" spans="2:27" ht="12" customHeight="1">
      <c r="B96" s="1542" t="s">
        <v>144</v>
      </c>
      <c r="C96" s="835" t="s">
        <v>174</v>
      </c>
      <c r="D96" s="835"/>
      <c r="E96" s="2366"/>
      <c r="F96" s="2366"/>
      <c r="G96" s="1353"/>
      <c r="H96" s="1353"/>
      <c r="I96" s="2357"/>
      <c r="J96" s="2358"/>
      <c r="K96" s="2199">
        <f>'6. T3 BALANS'!G34/1000</f>
        <v>0</v>
      </c>
      <c r="L96" s="2199"/>
      <c r="M96" s="2199">
        <f>'6. T3 BALANS'!H34/1000</f>
        <v>0</v>
      </c>
      <c r="N96" s="2199"/>
      <c r="O96" s="2199">
        <f>'6. T3 BALANS'!I34/1000</f>
        <v>0</v>
      </c>
      <c r="P96" s="2199"/>
      <c r="Q96" s="2199">
        <f>'6. T3 BALANS'!J34/1000</f>
        <v>0</v>
      </c>
      <c r="R96" s="2199"/>
    </row>
    <row r="97" spans="2:18" ht="12" customHeight="1">
      <c r="B97" s="1541" t="s">
        <v>72</v>
      </c>
      <c r="C97" s="835" t="s">
        <v>230</v>
      </c>
      <c r="D97" s="835"/>
      <c r="E97" s="2366"/>
      <c r="F97" s="2366"/>
      <c r="G97" s="901"/>
      <c r="H97" s="901"/>
      <c r="I97" s="2357"/>
      <c r="J97" s="2358"/>
      <c r="K97" s="2199">
        <f>'6. T3 BALANS'!G38/1000</f>
        <v>0</v>
      </c>
      <c r="L97" s="2199"/>
      <c r="M97" s="2199">
        <f>'6. T3 BALANS'!H38/1000</f>
        <v>0</v>
      </c>
      <c r="N97" s="2199"/>
      <c r="O97" s="2199">
        <f>'6. T3 BALANS'!I38/1000</f>
        <v>0</v>
      </c>
      <c r="P97" s="2199"/>
      <c r="Q97" s="2199">
        <f>'6. T3 BALANS'!J38/1000</f>
        <v>0</v>
      </c>
      <c r="R97" s="2199"/>
    </row>
    <row r="98" spans="2:18" ht="12" customHeight="1">
      <c r="B98" s="1542" t="s">
        <v>145</v>
      </c>
      <c r="C98" s="835" t="s">
        <v>231</v>
      </c>
      <c r="D98" s="835"/>
      <c r="E98" s="2366"/>
      <c r="F98" s="2366"/>
      <c r="G98" s="1353"/>
      <c r="H98" s="1353"/>
      <c r="I98" s="2357"/>
      <c r="J98" s="2358"/>
      <c r="K98" s="2199">
        <f>'6. T3 BALANS'!G39/1000</f>
        <v>0</v>
      </c>
      <c r="L98" s="2199"/>
      <c r="M98" s="2199">
        <f>'6. T3 BALANS'!H39/1000</f>
        <v>0</v>
      </c>
      <c r="N98" s="2199"/>
      <c r="O98" s="2199">
        <f>'6. T3 BALANS'!I39/1000</f>
        <v>0</v>
      </c>
      <c r="P98" s="2199"/>
      <c r="Q98" s="2199">
        <f>'6. T3 BALANS'!J39/1000</f>
        <v>0</v>
      </c>
      <c r="R98" s="2199"/>
    </row>
    <row r="99" spans="2:18" ht="10.95" customHeight="1">
      <c r="B99" s="1543"/>
      <c r="C99" s="2365" t="s">
        <v>557</v>
      </c>
      <c r="D99" s="2365"/>
      <c r="E99" s="2365"/>
      <c r="F99" s="2365"/>
      <c r="G99" s="901"/>
      <c r="H99" s="901"/>
      <c r="I99" s="2355"/>
      <c r="J99" s="2356"/>
      <c r="K99" s="2225">
        <f>'6. T3 BALANS'!G40</f>
        <v>0.1</v>
      </c>
      <c r="L99" s="2225"/>
      <c r="M99" s="2225">
        <f>'6. T3 BALANS'!H40</f>
        <v>0.1</v>
      </c>
      <c r="N99" s="2225"/>
      <c r="O99" s="2225">
        <f>'6. T3 BALANS'!I40</f>
        <v>0.1</v>
      </c>
      <c r="P99" s="2225"/>
      <c r="Q99" s="2225">
        <f>'6. T3 BALANS'!J40</f>
        <v>0.1</v>
      </c>
      <c r="R99" s="2225"/>
    </row>
    <row r="100" spans="2:18" ht="12" customHeight="1">
      <c r="B100" s="829" t="s">
        <v>143</v>
      </c>
      <c r="C100" s="835" t="s">
        <v>232</v>
      </c>
      <c r="D100" s="835"/>
      <c r="E100" s="2367"/>
      <c r="F100" s="2367"/>
      <c r="G100" s="1353"/>
      <c r="H100" s="1353"/>
      <c r="I100" s="2337"/>
      <c r="J100" s="2338"/>
      <c r="K100" s="2199">
        <f>'6. T3 BALANS'!G41/1000</f>
        <v>0</v>
      </c>
      <c r="L100" s="2199"/>
      <c r="M100" s="2199">
        <f>'6. T3 BALANS'!H41/1000</f>
        <v>0</v>
      </c>
      <c r="N100" s="2199"/>
      <c r="O100" s="2199">
        <f>'6. T3 BALANS'!I41/1000</f>
        <v>0</v>
      </c>
      <c r="P100" s="2199"/>
      <c r="Q100" s="2199">
        <f>'6. T3 BALANS'!J41/1000</f>
        <v>0</v>
      </c>
      <c r="R100" s="2199"/>
    </row>
    <row r="101" spans="2:18" ht="12" customHeight="1">
      <c r="B101" s="829" t="s">
        <v>0</v>
      </c>
      <c r="C101" s="834" t="s">
        <v>468</v>
      </c>
      <c r="D101" s="834"/>
      <c r="E101" s="2368"/>
      <c r="F101" s="2368"/>
      <c r="G101" s="901"/>
      <c r="H101" s="901"/>
      <c r="I101" s="2335"/>
      <c r="J101" s="2336"/>
      <c r="K101" s="2224">
        <f>'6. T3 BALANS'!G42/1000</f>
        <v>0</v>
      </c>
      <c r="L101" s="2224"/>
      <c r="M101" s="2224">
        <f>'6. T3 BALANS'!H42/1000</f>
        <v>0</v>
      </c>
      <c r="N101" s="2224"/>
      <c r="O101" s="2224">
        <f>'6. T3 BALANS'!I42/1000</f>
        <v>0</v>
      </c>
      <c r="P101" s="2224"/>
      <c r="Q101" s="2224">
        <f>'6. T3 BALANS'!J42/1000</f>
        <v>0</v>
      </c>
      <c r="R101" s="2224"/>
    </row>
    <row r="102" spans="2:18" ht="10.95" customHeight="1">
      <c r="B102" s="1543"/>
      <c r="C102" s="2365" t="s">
        <v>240</v>
      </c>
      <c r="D102" s="2365"/>
      <c r="E102" s="2365"/>
      <c r="F102" s="2365"/>
      <c r="G102" s="901"/>
      <c r="H102" s="901"/>
      <c r="I102" s="2353"/>
      <c r="J102" s="2354"/>
      <c r="K102" s="2226">
        <f>'6. T3 BALANS'!G43</f>
        <v>14</v>
      </c>
      <c r="L102" s="2226"/>
      <c r="M102" s="2226">
        <f>'6. T3 BALANS'!H43</f>
        <v>14</v>
      </c>
      <c r="N102" s="2226"/>
      <c r="O102" s="2226">
        <f>'6. T3 BALANS'!I43</f>
        <v>14</v>
      </c>
      <c r="P102" s="2226"/>
      <c r="Q102" s="2226">
        <f>'6. T3 BALANS'!J43</f>
        <v>14</v>
      </c>
      <c r="R102" s="2226"/>
    </row>
    <row r="103" spans="2:18" ht="12" customHeight="1">
      <c r="B103" s="1544" t="s">
        <v>0</v>
      </c>
      <c r="C103" s="839" t="s">
        <v>234</v>
      </c>
      <c r="D103" s="839"/>
      <c r="E103" s="2350"/>
      <c r="F103" s="2350"/>
      <c r="G103" s="901"/>
      <c r="H103" s="901"/>
      <c r="I103" s="2351"/>
      <c r="J103" s="2352"/>
      <c r="K103" s="2224">
        <f>'6. T3 BALANS'!G44/1000</f>
        <v>0</v>
      </c>
      <c r="L103" s="2224"/>
      <c r="M103" s="2224">
        <f>'6. T3 BALANS'!H44/1000</f>
        <v>0</v>
      </c>
      <c r="N103" s="2224"/>
      <c r="O103" s="2224">
        <f>'6. T3 BALANS'!I44/1000</f>
        <v>0</v>
      </c>
      <c r="P103" s="2224"/>
      <c r="Q103" s="2224">
        <f>'6. T3 BALANS'!J44/1000</f>
        <v>0</v>
      </c>
      <c r="R103" s="2224"/>
    </row>
    <row r="104" spans="2:18" ht="12" customHeight="1">
      <c r="B104" s="1544">
        <v>0</v>
      </c>
      <c r="C104" s="839" t="s">
        <v>469</v>
      </c>
      <c r="D104" s="839"/>
      <c r="E104" s="2350"/>
      <c r="F104" s="2350"/>
      <c r="G104" s="901"/>
      <c r="H104" s="901"/>
      <c r="I104" s="2351"/>
      <c r="J104" s="2352"/>
      <c r="K104" s="2224">
        <f>'6. T3 BALANS'!G46/1000</f>
        <v>0</v>
      </c>
      <c r="L104" s="2224"/>
      <c r="M104" s="2224">
        <f>'6. T3 BALANS'!H46/1000</f>
        <v>0</v>
      </c>
      <c r="N104" s="2224"/>
      <c r="O104" s="2224">
        <f>'6. T3 BALANS'!I46/1000</f>
        <v>0</v>
      </c>
      <c r="P104" s="2224"/>
      <c r="Q104" s="2224">
        <f>'6. T3 BALANS'!J46/1000</f>
        <v>0</v>
      </c>
      <c r="R104" s="2224"/>
    </row>
    <row r="105" spans="2:18" ht="12" customHeight="1">
      <c r="B105" s="1544"/>
      <c r="C105" s="839" t="s">
        <v>236</v>
      </c>
      <c r="D105" s="839"/>
      <c r="E105" s="2369"/>
      <c r="F105" s="2369"/>
      <c r="G105" s="901"/>
      <c r="H105" s="901"/>
      <c r="I105" s="2348"/>
      <c r="J105" s="2349"/>
      <c r="K105" s="2224">
        <f>'6. T3 BALANS'!G47/1000</f>
        <v>0</v>
      </c>
      <c r="L105" s="2224"/>
      <c r="M105" s="2224">
        <f>'6. T3 BALANS'!H47/1000</f>
        <v>0</v>
      </c>
      <c r="N105" s="2224"/>
      <c r="O105" s="2224">
        <f>'6. T3 BALANS'!I47/1000</f>
        <v>0</v>
      </c>
      <c r="P105" s="2224"/>
      <c r="Q105" s="2224">
        <f>'6. T3 BALANS'!J47/1000</f>
        <v>0</v>
      </c>
      <c r="R105" s="2224"/>
    </row>
    <row r="106" spans="2:18" ht="12" customHeight="1">
      <c r="B106" s="1544" t="s">
        <v>144</v>
      </c>
      <c r="C106" s="1354" t="s">
        <v>237</v>
      </c>
      <c r="D106" s="1354"/>
      <c r="E106" s="2347"/>
      <c r="F106" s="2347"/>
      <c r="G106" s="1353"/>
      <c r="H106" s="1353"/>
      <c r="I106" s="2345"/>
      <c r="J106" s="2346"/>
      <c r="K106" s="2199">
        <f>'6. T3 BALANS'!G48/1000</f>
        <v>0</v>
      </c>
      <c r="L106" s="2199"/>
      <c r="M106" s="2199">
        <f>'6. T3 BALANS'!H48/1000</f>
        <v>0</v>
      </c>
      <c r="N106" s="2199"/>
      <c r="O106" s="2210">
        <f>'6. T3 BALANS'!I48/1000</f>
        <v>0</v>
      </c>
      <c r="P106" s="2211"/>
      <c r="Q106" s="2199">
        <f>'6. T3 BALANS'!J48/1000</f>
        <v>0</v>
      </c>
      <c r="R106" s="2199"/>
    </row>
    <row r="107" spans="2:18" ht="12" customHeight="1">
      <c r="B107" s="1544" t="s">
        <v>146</v>
      </c>
      <c r="C107" s="1354" t="s">
        <v>238</v>
      </c>
      <c r="D107" s="1354"/>
      <c r="E107" s="1355"/>
      <c r="F107" s="1355"/>
      <c r="G107" s="1353"/>
      <c r="H107" s="1353"/>
      <c r="I107" s="2345"/>
      <c r="J107" s="2346"/>
      <c r="K107" s="2199">
        <f>'6. T3 BALANS'!G49/1000</f>
        <v>0</v>
      </c>
      <c r="L107" s="2199"/>
      <c r="M107" s="2199">
        <f>'6. T3 BALANS'!H49/1000</f>
        <v>0</v>
      </c>
      <c r="N107" s="2199"/>
      <c r="O107" s="2210">
        <f>'6. T3 BALANS'!I49/1000</f>
        <v>0</v>
      </c>
      <c r="P107" s="2211"/>
      <c r="Q107" s="2199">
        <f>'6. T3 BALANS'!J49/1000</f>
        <v>0</v>
      </c>
      <c r="R107" s="2199"/>
    </row>
    <row r="108" spans="2:18" ht="12" customHeight="1">
      <c r="B108" s="2340" t="s">
        <v>470</v>
      </c>
      <c r="C108" s="2341"/>
      <c r="D108" s="584"/>
      <c r="E108" s="2342"/>
      <c r="F108" s="2342"/>
      <c r="G108" s="1557"/>
      <c r="H108" s="1557"/>
      <c r="I108" s="2343"/>
      <c r="J108" s="2344"/>
      <c r="K108" s="2212">
        <f>'6. T3 BALANS'!G51/1000</f>
        <v>0</v>
      </c>
      <c r="L108" s="2212"/>
      <c r="M108" s="2212">
        <f>'6. T3 BALANS'!H51/1000</f>
        <v>0</v>
      </c>
      <c r="N108" s="2212"/>
      <c r="O108" s="2213">
        <f>'6. T3 BALANS'!I51/1000</f>
        <v>0</v>
      </c>
      <c r="P108" s="2214"/>
      <c r="Q108" s="2212">
        <f>'6. T3 BALANS'!J51/1000</f>
        <v>0</v>
      </c>
      <c r="R108" s="2212"/>
    </row>
    <row r="109" spans="2:18" ht="11.25" customHeight="1">
      <c r="B109" s="2202" t="s">
        <v>662</v>
      </c>
      <c r="C109" s="2203"/>
      <c r="D109" s="2203"/>
      <c r="E109" s="2203"/>
      <c r="F109" s="2203"/>
      <c r="G109" s="2203"/>
      <c r="H109" s="2203"/>
      <c r="I109" s="2203"/>
      <c r="J109" s="2215"/>
      <c r="K109" s="2219" t="str">
        <f>K87</f>
        <v>Prognos 1</v>
      </c>
      <c r="L109" s="2220"/>
      <c r="M109" s="2167" t="str">
        <f>M87</f>
        <v>Prognos 2</v>
      </c>
      <c r="N109" s="2168"/>
      <c r="O109" s="2171" t="str">
        <f>O87</f>
        <v>Prognos 3</v>
      </c>
      <c r="P109" s="2168"/>
      <c r="Q109" s="2171" t="str">
        <f>Q87</f>
        <v>Prognos 4</v>
      </c>
      <c r="R109" s="2168"/>
    </row>
    <row r="110" spans="2:18" ht="11.25" customHeight="1">
      <c r="B110" s="2205"/>
      <c r="C110" s="2206"/>
      <c r="D110" s="2206"/>
      <c r="E110" s="2206"/>
      <c r="F110" s="2206"/>
      <c r="G110" s="2206"/>
      <c r="H110" s="2206"/>
      <c r="I110" s="2206"/>
      <c r="J110" s="2216"/>
      <c r="K110" s="2221">
        <f>K88</f>
        <v>2025</v>
      </c>
      <c r="L110" s="2222"/>
      <c r="M110" s="2169">
        <f>M88</f>
        <v>2026</v>
      </c>
      <c r="N110" s="2170"/>
      <c r="O110" s="2172">
        <f>O88</f>
        <v>2027</v>
      </c>
      <c r="P110" s="2170"/>
      <c r="Q110" s="2172">
        <f>Q88</f>
        <v>2028</v>
      </c>
      <c r="R110" s="2170"/>
    </row>
    <row r="111" spans="2:18" ht="12" customHeight="1">
      <c r="B111" s="837" t="s">
        <v>658</v>
      </c>
      <c r="C111" s="838" t="s">
        <v>242</v>
      </c>
      <c r="D111" s="838"/>
      <c r="E111" s="2370"/>
      <c r="F111" s="2370"/>
      <c r="G111" s="915"/>
      <c r="H111" s="915"/>
      <c r="I111" s="2339"/>
      <c r="J111" s="2339"/>
      <c r="K111" s="2208">
        <f>'6. T3 BALANS'!G56/1000</f>
        <v>0</v>
      </c>
      <c r="L111" s="2209"/>
      <c r="M111" s="2208">
        <f>'6. T3 BALANS'!H56/1000</f>
        <v>0</v>
      </c>
      <c r="N111" s="2209"/>
      <c r="O111" s="2208">
        <f>'6. T3 BALANS'!I56/1000</f>
        <v>0</v>
      </c>
      <c r="P111" s="2209"/>
      <c r="Q111" s="2208">
        <f>'6. T3 BALANS'!J56/1000</f>
        <v>0</v>
      </c>
      <c r="R111" s="2209"/>
    </row>
    <row r="112" spans="2:18" ht="12" customHeight="1">
      <c r="B112" s="829">
        <v>0</v>
      </c>
      <c r="C112" s="834" t="s">
        <v>243</v>
      </c>
      <c r="D112" s="834"/>
      <c r="E112" s="2329"/>
      <c r="F112" s="2330"/>
      <c r="G112" s="912"/>
      <c r="H112" s="912"/>
      <c r="I112" s="2335"/>
      <c r="J112" s="2336"/>
      <c r="K112" s="2164">
        <f>'6. T3 BALANS'!G57/1000</f>
        <v>0</v>
      </c>
      <c r="L112" s="2164"/>
      <c r="M112" s="2164">
        <f>'6. T3 BALANS'!H57/1000</f>
        <v>0</v>
      </c>
      <c r="N112" s="2164"/>
      <c r="O112" s="2164">
        <f>'6. T3 BALANS'!I57/1000</f>
        <v>0</v>
      </c>
      <c r="P112" s="2164"/>
      <c r="Q112" s="2164">
        <f>'6. T3 BALANS'!J57/1000</f>
        <v>0</v>
      </c>
      <c r="R112" s="2164"/>
    </row>
    <row r="113" spans="2:21" ht="12" customHeight="1">
      <c r="B113" s="829">
        <v>0</v>
      </c>
      <c r="C113" s="2256" t="s">
        <v>244</v>
      </c>
      <c r="D113" s="2256"/>
      <c r="E113" s="2256"/>
      <c r="F113" s="2256"/>
      <c r="G113" s="912"/>
      <c r="H113" s="912"/>
      <c r="I113" s="2335"/>
      <c r="J113" s="2336"/>
      <c r="K113" s="2218"/>
      <c r="L113" s="2218"/>
      <c r="M113" s="2164">
        <f>'6. T3 BALANS'!H58/1000</f>
        <v>0</v>
      </c>
      <c r="N113" s="2164"/>
      <c r="O113" s="2164">
        <f>'6. T3 BALANS'!I58/1000</f>
        <v>0</v>
      </c>
      <c r="P113" s="2164"/>
      <c r="Q113" s="2164">
        <f>'6. T3 BALANS'!J58/1000</f>
        <v>0</v>
      </c>
      <c r="R113" s="2164"/>
    </row>
    <row r="114" spans="2:21" ht="12" customHeight="1">
      <c r="B114" s="829">
        <v>0</v>
      </c>
      <c r="C114" s="834" t="s">
        <v>245</v>
      </c>
      <c r="D114" s="834"/>
      <c r="E114" s="2329"/>
      <c r="F114" s="2330"/>
      <c r="G114" s="912"/>
      <c r="H114" s="912"/>
      <c r="I114" s="2335"/>
      <c r="J114" s="2336"/>
      <c r="K114" s="2164">
        <f>'6. T3 BALANS'!G59/1000</f>
        <v>0</v>
      </c>
      <c r="L114" s="2164"/>
      <c r="M114" s="2164">
        <f>'6. T3 BALANS'!H59/1000</f>
        <v>0</v>
      </c>
      <c r="N114" s="2164"/>
      <c r="O114" s="2164">
        <f>'6. T3 BALANS'!I59/1000</f>
        <v>0</v>
      </c>
      <c r="P114" s="2164"/>
      <c r="Q114" s="2164">
        <f>'6. T3 BALANS'!J59/1000</f>
        <v>0</v>
      </c>
      <c r="R114" s="2164"/>
    </row>
    <row r="115" spans="2:21" ht="12" customHeight="1">
      <c r="B115" s="829">
        <v>0</v>
      </c>
      <c r="C115" s="834" t="s">
        <v>471</v>
      </c>
      <c r="D115" s="834"/>
      <c r="E115" s="2329"/>
      <c r="F115" s="2330"/>
      <c r="G115" s="912"/>
      <c r="H115" s="912"/>
      <c r="I115" s="2335"/>
      <c r="J115" s="2336"/>
      <c r="K115" s="2164">
        <f>'6. T3 BALANS'!G60/1000</f>
        <v>0</v>
      </c>
      <c r="L115" s="2164"/>
      <c r="M115" s="2164">
        <f>'6. T3 BALANS'!H60/1000</f>
        <v>0</v>
      </c>
      <c r="N115" s="2164"/>
      <c r="O115" s="2164">
        <f>'6. T3 BALANS'!I60/1000</f>
        <v>0</v>
      </c>
      <c r="P115" s="2164"/>
      <c r="Q115" s="2164">
        <f>'6. T3 BALANS'!J60/1000</f>
        <v>0</v>
      </c>
      <c r="R115" s="2164"/>
    </row>
    <row r="116" spans="2:21" ht="12" customHeight="1">
      <c r="B116" s="829">
        <v>0</v>
      </c>
      <c r="C116" s="834" t="s">
        <v>472</v>
      </c>
      <c r="D116" s="834"/>
      <c r="E116" s="2329"/>
      <c r="F116" s="2330"/>
      <c r="G116" s="912"/>
      <c r="H116" s="912"/>
      <c r="I116" s="2335"/>
      <c r="J116" s="2336"/>
      <c r="K116" s="2164">
        <f>'6. T3 BALANS'!G61/1000</f>
        <v>0</v>
      </c>
      <c r="L116" s="2164"/>
      <c r="M116" s="2164">
        <f>'6. T3 BALANS'!H61/1000</f>
        <v>0</v>
      </c>
      <c r="N116" s="2164"/>
      <c r="O116" s="2164">
        <f>'6. T3 BALANS'!I61/1000</f>
        <v>0</v>
      </c>
      <c r="P116" s="2164"/>
      <c r="Q116" s="2164">
        <f>'6. T3 BALANS'!J61/1000</f>
        <v>0</v>
      </c>
      <c r="R116" s="2164"/>
      <c r="U116" s="572" t="s">
        <v>25</v>
      </c>
    </row>
    <row r="117" spans="2:21" ht="12" customHeight="1">
      <c r="B117" s="837" t="s">
        <v>657</v>
      </c>
      <c r="C117" s="2245" t="s">
        <v>473</v>
      </c>
      <c r="D117" s="2245"/>
      <c r="E117" s="2245"/>
      <c r="F117" s="2245"/>
      <c r="G117" s="912"/>
      <c r="H117" s="912"/>
      <c r="I117" s="2337"/>
      <c r="J117" s="2338"/>
      <c r="K117" s="2198">
        <f>'6. T3 BALANS'!G62/1000</f>
        <v>0</v>
      </c>
      <c r="L117" s="2198"/>
      <c r="M117" s="2198">
        <f>'6. T3 BALANS'!H62/1000</f>
        <v>0</v>
      </c>
      <c r="N117" s="2198"/>
      <c r="O117" s="2198">
        <f>'6. T3 BALANS'!I62/1000</f>
        <v>0</v>
      </c>
      <c r="P117" s="2198"/>
      <c r="Q117" s="2198">
        <f>'6. T3 BALANS'!J62/1000</f>
        <v>0</v>
      </c>
      <c r="R117" s="2198"/>
    </row>
    <row r="118" spans="2:21" ht="12" customHeight="1">
      <c r="B118" s="837" t="s">
        <v>82</v>
      </c>
      <c r="C118" s="2245" t="s">
        <v>251</v>
      </c>
      <c r="D118" s="2245"/>
      <c r="E118" s="2245"/>
      <c r="F118" s="2245"/>
      <c r="G118" s="912"/>
      <c r="H118" s="912"/>
      <c r="I118" s="2337"/>
      <c r="J118" s="2338"/>
      <c r="K118" s="2198">
        <f>'6. T3 BALANS'!G66/1000</f>
        <v>0</v>
      </c>
      <c r="L118" s="2198"/>
      <c r="M118" s="2198">
        <f>'6. T3 BALANS'!H66/1000</f>
        <v>0</v>
      </c>
      <c r="N118" s="2198"/>
      <c r="O118" s="2198">
        <f>'6. T3 BALANS'!I66/1000</f>
        <v>0</v>
      </c>
      <c r="P118" s="2198"/>
      <c r="Q118" s="2198">
        <f>'6. T3 BALANS'!J66/1000</f>
        <v>0</v>
      </c>
      <c r="R118" s="2198"/>
    </row>
    <row r="119" spans="2:21" ht="12" customHeight="1">
      <c r="B119" s="837" t="s">
        <v>103</v>
      </c>
      <c r="C119" s="2245" t="s">
        <v>252</v>
      </c>
      <c r="D119" s="2245"/>
      <c r="E119" s="2245"/>
      <c r="F119" s="2245"/>
      <c r="G119" s="912"/>
      <c r="H119" s="912"/>
      <c r="I119" s="2337"/>
      <c r="J119" s="2338"/>
      <c r="K119" s="2198">
        <f>'6. T3 BALANS'!G67/1000</f>
        <v>0</v>
      </c>
      <c r="L119" s="2198"/>
      <c r="M119" s="2198">
        <f>'6. T3 BALANS'!H67/1000</f>
        <v>0</v>
      </c>
      <c r="N119" s="2198"/>
      <c r="O119" s="2198">
        <f>'6. T3 BALANS'!I67/1000</f>
        <v>0</v>
      </c>
      <c r="P119" s="2198"/>
      <c r="Q119" s="2198">
        <f>'6. T3 BALANS'!J67/1000</f>
        <v>0</v>
      </c>
      <c r="R119" s="2198"/>
    </row>
    <row r="120" spans="2:21" ht="12" customHeight="1">
      <c r="B120" s="829" t="s">
        <v>0</v>
      </c>
      <c r="C120" s="834" t="s">
        <v>253</v>
      </c>
      <c r="D120" s="834"/>
      <c r="E120" s="2329"/>
      <c r="F120" s="2330"/>
      <c r="G120" s="912"/>
      <c r="H120" s="912"/>
      <c r="I120" s="2335"/>
      <c r="J120" s="2336"/>
      <c r="K120" s="2164">
        <f>'6. T3 BALANS'!G68/1000</f>
        <v>0</v>
      </c>
      <c r="L120" s="2164"/>
      <c r="M120" s="2164">
        <f>'6. T3 BALANS'!H68/1000</f>
        <v>0</v>
      </c>
      <c r="N120" s="2164"/>
      <c r="O120" s="2164">
        <f>'6. T3 BALANS'!I68/1000</f>
        <v>0</v>
      </c>
      <c r="P120" s="2164"/>
      <c r="Q120" s="2164">
        <f>'6. T3 BALANS'!J68/1000</f>
        <v>0</v>
      </c>
      <c r="R120" s="2164"/>
    </row>
    <row r="121" spans="2:21" ht="12" customHeight="1">
      <c r="B121" s="829" t="s">
        <v>0</v>
      </c>
      <c r="C121" s="849" t="s">
        <v>474</v>
      </c>
      <c r="D121" s="849"/>
      <c r="E121" s="2329"/>
      <c r="F121" s="2330"/>
      <c r="G121" s="912"/>
      <c r="H121" s="912"/>
      <c r="I121" s="2335"/>
      <c r="J121" s="2336"/>
      <c r="K121" s="2164">
        <f>'6. T3 BALANS'!G69/1000</f>
        <v>0</v>
      </c>
      <c r="L121" s="2164"/>
      <c r="M121" s="2164">
        <f>'6. T3 BALANS'!H69/1000</f>
        <v>0</v>
      </c>
      <c r="N121" s="2164"/>
      <c r="O121" s="2164">
        <f>'6. T3 BALANS'!I69/1000</f>
        <v>0</v>
      </c>
      <c r="P121" s="2164"/>
      <c r="Q121" s="2164">
        <f>'6. T3 BALANS'!J69/1000</f>
        <v>0</v>
      </c>
      <c r="R121" s="2164"/>
    </row>
    <row r="122" spans="2:21" ht="12" customHeight="1">
      <c r="B122" s="829" t="s">
        <v>0</v>
      </c>
      <c r="C122" s="834" t="s">
        <v>255</v>
      </c>
      <c r="D122" s="834"/>
      <c r="E122" s="2329"/>
      <c r="F122" s="2330"/>
      <c r="G122" s="912"/>
      <c r="H122" s="912"/>
      <c r="I122" s="2335"/>
      <c r="J122" s="2336"/>
      <c r="K122" s="2164">
        <f>'6. T3 BALANS'!G70/1000</f>
        <v>0</v>
      </c>
      <c r="L122" s="2164"/>
      <c r="M122" s="2164">
        <f>'6. T3 BALANS'!H70/1000</f>
        <v>0</v>
      </c>
      <c r="N122" s="2164"/>
      <c r="O122" s="2164">
        <f>'6. T3 BALANS'!I70/1000</f>
        <v>0</v>
      </c>
      <c r="P122" s="2164"/>
      <c r="Q122" s="2164">
        <f>'6. T3 BALANS'!J70/1000</f>
        <v>0</v>
      </c>
      <c r="R122" s="2164"/>
    </row>
    <row r="123" spans="2:21" ht="12" customHeight="1">
      <c r="B123" s="829">
        <v>0</v>
      </c>
      <c r="C123" s="834" t="s">
        <v>258</v>
      </c>
      <c r="D123" s="834"/>
      <c r="E123" s="2329"/>
      <c r="F123" s="2330"/>
      <c r="G123" s="912"/>
      <c r="H123" s="912"/>
      <c r="I123" s="2335"/>
      <c r="J123" s="2336"/>
      <c r="K123" s="2164">
        <f>'6. T3 BALANS'!G73/1000</f>
        <v>0</v>
      </c>
      <c r="L123" s="2164"/>
      <c r="M123" s="2164">
        <f>'6. T3 BALANS'!H73/1000</f>
        <v>0</v>
      </c>
      <c r="N123" s="2164"/>
      <c r="O123" s="2164">
        <f>'6. T3 BALANS'!I73/1000</f>
        <v>0</v>
      </c>
      <c r="P123" s="2164"/>
      <c r="Q123" s="2164">
        <f>'6. T3 BALANS'!J73/1000</f>
        <v>0</v>
      </c>
      <c r="R123" s="2164"/>
    </row>
    <row r="124" spans="2:21" ht="12" customHeight="1">
      <c r="B124" s="837" t="s">
        <v>104</v>
      </c>
      <c r="C124" s="2245" t="s">
        <v>259</v>
      </c>
      <c r="D124" s="2245"/>
      <c r="E124" s="2245"/>
      <c r="F124" s="2245"/>
      <c r="G124" s="912"/>
      <c r="H124" s="912"/>
      <c r="I124" s="2335"/>
      <c r="J124" s="2336"/>
      <c r="K124" s="2198">
        <f>'6. T3 BALANS'!G74/1000</f>
        <v>0</v>
      </c>
      <c r="L124" s="2198"/>
      <c r="M124" s="2198">
        <f>'6. T3 BALANS'!H74/1000</f>
        <v>0</v>
      </c>
      <c r="N124" s="2198"/>
      <c r="O124" s="2198">
        <f>'6. T3 BALANS'!I74/1000</f>
        <v>0</v>
      </c>
      <c r="P124" s="2198"/>
      <c r="Q124" s="2198">
        <f>'6. T3 BALANS'!J74/1000</f>
        <v>0</v>
      </c>
      <c r="R124" s="2198"/>
    </row>
    <row r="125" spans="2:21" ht="12" customHeight="1">
      <c r="B125" s="829" t="s">
        <v>0</v>
      </c>
      <c r="C125" s="834" t="s">
        <v>253</v>
      </c>
      <c r="D125" s="834"/>
      <c r="E125" s="2329"/>
      <c r="F125" s="2330"/>
      <c r="G125" s="912"/>
      <c r="H125" s="912"/>
      <c r="I125" s="2335"/>
      <c r="J125" s="2336"/>
      <c r="K125" s="2164">
        <f>'6. T3 BALANS'!G75/1000</f>
        <v>0</v>
      </c>
      <c r="L125" s="2164"/>
      <c r="M125" s="2164">
        <f>'6. T3 BALANS'!H75/1000</f>
        <v>0</v>
      </c>
      <c r="N125" s="2164"/>
      <c r="O125" s="2164">
        <f>'6. T3 BALANS'!I75/1000</f>
        <v>0</v>
      </c>
      <c r="P125" s="2164"/>
      <c r="Q125" s="2164">
        <f>'6. T3 BALANS'!J75/1000</f>
        <v>0</v>
      </c>
      <c r="R125" s="2164"/>
    </row>
    <row r="126" spans="2:21" ht="12" customHeight="1">
      <c r="B126" s="829">
        <v>0</v>
      </c>
      <c r="C126" s="834" t="s">
        <v>475</v>
      </c>
      <c r="D126" s="834"/>
      <c r="E126" s="2329"/>
      <c r="F126" s="2330"/>
      <c r="G126" s="912"/>
      <c r="H126" s="912"/>
      <c r="I126" s="2335"/>
      <c r="J126" s="2336"/>
      <c r="K126" s="2164">
        <f>'6. T3 BALANS'!G78/1000</f>
        <v>0</v>
      </c>
      <c r="L126" s="2164"/>
      <c r="M126" s="2164">
        <f>'6. T3 BALANS'!H78/1000</f>
        <v>0</v>
      </c>
      <c r="N126" s="2164"/>
      <c r="O126" s="2164">
        <f>'6. T3 BALANS'!I78/1000</f>
        <v>0</v>
      </c>
      <c r="P126" s="2164"/>
      <c r="Q126" s="2164">
        <f>'6. T3 BALANS'!J78/1000</f>
        <v>0</v>
      </c>
      <c r="R126" s="2164"/>
    </row>
    <row r="127" spans="2:21" ht="12" customHeight="1">
      <c r="B127" s="829">
        <v>0</v>
      </c>
      <c r="C127" s="834" t="s">
        <v>255</v>
      </c>
      <c r="D127" s="834"/>
      <c r="E127" s="2329"/>
      <c r="F127" s="2330"/>
      <c r="G127" s="912"/>
      <c r="H127" s="912"/>
      <c r="I127" s="2335"/>
      <c r="J127" s="2336"/>
      <c r="K127" s="2164">
        <f>'6. T3 BALANS'!G79/1000</f>
        <v>0</v>
      </c>
      <c r="L127" s="2164"/>
      <c r="M127" s="2164">
        <f>'6. T3 BALANS'!H79/1000</f>
        <v>0</v>
      </c>
      <c r="N127" s="2164"/>
      <c r="O127" s="2164">
        <f>'6. T3 BALANS'!I79/1000</f>
        <v>0</v>
      </c>
      <c r="P127" s="2164"/>
      <c r="Q127" s="2164">
        <f>'6. T3 BALANS'!J79/1000</f>
        <v>0</v>
      </c>
      <c r="R127" s="2164"/>
    </row>
    <row r="128" spans="2:21" ht="10.95" customHeight="1">
      <c r="B128" s="578"/>
      <c r="C128" s="2365" t="s">
        <v>476</v>
      </c>
      <c r="D128" s="2365"/>
      <c r="E128" s="2365"/>
      <c r="F128" s="2365"/>
      <c r="G128" s="912"/>
      <c r="H128" s="912"/>
      <c r="I128" s="2353"/>
      <c r="J128" s="2354"/>
      <c r="K128" s="2201">
        <f>'6. T3 BALANS'!G81</f>
        <v>14</v>
      </c>
      <c r="L128" s="2201"/>
      <c r="M128" s="2201">
        <f>'6. T3 BALANS'!H81</f>
        <v>14</v>
      </c>
      <c r="N128" s="2201"/>
      <c r="O128" s="2201">
        <f>'6. T3 BALANS'!I81</f>
        <v>14</v>
      </c>
      <c r="P128" s="2201"/>
      <c r="Q128" s="2201">
        <f>'6. T3 BALANS'!J81</f>
        <v>14</v>
      </c>
      <c r="R128" s="2201"/>
    </row>
    <row r="129" spans="2:24" ht="12" customHeight="1">
      <c r="B129" s="829" t="s">
        <v>0</v>
      </c>
      <c r="C129" s="834" t="s">
        <v>258</v>
      </c>
      <c r="D129" s="834"/>
      <c r="E129" s="2329"/>
      <c r="F129" s="2330"/>
      <c r="G129" s="912"/>
      <c r="H129" s="912"/>
      <c r="I129" s="2335"/>
      <c r="J129" s="2336"/>
      <c r="K129" s="2164">
        <f>'6. T3 BALANS'!G81/1000</f>
        <v>1.4E-2</v>
      </c>
      <c r="L129" s="2164"/>
      <c r="M129" s="2164">
        <f>'6. T3 BALANS'!H81/1000</f>
        <v>1.4E-2</v>
      </c>
      <c r="N129" s="2164"/>
      <c r="O129" s="2164">
        <f>'6. T3 BALANS'!I81/1000</f>
        <v>1.4E-2</v>
      </c>
      <c r="P129" s="2164"/>
      <c r="Q129" s="2164">
        <f>'6. T3 BALANS'!J81/1000</f>
        <v>1.4E-2</v>
      </c>
      <c r="R129" s="2164"/>
    </row>
    <row r="130" spans="2:24" ht="12" customHeight="1">
      <c r="B130" s="829" t="s">
        <v>0</v>
      </c>
      <c r="C130" s="160" t="s">
        <v>268</v>
      </c>
      <c r="D130" s="160"/>
      <c r="E130" s="2329"/>
      <c r="F130" s="2330"/>
      <c r="G130" s="912"/>
      <c r="H130" s="912"/>
      <c r="I130" s="2335"/>
      <c r="J130" s="2336"/>
      <c r="K130" s="2164">
        <f>'6. T3 BALANS'!G89/1000</f>
        <v>0</v>
      </c>
      <c r="L130" s="2164"/>
      <c r="M130" s="2164">
        <f>'6. T3 BALANS'!H89/1000</f>
        <v>0</v>
      </c>
      <c r="N130" s="2164"/>
      <c r="O130" s="2164">
        <f>'6. T3 BALANS'!I89/1000</f>
        <v>0</v>
      </c>
      <c r="P130" s="2164"/>
      <c r="Q130" s="2164">
        <f>'6. T3 BALANS'!J89/1000</f>
        <v>0</v>
      </c>
      <c r="R130" s="2164"/>
    </row>
    <row r="131" spans="2:24" ht="12" customHeight="1">
      <c r="B131" s="829">
        <v>0</v>
      </c>
      <c r="C131" s="834" t="s">
        <v>477</v>
      </c>
      <c r="D131" s="834"/>
      <c r="E131" s="2329"/>
      <c r="F131" s="2330"/>
      <c r="G131" s="912"/>
      <c r="H131" s="912"/>
      <c r="I131" s="2335"/>
      <c r="J131" s="2336"/>
      <c r="K131" s="2164">
        <f>'6. T3 BALANS'!G94/1000</f>
        <v>0</v>
      </c>
      <c r="L131" s="2164"/>
      <c r="M131" s="2164">
        <f>'6. T3 BALANS'!H94/1000</f>
        <v>0</v>
      </c>
      <c r="N131" s="2164"/>
      <c r="O131" s="2164">
        <f>'6. T3 BALANS'!I94/1000</f>
        <v>0</v>
      </c>
      <c r="P131" s="2164"/>
      <c r="Q131" s="2164">
        <f>'6. T3 BALANS'!J94/1000</f>
        <v>0</v>
      </c>
      <c r="R131" s="2164"/>
    </row>
    <row r="132" spans="2:24" ht="12" customHeight="1">
      <c r="B132" s="1579">
        <v>0</v>
      </c>
      <c r="C132" s="1597" t="s">
        <v>478</v>
      </c>
      <c r="D132" s="1597"/>
      <c r="E132" s="2376"/>
      <c r="F132" s="2377"/>
      <c r="G132" s="1598"/>
      <c r="H132" s="1598"/>
      <c r="I132" s="2378"/>
      <c r="J132" s="2379"/>
      <c r="K132" s="2187">
        <f>'6. T3 BALANS'!G98/1000</f>
        <v>0</v>
      </c>
      <c r="L132" s="2188"/>
      <c r="M132" s="2187">
        <f>'6. T3 BALANS'!H98/1000</f>
        <v>0</v>
      </c>
      <c r="N132" s="2188"/>
      <c r="O132" s="2187">
        <f>'6. T3 BALANS'!I98/1000</f>
        <v>0</v>
      </c>
      <c r="P132" s="2188"/>
      <c r="Q132" s="2187">
        <f>'6. T3 BALANS'!J98/1000</f>
        <v>0</v>
      </c>
      <c r="R132" s="2188"/>
    </row>
    <row r="133" spans="2:24" ht="7.95" customHeight="1">
      <c r="B133" s="137"/>
      <c r="C133" s="137"/>
      <c r="D133" s="137"/>
      <c r="E133" s="137"/>
      <c r="F133" s="137"/>
      <c r="G133" s="137"/>
      <c r="H133" s="137"/>
      <c r="I133" s="137"/>
      <c r="J133" s="137"/>
      <c r="K133" s="137"/>
      <c r="L133" s="137"/>
      <c r="M133" s="137"/>
      <c r="N133" s="137"/>
      <c r="O133" s="137"/>
      <c r="P133" s="137"/>
      <c r="X133" s="572" t="s">
        <v>19</v>
      </c>
    </row>
    <row r="134" spans="2:24" ht="11.25" customHeight="1">
      <c r="B134" s="2331" t="s">
        <v>663</v>
      </c>
      <c r="C134" s="2332"/>
      <c r="D134" s="2332"/>
      <c r="E134" s="2332"/>
      <c r="F134" s="2332"/>
      <c r="G134" s="2332"/>
      <c r="H134" s="2332"/>
      <c r="I134" s="1566"/>
      <c r="J134" s="1599"/>
      <c r="K134" s="2167" t="str">
        <f>K109</f>
        <v>Prognos 1</v>
      </c>
      <c r="L134" s="2168"/>
      <c r="M134" s="2171" t="str">
        <f>M109</f>
        <v>Prognos 2</v>
      </c>
      <c r="N134" s="2168"/>
      <c r="O134" s="2171" t="str">
        <f>O109</f>
        <v>Prognos 3</v>
      </c>
      <c r="P134" s="2168"/>
      <c r="Q134" s="2171" t="str">
        <f>Q109</f>
        <v>Prognos 4</v>
      </c>
      <c r="R134" s="2168"/>
    </row>
    <row r="135" spans="2:24" ht="11.25" customHeight="1">
      <c r="B135" s="2333"/>
      <c r="C135" s="2334"/>
      <c r="D135" s="2334"/>
      <c r="E135" s="2334"/>
      <c r="F135" s="2334"/>
      <c r="G135" s="2334"/>
      <c r="H135" s="2334"/>
      <c r="I135" s="1572"/>
      <c r="J135" s="1600"/>
      <c r="K135" s="2217">
        <f>K110</f>
        <v>2025</v>
      </c>
      <c r="L135" s="2200"/>
      <c r="M135" s="2200">
        <f>M110</f>
        <v>2026</v>
      </c>
      <c r="N135" s="2200"/>
      <c r="O135" s="2200">
        <f>O110</f>
        <v>2027</v>
      </c>
      <c r="P135" s="2200"/>
      <c r="Q135" s="2200">
        <f>Q110</f>
        <v>2028</v>
      </c>
      <c r="R135" s="2200"/>
    </row>
    <row r="136" spans="2:24" ht="12" customHeight="1">
      <c r="B136" s="873" t="s">
        <v>277</v>
      </c>
      <c r="C136" s="620"/>
      <c r="D136" s="583"/>
      <c r="E136" s="160"/>
      <c r="F136" s="160"/>
      <c r="G136" s="160"/>
      <c r="H136" s="160"/>
      <c r="I136" s="53"/>
      <c r="J136" s="53"/>
      <c r="K136" s="2189"/>
      <c r="L136" s="2189"/>
      <c r="M136" s="2190"/>
      <c r="N136" s="2191"/>
      <c r="O136" s="2190"/>
      <c r="P136" s="2191"/>
      <c r="Q136" s="2190"/>
      <c r="R136" s="2191"/>
    </row>
    <row r="137" spans="2:24" ht="12" customHeight="1">
      <c r="B137" s="829" t="s">
        <v>2</v>
      </c>
      <c r="C137" s="2375" t="s">
        <v>479</v>
      </c>
      <c r="D137" s="2375"/>
      <c r="E137" s="2375"/>
      <c r="F137" s="834"/>
      <c r="G137" s="834"/>
      <c r="H137" s="834"/>
      <c r="I137" s="912"/>
      <c r="J137" s="933"/>
      <c r="K137" s="2164">
        <f>'5. T4 FINANSIERINGSB.'!G14/1000</f>
        <v>0</v>
      </c>
      <c r="L137" s="2164"/>
      <c r="M137" s="2175">
        <f>'5. T4 FINANSIERINGSB.'!H14/1000</f>
        <v>0</v>
      </c>
      <c r="N137" s="2176"/>
      <c r="O137" s="2175">
        <f>'5. T4 FINANSIERINGSB.'!I14/1000</f>
        <v>0</v>
      </c>
      <c r="P137" s="2176"/>
      <c r="Q137" s="2175">
        <f>'5. T4 FINANSIERINGSB.'!J14/1000</f>
        <v>0</v>
      </c>
      <c r="R137" s="2176"/>
    </row>
    <row r="138" spans="2:24" ht="12" customHeight="1">
      <c r="B138" s="829" t="s">
        <v>3</v>
      </c>
      <c r="C138" s="2256" t="s">
        <v>480</v>
      </c>
      <c r="D138" s="2256"/>
      <c r="E138" s="2256"/>
      <c r="F138" s="834"/>
      <c r="G138" s="834"/>
      <c r="H138" s="834"/>
      <c r="I138" s="912"/>
      <c r="J138" s="933"/>
      <c r="K138" s="2164">
        <f>'5. T4 FINANSIERINGSB.'!G15/1000</f>
        <v>0</v>
      </c>
      <c r="L138" s="2164"/>
      <c r="M138" s="2164">
        <f>'5. T4 FINANSIERINGSB.'!H15/1000</f>
        <v>0</v>
      </c>
      <c r="N138" s="2164"/>
      <c r="O138" s="2164">
        <f>'5. T4 FINANSIERINGSB.'!I15/1000</f>
        <v>0</v>
      </c>
      <c r="P138" s="2164"/>
      <c r="Q138" s="2164">
        <f>'5. T4 FINANSIERINGSB.'!J15/1000</f>
        <v>0</v>
      </c>
      <c r="R138" s="2164"/>
    </row>
    <row r="139" spans="2:24" ht="12" customHeight="1">
      <c r="B139" s="829" t="s">
        <v>4</v>
      </c>
      <c r="C139" s="2256" t="s">
        <v>280</v>
      </c>
      <c r="D139" s="2256"/>
      <c r="E139" s="2256"/>
      <c r="F139" s="834"/>
      <c r="G139" s="834"/>
      <c r="H139" s="834"/>
      <c r="I139" s="912"/>
      <c r="J139" s="933"/>
      <c r="K139" s="2164">
        <f>'5. T4 FINANSIERINGSB.'!G16/1000</f>
        <v>0</v>
      </c>
      <c r="L139" s="2164"/>
      <c r="M139" s="2164">
        <f>'5. T4 FINANSIERINGSB.'!H16/1000</f>
        <v>0</v>
      </c>
      <c r="N139" s="2164"/>
      <c r="O139" s="2164">
        <f>'5. T4 FINANSIERINGSB.'!I16/1000</f>
        <v>0</v>
      </c>
      <c r="P139" s="2164"/>
      <c r="Q139" s="2164">
        <f>'5. T4 FINANSIERINGSB.'!J16/1000</f>
        <v>0</v>
      </c>
      <c r="R139" s="2164"/>
    </row>
    <row r="140" spans="2:24" ht="12" customHeight="1">
      <c r="B140" s="829" t="s">
        <v>5</v>
      </c>
      <c r="C140" s="2256" t="s">
        <v>481</v>
      </c>
      <c r="D140" s="2256"/>
      <c r="E140" s="2256"/>
      <c r="F140" s="834"/>
      <c r="G140" s="834"/>
      <c r="H140" s="834"/>
      <c r="I140" s="912"/>
      <c r="J140" s="933"/>
      <c r="K140" s="2164">
        <f>'5. T4 FINANSIERINGSB.'!G17/1000</f>
        <v>0</v>
      </c>
      <c r="L140" s="2164"/>
      <c r="M140" s="2164">
        <f>'5. T4 FINANSIERINGSB.'!H17/1000</f>
        <v>0</v>
      </c>
      <c r="N140" s="2164"/>
      <c r="O140" s="2164">
        <f>'5. T4 FINANSIERINGSB.'!I17/1000</f>
        <v>0</v>
      </c>
      <c r="P140" s="2164"/>
      <c r="Q140" s="2164">
        <f>'5. T4 FINANSIERINGSB.'!J17/1000</f>
        <v>0</v>
      </c>
      <c r="R140" s="2164"/>
    </row>
    <row r="141" spans="2:24" ht="12" customHeight="1">
      <c r="B141" s="829" t="s">
        <v>6</v>
      </c>
      <c r="C141" s="2256" t="s">
        <v>282</v>
      </c>
      <c r="D141" s="2256"/>
      <c r="E141" s="2256"/>
      <c r="F141" s="834"/>
      <c r="G141" s="834"/>
      <c r="H141" s="834"/>
      <c r="I141" s="912"/>
      <c r="J141" s="933"/>
      <c r="K141" s="2164">
        <f>'5. T4 FINANSIERINGSB.'!G18/1000</f>
        <v>0</v>
      </c>
      <c r="L141" s="2164"/>
      <c r="M141" s="2164">
        <f>'5. T4 FINANSIERINGSB.'!H18/1000</f>
        <v>0</v>
      </c>
      <c r="N141" s="2164"/>
      <c r="O141" s="2164">
        <f>'5. T4 FINANSIERINGSB.'!I18/1000</f>
        <v>0</v>
      </c>
      <c r="P141" s="2164"/>
      <c r="Q141" s="2164">
        <f>'5. T4 FINANSIERINGSB.'!J18/1000</f>
        <v>0</v>
      </c>
      <c r="R141" s="2164"/>
    </row>
    <row r="142" spans="2:24" ht="12" customHeight="1">
      <c r="B142" s="829" t="s">
        <v>7</v>
      </c>
      <c r="C142" s="2275" t="str">
        <f>'5. T4 FINANSIERINGSB.'!C19</f>
        <v>NTM's bidrag, ökning av kapitallån, upptagning av placeringar, försäljning av egendom</v>
      </c>
      <c r="D142" s="2275"/>
      <c r="E142" s="2275"/>
      <c r="F142" s="2275"/>
      <c r="G142" s="2275"/>
      <c r="H142" s="2275"/>
      <c r="I142" s="912"/>
      <c r="J142" s="933"/>
      <c r="K142" s="2164">
        <f>'5. T4 FINANSIERINGSB.'!G19/1000</f>
        <v>0</v>
      </c>
      <c r="L142" s="2164"/>
      <c r="M142" s="2164">
        <f>'5. T4 FINANSIERINGSB.'!H19/1000</f>
        <v>0</v>
      </c>
      <c r="N142" s="2164"/>
      <c r="O142" s="2164">
        <f>'5. T4 FINANSIERINGSB.'!I19/1000</f>
        <v>0</v>
      </c>
      <c r="P142" s="2164"/>
      <c r="Q142" s="2164">
        <f>'5. T4 FINANSIERINGSB.'!J19/1000</f>
        <v>0</v>
      </c>
      <c r="R142" s="2164"/>
    </row>
    <row r="143" spans="2:24" ht="12" customHeight="1">
      <c r="B143" s="1601" t="s">
        <v>8</v>
      </c>
      <c r="C143" s="1602" t="s">
        <v>283</v>
      </c>
      <c r="D143" s="1602"/>
      <c r="E143" s="1597"/>
      <c r="F143" s="1580"/>
      <c r="G143" s="1580"/>
      <c r="H143" s="1580"/>
      <c r="I143" s="1581"/>
      <c r="J143" s="1581"/>
      <c r="K143" s="2198">
        <f>'5. T4 FINANSIERINGSB.'!G20/1000</f>
        <v>0</v>
      </c>
      <c r="L143" s="2198"/>
      <c r="M143" s="2198">
        <f>'5. T4 FINANSIERINGSB.'!H20/1000</f>
        <v>0</v>
      </c>
      <c r="N143" s="2198"/>
      <c r="O143" s="2198">
        <f>'5. T4 FINANSIERINGSB.'!I20/1000</f>
        <v>0</v>
      </c>
      <c r="P143" s="2198"/>
      <c r="Q143" s="2198">
        <f>'5. T4 FINANSIERINGSB.'!J20/1000</f>
        <v>0</v>
      </c>
      <c r="R143" s="2198"/>
    </row>
    <row r="144" spans="2:24" ht="12" customHeight="1">
      <c r="B144" s="873" t="s">
        <v>284</v>
      </c>
      <c r="C144" s="620"/>
      <c r="D144" s="583"/>
      <c r="E144" s="160"/>
      <c r="F144" s="160"/>
      <c r="G144" s="160"/>
      <c r="H144" s="160"/>
      <c r="I144" s="915"/>
      <c r="J144" s="1011"/>
      <c r="K144" s="2189"/>
      <c r="L144" s="2189"/>
      <c r="M144" s="2190"/>
      <c r="N144" s="2191"/>
      <c r="O144" s="2190"/>
      <c r="P144" s="2191"/>
      <c r="Q144" s="2190"/>
      <c r="R144" s="2191"/>
    </row>
    <row r="145" spans="2:18" ht="12" customHeight="1">
      <c r="B145" s="829" t="s">
        <v>9</v>
      </c>
      <c r="C145" s="2256" t="s">
        <v>482</v>
      </c>
      <c r="D145" s="2256"/>
      <c r="E145" s="2256"/>
      <c r="F145" s="834"/>
      <c r="G145" s="834"/>
      <c r="H145" s="834"/>
      <c r="I145" s="912"/>
      <c r="J145" s="933"/>
      <c r="K145" s="2164">
        <f>('5. T4 FINANSIERINGSB.'!G23+'5. T4 FINANSIERINGSB.'!G24+'5. T4 FINANSIERINGSB.'!G25+'5. T4 FINANSIERINGSB.'!G26)/1000</f>
        <v>0</v>
      </c>
      <c r="L145" s="2164"/>
      <c r="M145" s="2164">
        <f>('5. T4 FINANSIERINGSB.'!H23+'5. T4 FINANSIERINGSB.'!H24+'5. T4 FINANSIERINGSB.'!H25+'5. T4 FINANSIERINGSB.'!H26)/1000</f>
        <v>0</v>
      </c>
      <c r="N145" s="2164"/>
      <c r="O145" s="2164">
        <f>('5. T4 FINANSIERINGSB.'!I23+'5. T4 FINANSIERINGSB.'!I24+'5. T4 FINANSIERINGSB.'!I25+'5. T4 FINANSIERINGSB.'!I26)/1000</f>
        <v>0</v>
      </c>
      <c r="P145" s="2164"/>
      <c r="Q145" s="2175">
        <f>('5. T4 FINANSIERINGSB.'!J23+'5. T4 FINANSIERINGSB.'!J24+'5. T4 FINANSIERINGSB.'!J25+'5. T4 FINANSIERINGSB.'!J26)/1000</f>
        <v>0</v>
      </c>
      <c r="R145" s="2176"/>
    </row>
    <row r="146" spans="2:18" ht="12" customHeight="1">
      <c r="B146" s="829" t="s">
        <v>10</v>
      </c>
      <c r="C146" s="2256" t="s">
        <v>483</v>
      </c>
      <c r="D146" s="2256"/>
      <c r="E146" s="2256"/>
      <c r="F146" s="834"/>
      <c r="G146" s="834"/>
      <c r="H146" s="834"/>
      <c r="I146" s="912"/>
      <c r="J146" s="933"/>
      <c r="K146" s="2164">
        <f>('5. T4 FINANSIERINGSB.'!G27)/1000</f>
        <v>0</v>
      </c>
      <c r="L146" s="2164"/>
      <c r="M146" s="2164">
        <f>('5. T4 FINANSIERINGSB.'!H27)/1000</f>
        <v>0</v>
      </c>
      <c r="N146" s="2164"/>
      <c r="O146" s="2164">
        <f>('5. T4 FINANSIERINGSB.'!I27)/1000</f>
        <v>0</v>
      </c>
      <c r="P146" s="2164"/>
      <c r="Q146" s="2164">
        <f>('5. T4 FINANSIERINGSB.'!J27)/1000</f>
        <v>0</v>
      </c>
      <c r="R146" s="2164"/>
    </row>
    <row r="147" spans="2:18" ht="12" customHeight="1">
      <c r="B147" s="829" t="s">
        <v>11</v>
      </c>
      <c r="C147" s="2256" t="s">
        <v>484</v>
      </c>
      <c r="D147" s="2256"/>
      <c r="E147" s="2256"/>
      <c r="F147" s="834"/>
      <c r="G147" s="834"/>
      <c r="H147" s="834"/>
      <c r="I147" s="912"/>
      <c r="J147" s="933"/>
      <c r="K147" s="2164">
        <f>('5. T4 FINANSIERINGSB.'!G28)/1000</f>
        <v>0</v>
      </c>
      <c r="L147" s="2164"/>
      <c r="M147" s="2164">
        <f>('5. T4 FINANSIERINGSB.'!H28)/1000</f>
        <v>0</v>
      </c>
      <c r="N147" s="2164"/>
      <c r="O147" s="2164">
        <f>('5. T4 FINANSIERINGSB.'!I28)/1000</f>
        <v>0</v>
      </c>
      <c r="P147" s="2164"/>
      <c r="Q147" s="2164">
        <f>('5. T4 FINANSIERINGSB.'!J28)/1000</f>
        <v>0</v>
      </c>
      <c r="R147" s="2164"/>
    </row>
    <row r="148" spans="2:18" ht="12" customHeight="1">
      <c r="B148" s="829" t="s">
        <v>41</v>
      </c>
      <c r="C148" s="2275" t="s">
        <v>637</v>
      </c>
      <c r="D148" s="2275"/>
      <c r="E148" s="2275"/>
      <c r="F148" s="2275"/>
      <c r="G148" s="2275"/>
      <c r="H148" s="2275"/>
      <c r="I148" s="912"/>
      <c r="J148" s="933"/>
      <c r="K148" s="2164">
        <f>('5. T4 FINANSIERINGSB.'!G29)/1000</f>
        <v>0</v>
      </c>
      <c r="L148" s="2164"/>
      <c r="M148" s="2164">
        <f>('5. T4 FINANSIERINGSB.'!H29)/1000</f>
        <v>0</v>
      </c>
      <c r="N148" s="2164"/>
      <c r="O148" s="2164">
        <f>('5. T4 FINANSIERINGSB.'!I29)/1000</f>
        <v>0</v>
      </c>
      <c r="P148" s="2164"/>
      <c r="Q148" s="2164">
        <f>('5. T4 FINANSIERINGSB.'!J29)/1000</f>
        <v>0</v>
      </c>
      <c r="R148" s="2164"/>
    </row>
    <row r="149" spans="2:18" ht="12" customHeight="1">
      <c r="B149" s="829" t="s">
        <v>42</v>
      </c>
      <c r="C149" s="848" t="s">
        <v>503</v>
      </c>
      <c r="D149" s="848"/>
      <c r="E149" s="848"/>
      <c r="F149" s="848"/>
      <c r="G149" s="848"/>
      <c r="H149" s="848"/>
      <c r="I149" s="912"/>
      <c r="J149" s="933"/>
      <c r="K149" s="2189"/>
      <c r="L149" s="2189"/>
      <c r="M149" s="2164">
        <f>('5. T4 FINANSIERINGSB.'!H30)/1000</f>
        <v>0</v>
      </c>
      <c r="N149" s="2164"/>
      <c r="O149" s="2164">
        <f>('5. T4 FINANSIERINGSB.'!I30)/1000</f>
        <v>0</v>
      </c>
      <c r="P149" s="2164"/>
      <c r="Q149" s="2164">
        <f>('5. T4 FINANSIERINGSB.'!J30)/1000</f>
        <v>0</v>
      </c>
      <c r="R149" s="2164"/>
    </row>
    <row r="150" spans="2:18" ht="12" customHeight="1">
      <c r="B150" s="829" t="s">
        <v>141</v>
      </c>
      <c r="C150" s="2256" t="str">
        <f>'5. T4 FINANSIERINGSB.'!C31</f>
        <v>Amortering av kapitallån</v>
      </c>
      <c r="D150" s="2256"/>
      <c r="E150" s="2256"/>
      <c r="F150" s="834"/>
      <c r="G150" s="834"/>
      <c r="H150" s="834"/>
      <c r="I150" s="912"/>
      <c r="J150" s="933"/>
      <c r="K150" s="2189"/>
      <c r="L150" s="2189"/>
      <c r="M150" s="2164">
        <f>('5. T4 FINANSIERINGSB.'!H31)/1000</f>
        <v>0</v>
      </c>
      <c r="N150" s="2164"/>
      <c r="O150" s="2164">
        <f>('5. T4 FINANSIERINGSB.'!I31)/1000</f>
        <v>0</v>
      </c>
      <c r="P150" s="2164"/>
      <c r="Q150" s="2164">
        <f>('5. T4 FINANSIERINGSB.'!J31)/1000</f>
        <v>0</v>
      </c>
      <c r="R150" s="2164"/>
    </row>
    <row r="151" spans="2:18" ht="12" customHeight="1">
      <c r="B151" s="829" t="s">
        <v>43</v>
      </c>
      <c r="C151" s="849" t="str">
        <f>'5. T4 FINANSIERINGSB.'!C32</f>
        <v>Långfristiga leverantörsskulder, minskning</v>
      </c>
      <c r="D151" s="849"/>
      <c r="E151" s="849"/>
      <c r="F151" s="834"/>
      <c r="G151" s="834"/>
      <c r="H151" s="834"/>
      <c r="I151" s="912"/>
      <c r="J151" s="933"/>
      <c r="K151" s="2189"/>
      <c r="L151" s="2189"/>
      <c r="M151" s="2164">
        <f>('5. T4 FINANSIERINGSB.'!H32)/1000</f>
        <v>0</v>
      </c>
      <c r="N151" s="2164"/>
      <c r="O151" s="2164">
        <f>('5. T4 FINANSIERINGSB.'!I32)/1000</f>
        <v>0</v>
      </c>
      <c r="P151" s="2164"/>
      <c r="Q151" s="2164">
        <f>('5. T4 FINANSIERINGSB.'!J32)/1000</f>
        <v>0</v>
      </c>
      <c r="R151" s="2164"/>
    </row>
    <row r="152" spans="2:18" ht="12" customHeight="1">
      <c r="B152" s="829" t="s">
        <v>44</v>
      </c>
      <c r="C152" s="2256" t="str">
        <f>'5. T4 FINANSIERINGSB.'!C33</f>
        <v>Övriga långfristiga lån, minskning</v>
      </c>
      <c r="D152" s="2256"/>
      <c r="E152" s="2256"/>
      <c r="F152" s="834"/>
      <c r="G152" s="834"/>
      <c r="H152" s="834"/>
      <c r="I152" s="912"/>
      <c r="J152" s="933"/>
      <c r="K152" s="2189">
        <v>0</v>
      </c>
      <c r="L152" s="2189"/>
      <c r="M152" s="2164">
        <f>('5. T4 FINANSIERINGSB.'!H33)/1000</f>
        <v>0</v>
      </c>
      <c r="N152" s="2164"/>
      <c r="O152" s="2164">
        <f>('5. T4 FINANSIERINGSB.'!I33)/1000</f>
        <v>0</v>
      </c>
      <c r="P152" s="2164"/>
      <c r="Q152" s="2164">
        <f>('5. T4 FINANSIERINGSB.'!J33)/1000</f>
        <v>0</v>
      </c>
      <c r="R152" s="2164"/>
    </row>
    <row r="153" spans="2:18" ht="12" customHeight="1">
      <c r="B153" s="829" t="s">
        <v>45</v>
      </c>
      <c r="C153" s="834" t="str">
        <f>'5. T4 FINANSIERINGSB.'!C34</f>
        <v xml:space="preserve">Långfristiga lån/förändringar av låneamorteringar        </v>
      </c>
      <c r="D153" s="834"/>
      <c r="E153" s="834"/>
      <c r="F153" s="834"/>
      <c r="G153" s="834"/>
      <c r="H153" s="834"/>
      <c r="I153" s="912"/>
      <c r="J153" s="933"/>
      <c r="K153" s="2164">
        <f>('5. T4 FINANSIERINGSB.'!G34)/1000</f>
        <v>0</v>
      </c>
      <c r="L153" s="2164"/>
      <c r="M153" s="2164">
        <f>('5. T4 FINANSIERINGSB.'!H34)/1000</f>
        <v>0</v>
      </c>
      <c r="N153" s="2164"/>
      <c r="O153" s="2164">
        <f>('5. T4 FINANSIERINGSB.'!I34)/1000</f>
        <v>0</v>
      </c>
      <c r="P153" s="2164"/>
      <c r="Q153" s="2164">
        <f>('5. T4 FINANSIERINGSB.'!J34)/1000</f>
        <v>0</v>
      </c>
      <c r="R153" s="2164"/>
    </row>
    <row r="154" spans="2:18" ht="12" customHeight="1">
      <c r="B154" s="829" t="s">
        <v>46</v>
      </c>
      <c r="C154" s="2256" t="str">
        <f>'5. T4 FINANSIERINGSB.'!C35</f>
        <v>Amortering av avbetalningsskulder</v>
      </c>
      <c r="D154" s="2256"/>
      <c r="E154" s="2256"/>
      <c r="F154" s="834"/>
      <c r="G154" s="834"/>
      <c r="H154" s="834"/>
      <c r="I154" s="912"/>
      <c r="J154" s="933"/>
      <c r="K154" s="2164">
        <f>('5. T4 FINANSIERINGSB.'!G35)/1000</f>
        <v>0</v>
      </c>
      <c r="L154" s="2164"/>
      <c r="M154" s="2164">
        <f>('5. T4 FINANSIERINGSB.'!H35)/1000</f>
        <v>0</v>
      </c>
      <c r="N154" s="2164"/>
      <c r="O154" s="2164">
        <f>('5. T4 FINANSIERINGSB.'!I35)/1000</f>
        <v>0</v>
      </c>
      <c r="P154" s="2164"/>
      <c r="Q154" s="2164">
        <f>('5. T4 FINANSIERINGSB.'!J35)/1000</f>
        <v>0</v>
      </c>
      <c r="R154" s="2164"/>
    </row>
    <row r="155" spans="2:18" ht="12" customHeight="1">
      <c r="B155" s="829" t="s">
        <v>47</v>
      </c>
      <c r="C155" s="2256" t="str">
        <f>'5. T4 FINANSIERINGSB.'!C36</f>
        <v xml:space="preserve">Ökning/minskning av övrigt kortfristigt främm. kapital           </v>
      </c>
      <c r="D155" s="2256"/>
      <c r="E155" s="2256"/>
      <c r="F155" s="834"/>
      <c r="G155" s="834"/>
      <c r="H155" s="834"/>
      <c r="I155" s="912"/>
      <c r="J155" s="933"/>
      <c r="K155" s="2164">
        <f>('5. T4 FINANSIERINGSB.'!G36)/1000</f>
        <v>0</v>
      </c>
      <c r="L155" s="2164"/>
      <c r="M155" s="2164">
        <f>('5. T4 FINANSIERINGSB.'!H36)/1000</f>
        <v>0</v>
      </c>
      <c r="N155" s="2164"/>
      <c r="O155" s="2164">
        <f>('5. T4 FINANSIERINGSB.'!I36)/1000</f>
        <v>0</v>
      </c>
      <c r="P155" s="2164"/>
      <c r="Q155" s="2164">
        <f>('5. T4 FINANSIERINGSB.'!J36)/1000</f>
        <v>0</v>
      </c>
      <c r="R155" s="2164"/>
    </row>
    <row r="156" spans="2:18" ht="12" customHeight="1">
      <c r="B156" s="829" t="s">
        <v>48</v>
      </c>
      <c r="C156" s="849" t="str">
        <f>'5. T4 FINANSIERINGSB.'!C37</f>
        <v>Amortering av kortfristiga lån</v>
      </c>
      <c r="D156" s="849"/>
      <c r="E156" s="849"/>
      <c r="F156" s="834"/>
      <c r="G156" s="834"/>
      <c r="H156" s="834"/>
      <c r="I156" s="912"/>
      <c r="J156" s="933"/>
      <c r="K156" s="2189">
        <v>0</v>
      </c>
      <c r="L156" s="2189"/>
      <c r="M156" s="2164">
        <f>('5. T4 FINANSIERINGSB.'!H37)/1000</f>
        <v>0</v>
      </c>
      <c r="N156" s="2164"/>
      <c r="O156" s="2164">
        <f>('5. T4 FINANSIERINGSB.'!I37)/1000</f>
        <v>0</v>
      </c>
      <c r="P156" s="2164"/>
      <c r="Q156" s="2164">
        <f>('5. T4 FINANSIERINGSB.'!J37)/1000</f>
        <v>0</v>
      </c>
      <c r="R156" s="2164"/>
    </row>
    <row r="157" spans="2:18" ht="12" customHeight="1">
      <c r="B157" s="829" t="s">
        <v>18</v>
      </c>
      <c r="C157" s="849" t="str">
        <f>'5. T4 FINANSIERINGSB.'!C38</f>
        <v>Dividendutbetalning eller privatuttag</v>
      </c>
      <c r="D157" s="849"/>
      <c r="E157" s="849"/>
      <c r="F157" s="834"/>
      <c r="G157" s="834"/>
      <c r="H157" s="834"/>
      <c r="I157" s="912"/>
      <c r="J157" s="933"/>
      <c r="K157" s="2164">
        <f>('5. T4 FINANSIERINGSB.'!G38)/1000</f>
        <v>0</v>
      </c>
      <c r="L157" s="2164"/>
      <c r="M157" s="2164">
        <f>('5. T4 FINANSIERINGSB.'!H38)/1000</f>
        <v>0</v>
      </c>
      <c r="N157" s="2164"/>
      <c r="O157" s="2164">
        <f>('5. T4 FINANSIERINGSB.'!I38)/1000</f>
        <v>0</v>
      </c>
      <c r="P157" s="2164"/>
      <c r="Q157" s="2164">
        <f>('5. T4 FINANSIERINGSB.'!J38)/1000</f>
        <v>0</v>
      </c>
      <c r="R157" s="2164"/>
    </row>
    <row r="158" spans="2:18" ht="12" customHeight="1">
      <c r="B158" s="829" t="s">
        <v>494</v>
      </c>
      <c r="C158" s="2256" t="s">
        <v>174</v>
      </c>
      <c r="D158" s="2256"/>
      <c r="E158" s="2256"/>
      <c r="F158" s="834"/>
      <c r="G158" s="834"/>
      <c r="H158" s="834"/>
      <c r="I158" s="912"/>
      <c r="J158" s="933"/>
      <c r="K158" s="2164">
        <f>('5. T4 FINANSIERINGSB.'!G39)/1000</f>
        <v>0</v>
      </c>
      <c r="L158" s="2164"/>
      <c r="M158" s="2164">
        <f>('5. T4 FINANSIERINGSB.'!H39)/1000</f>
        <v>0</v>
      </c>
      <c r="N158" s="2164"/>
      <c r="O158" s="2164">
        <f>('5. T4 FINANSIERINGSB.'!I39)/1000</f>
        <v>0</v>
      </c>
      <c r="P158" s="2164"/>
      <c r="Q158" s="2175">
        <f>('5. T4 FINANSIERINGSB.'!J39)/1000</f>
        <v>0</v>
      </c>
      <c r="R158" s="2176"/>
    </row>
    <row r="159" spans="2:18" ht="12" customHeight="1">
      <c r="B159" s="837" t="s">
        <v>495</v>
      </c>
      <c r="C159" s="865" t="s">
        <v>283</v>
      </c>
      <c r="D159" s="865"/>
      <c r="E159" s="834"/>
      <c r="F159" s="834"/>
      <c r="G159" s="834"/>
      <c r="H159" s="834"/>
      <c r="I159" s="912"/>
      <c r="J159" s="933"/>
      <c r="K159" s="2198">
        <f>('5. T4 FINANSIERINGSB.'!G40)/1000</f>
        <v>0</v>
      </c>
      <c r="L159" s="2198"/>
      <c r="M159" s="2198">
        <f>('5. T4 FINANSIERINGSB.'!H40)/1000</f>
        <v>0</v>
      </c>
      <c r="N159" s="2198"/>
      <c r="O159" s="2198">
        <f>('5. T4 FINANSIERINGSB.'!I40)/1000</f>
        <v>0</v>
      </c>
      <c r="P159" s="2198"/>
      <c r="Q159" s="2198">
        <f>('5. T4 FINANSIERINGSB.'!J40)/1000</f>
        <v>0</v>
      </c>
      <c r="R159" s="2198"/>
    </row>
    <row r="160" spans="2:18" ht="12" customHeight="1">
      <c r="B160" s="829" t="s">
        <v>518</v>
      </c>
      <c r="C160" s="834" t="s">
        <v>520</v>
      </c>
      <c r="D160" s="834"/>
      <c r="E160" s="834"/>
      <c r="F160" s="834"/>
      <c r="G160" s="834"/>
      <c r="H160" s="834"/>
      <c r="I160" s="912"/>
      <c r="J160" s="933"/>
      <c r="K160" s="2164">
        <f>('5. T4 FINANSIERINGSB.'!G41)/1000</f>
        <v>0</v>
      </c>
      <c r="L160" s="2164"/>
      <c r="M160" s="2164">
        <f>('5. T4 FINANSIERINGSB.'!H41)/1000</f>
        <v>0</v>
      </c>
      <c r="N160" s="2164"/>
      <c r="O160" s="2164">
        <f>('5. T4 FINANSIERINGSB.'!I41)/1000</f>
        <v>0</v>
      </c>
      <c r="P160" s="2164"/>
      <c r="Q160" s="2164">
        <f>('5. T4 FINANSIERINGSB.'!J41)/1000</f>
        <v>0</v>
      </c>
      <c r="R160" s="2164"/>
    </row>
    <row r="161" spans="2:18" ht="12" customHeight="1">
      <c r="B161" s="1601" t="s">
        <v>519</v>
      </c>
      <c r="C161" s="1580" t="s">
        <v>485</v>
      </c>
      <c r="D161" s="1580"/>
      <c r="E161" s="1603">
        <v>0</v>
      </c>
      <c r="F161" s="1580"/>
      <c r="G161" s="1580"/>
      <c r="H161" s="1580"/>
      <c r="I161" s="1598"/>
      <c r="J161" s="1604"/>
      <c r="K161" s="2198">
        <f>('5. T4 FINANSIERINGSB.'!G42)/1000</f>
        <v>0</v>
      </c>
      <c r="L161" s="2198"/>
      <c r="M161" s="2198">
        <f>('5. T4 FINANSIERINGSB.'!H42)/1000</f>
        <v>0</v>
      </c>
      <c r="N161" s="2198"/>
      <c r="O161" s="2198">
        <f>('5. T4 FINANSIERINGSB.'!I42)/1000</f>
        <v>0</v>
      </c>
      <c r="P161" s="2198"/>
      <c r="Q161" s="2198">
        <f>('5. T4 FINANSIERINGSB.'!J42)/1000</f>
        <v>0</v>
      </c>
      <c r="R161" s="2198"/>
    </row>
    <row r="162" spans="2:18" ht="12" customHeight="1">
      <c r="B162" s="575"/>
      <c r="C162" s="583"/>
      <c r="D162" s="583"/>
      <c r="E162" s="586"/>
      <c r="F162" s="583"/>
      <c r="G162" s="583"/>
      <c r="H162" s="583"/>
      <c r="I162" s="53"/>
      <c r="J162" s="53"/>
      <c r="K162" s="1003"/>
      <c r="L162" s="1003"/>
      <c r="M162" s="1003"/>
      <c r="N162" s="1003"/>
      <c r="O162" s="1003"/>
      <c r="P162" s="1003"/>
      <c r="Q162" s="1003"/>
      <c r="R162" s="1003"/>
    </row>
    <row r="163" spans="2:18" ht="12" customHeight="1">
      <c r="B163" s="264" t="str">
        <f>STARTSIDAN!G7</f>
        <v>Tjänsten erbjuds av: Dynamo Närpes och Kristinestads näringslivscentral</v>
      </c>
      <c r="C163" s="583"/>
      <c r="D163" s="583"/>
      <c r="E163" s="51"/>
      <c r="F163" s="474"/>
      <c r="G163" s="474"/>
      <c r="H163" s="474"/>
      <c r="I163" s="861"/>
      <c r="J163" s="861"/>
      <c r="K163" s="861"/>
      <c r="L163" s="2384" t="str">
        <f>STARTSIDAN!G26</f>
        <v xml:space="preserve">FT6 Det nya företagets resultatplan </v>
      </c>
      <c r="M163" s="2384"/>
      <c r="N163" s="2384"/>
      <c r="O163" s="2384"/>
      <c r="P163" s="2384"/>
      <c r="Q163" s="2384"/>
      <c r="R163" s="2384"/>
    </row>
    <row r="164" spans="2:18" ht="6.65" customHeight="1">
      <c r="B164" s="459"/>
      <c r="C164" s="583"/>
      <c r="D164" s="583"/>
      <c r="E164" s="51"/>
      <c r="F164" s="474"/>
      <c r="G164" s="474"/>
      <c r="H164" s="474"/>
      <c r="I164" s="861"/>
      <c r="J164" s="861"/>
      <c r="K164" s="861"/>
      <c r="L164" s="861"/>
      <c r="M164" s="861"/>
      <c r="N164" s="861"/>
      <c r="O164" s="861"/>
      <c r="R164" s="862"/>
    </row>
    <row r="165" spans="2:18" ht="7.95" customHeight="1">
      <c r="B165" s="459"/>
      <c r="C165" s="583"/>
      <c r="D165" s="583"/>
      <c r="E165" s="866"/>
      <c r="F165" s="474"/>
      <c r="G165" s="474"/>
      <c r="H165" s="474"/>
      <c r="I165" s="861"/>
      <c r="J165" s="861"/>
      <c r="K165" s="869"/>
      <c r="L165" s="861"/>
      <c r="M165" s="861"/>
      <c r="N165" s="861"/>
      <c r="O165" s="861"/>
      <c r="P165" s="862"/>
    </row>
    <row r="166" spans="2:18" ht="12" customHeight="1">
      <c r="B166" s="2158">
        <f>'1. T1 INVESTERINGSP.'!B7</f>
        <v>0</v>
      </c>
      <c r="C166" s="2158"/>
      <c r="D166" s="2158"/>
      <c r="E166" s="2158"/>
      <c r="F166" s="2158"/>
      <c r="G166" s="2158"/>
      <c r="H166" s="2158"/>
      <c r="I166" s="2158"/>
      <c r="J166" s="2158"/>
      <c r="K166" s="2374"/>
      <c r="L166" s="2374"/>
      <c r="M166" s="861"/>
      <c r="N166" s="861"/>
      <c r="O166" s="861"/>
      <c r="P166" s="862"/>
    </row>
    <row r="167" spans="2:18" ht="7.4" customHeight="1">
      <c r="B167" s="2158"/>
      <c r="C167" s="2158"/>
      <c r="D167" s="2158"/>
      <c r="E167" s="2158"/>
      <c r="F167" s="2158"/>
      <c r="G167" s="2158"/>
      <c r="H167" s="2158"/>
      <c r="I167" s="2158"/>
      <c r="J167" s="867"/>
      <c r="K167" s="868"/>
      <c r="L167" s="868"/>
      <c r="M167" s="861"/>
      <c r="N167" s="861"/>
      <c r="O167" s="861"/>
      <c r="P167" s="862"/>
    </row>
    <row r="168" spans="2:18" ht="5.7" customHeight="1">
      <c r="B168" s="580"/>
      <c r="C168" s="451"/>
      <c r="D168" s="451"/>
      <c r="E168" s="460"/>
      <c r="F168" s="452"/>
      <c r="G168" s="452"/>
      <c r="H168" s="452"/>
      <c r="I168" s="581"/>
      <c r="J168" s="581"/>
      <c r="K168" s="581"/>
      <c r="L168" s="581"/>
      <c r="M168" s="581"/>
      <c r="N168" s="581"/>
      <c r="O168" s="581"/>
      <c r="P168" s="581"/>
    </row>
    <row r="169" spans="2:18" ht="12" customHeight="1">
      <c r="B169" s="2331" t="s">
        <v>664</v>
      </c>
      <c r="C169" s="2332"/>
      <c r="D169" s="2332"/>
      <c r="E169" s="2332"/>
      <c r="F169" s="2332"/>
      <c r="G169" s="2332"/>
      <c r="H169" s="2332"/>
      <c r="I169" s="2332"/>
      <c r="J169" s="2371"/>
      <c r="K169" s="2167" t="str">
        <f>K134</f>
        <v>Prognos 1</v>
      </c>
      <c r="L169" s="2168"/>
      <c r="M169" s="2171" t="str">
        <f>M134</f>
        <v>Prognos 2</v>
      </c>
      <c r="N169" s="2168"/>
      <c r="O169" s="2171" t="str">
        <f>O134</f>
        <v>Prognos 3</v>
      </c>
      <c r="P169" s="2168"/>
      <c r="Q169" s="2171" t="str">
        <f>Q134</f>
        <v>Prognos 4</v>
      </c>
      <c r="R169" s="2168"/>
    </row>
    <row r="170" spans="2:18" ht="12" customHeight="1">
      <c r="B170" s="2333"/>
      <c r="C170" s="2334"/>
      <c r="D170" s="2334"/>
      <c r="E170" s="2334"/>
      <c r="F170" s="2334"/>
      <c r="G170" s="2334"/>
      <c r="H170" s="2334"/>
      <c r="I170" s="2334"/>
      <c r="J170" s="2372"/>
      <c r="K170" s="2169">
        <f>K135</f>
        <v>2025</v>
      </c>
      <c r="L170" s="2170"/>
      <c r="M170" s="2172">
        <f>M135</f>
        <v>2026</v>
      </c>
      <c r="N170" s="2170"/>
      <c r="O170" s="2172">
        <f>O135</f>
        <v>2027</v>
      </c>
      <c r="P170" s="2170"/>
      <c r="Q170" s="2172">
        <f>Q135</f>
        <v>2028</v>
      </c>
      <c r="R170" s="2170"/>
    </row>
    <row r="171" spans="2:18" ht="12" customHeight="1">
      <c r="B171" s="852" t="s">
        <v>564</v>
      </c>
      <c r="C171" s="2373" t="s">
        <v>231</v>
      </c>
      <c r="D171" s="2373"/>
      <c r="E171" s="2373"/>
      <c r="F171" s="2373"/>
      <c r="G171" s="2373"/>
      <c r="J171" s="197" t="s">
        <v>16</v>
      </c>
      <c r="K171" s="2173">
        <f>'5. T4 FINANSIERINGSB.'!G46/1000</f>
        <v>0</v>
      </c>
      <c r="L171" s="2174"/>
      <c r="M171" s="2173">
        <f>'5. T4 FINANSIERINGSB.'!H46/1000</f>
        <v>0</v>
      </c>
      <c r="N171" s="2174"/>
      <c r="O171" s="2173">
        <f>'5. T4 FINANSIERINGSB.'!I46/1000</f>
        <v>0</v>
      </c>
      <c r="P171" s="2174"/>
      <c r="Q171" s="2173">
        <f>'5. T4 FINANSIERINGSB.'!J46/1000</f>
        <v>0</v>
      </c>
      <c r="R171" s="2174"/>
    </row>
    <row r="172" spans="2:18" ht="12" customHeight="1">
      <c r="B172" s="852">
        <v>0</v>
      </c>
      <c r="C172" s="2323" t="s">
        <v>557</v>
      </c>
      <c r="D172" s="2323"/>
      <c r="E172" s="2323"/>
      <c r="F172" s="2323"/>
      <c r="G172" s="2323"/>
      <c r="H172" s="901"/>
      <c r="I172" s="901"/>
      <c r="J172" s="853"/>
      <c r="K172" s="2160">
        <f>'5. T4 FINANSIERINGSB.'!G47</f>
        <v>0.1</v>
      </c>
      <c r="L172" s="2161"/>
      <c r="M172" s="2160">
        <f>'5. T4 FINANSIERINGSB.'!H47</f>
        <v>0.1</v>
      </c>
      <c r="N172" s="2161"/>
      <c r="O172" s="2160">
        <f>'5. T4 FINANSIERINGSB.'!I47</f>
        <v>0.1</v>
      </c>
      <c r="P172" s="2161"/>
      <c r="Q172" s="2160">
        <f>'5. T4 FINANSIERINGSB.'!J47</f>
        <v>0.1</v>
      </c>
      <c r="R172" s="2161"/>
    </row>
    <row r="173" spans="2:18" ht="12" customHeight="1">
      <c r="B173" s="852" t="s">
        <v>565</v>
      </c>
      <c r="C173" s="2328" t="s">
        <v>313</v>
      </c>
      <c r="D173" s="2328"/>
      <c r="E173" s="2328"/>
      <c r="F173" s="2328"/>
      <c r="G173" s="2328"/>
      <c r="H173" s="901"/>
      <c r="I173" s="901"/>
      <c r="J173" s="854" t="s">
        <v>16</v>
      </c>
      <c r="K173" s="2175">
        <f>'5. T4 FINANSIERINGSB.'!G48/1000</f>
        <v>0</v>
      </c>
      <c r="L173" s="2176"/>
      <c r="M173" s="2175">
        <f>'5. T4 FINANSIERINGSB.'!H48/1000</f>
        <v>0</v>
      </c>
      <c r="N173" s="2176"/>
      <c r="O173" s="2175">
        <f>'5. T4 FINANSIERINGSB.'!I48/1000</f>
        <v>0</v>
      </c>
      <c r="P173" s="2176"/>
      <c r="Q173" s="2175">
        <f>'5. T4 FINANSIERINGSB.'!J48/1000</f>
        <v>0</v>
      </c>
      <c r="R173" s="2176"/>
    </row>
    <row r="174" spans="2:18" ht="12" customHeight="1">
      <c r="B174" s="852">
        <v>0</v>
      </c>
      <c r="C174" s="2323" t="s">
        <v>240</v>
      </c>
      <c r="D174" s="2323"/>
      <c r="E174" s="2323"/>
      <c r="F174" s="2323"/>
      <c r="G174" s="2323"/>
      <c r="H174" s="901"/>
      <c r="I174" s="901"/>
      <c r="J174" s="855"/>
      <c r="K174" s="2389">
        <f>'5. T4 FINANSIERINGSB.'!G49</f>
        <v>14</v>
      </c>
      <c r="L174" s="2390"/>
      <c r="M174" s="2389">
        <f>'5. T4 FINANSIERINGSB.'!H49</f>
        <v>14</v>
      </c>
      <c r="N174" s="2390"/>
      <c r="O174" s="2389">
        <f>'5. T4 FINANSIERINGSB.'!I49</f>
        <v>14</v>
      </c>
      <c r="P174" s="2390"/>
      <c r="Q174" s="2389">
        <f>'5. T4 FINANSIERINGSB.'!J49</f>
        <v>14</v>
      </c>
      <c r="R174" s="2390"/>
    </row>
    <row r="175" spans="2:18" ht="12" customHeight="1">
      <c r="B175" s="852" t="s">
        <v>566</v>
      </c>
      <c r="C175" s="2328" t="s">
        <v>314</v>
      </c>
      <c r="D175" s="2328"/>
      <c r="E175" s="2328"/>
      <c r="F175" s="2328"/>
      <c r="G175" s="2328"/>
      <c r="H175" s="901"/>
      <c r="I175" s="901"/>
      <c r="J175" s="854" t="s">
        <v>16</v>
      </c>
      <c r="K175" s="2175">
        <f>'5. T4 FINANSIERINGSB.'!G50/1000</f>
        <v>0</v>
      </c>
      <c r="L175" s="2176"/>
      <c r="M175" s="2175">
        <f>'5. T4 FINANSIERINGSB.'!H50/1000</f>
        <v>0</v>
      </c>
      <c r="N175" s="2176"/>
      <c r="O175" s="2175">
        <f>'5. T4 FINANSIERINGSB.'!I50/1000</f>
        <v>0</v>
      </c>
      <c r="P175" s="2176"/>
      <c r="Q175" s="2175">
        <f>'5. T4 FINANSIERINGSB.'!J50/1000</f>
        <v>0</v>
      </c>
      <c r="R175" s="2176"/>
    </row>
    <row r="176" spans="2:18" ht="12" customHeight="1">
      <c r="B176" s="852" t="s">
        <v>567</v>
      </c>
      <c r="C176" s="2328" t="s">
        <v>552</v>
      </c>
      <c r="D176" s="2328"/>
      <c r="E176" s="2328"/>
      <c r="F176" s="2328"/>
      <c r="G176" s="2328"/>
      <c r="H176" s="901"/>
      <c r="I176" s="901"/>
      <c r="J176" s="854" t="s">
        <v>16</v>
      </c>
      <c r="K176" s="2175">
        <f>'5. T4 FINANSIERINGSB.'!G52/1000</f>
        <v>0</v>
      </c>
      <c r="L176" s="2176"/>
      <c r="M176" s="2175">
        <f>'5. T4 FINANSIERINGSB.'!H52/1000</f>
        <v>0</v>
      </c>
      <c r="N176" s="2176"/>
      <c r="O176" s="2175">
        <f>'5. T4 FINANSIERINGSB.'!I52/1000</f>
        <v>0</v>
      </c>
      <c r="P176" s="2176"/>
      <c r="Q176" s="2175">
        <f>'5. T4 FINANSIERINGSB.'!J52/1000</f>
        <v>0</v>
      </c>
      <c r="R176" s="2176"/>
    </row>
    <row r="177" spans="2:18" ht="12" customHeight="1">
      <c r="B177" s="852">
        <v>0</v>
      </c>
      <c r="C177" s="2323" t="s">
        <v>543</v>
      </c>
      <c r="D177" s="2323"/>
      <c r="E177" s="2323"/>
      <c r="F177" s="2323"/>
      <c r="G177" s="2323"/>
      <c r="H177" s="901"/>
      <c r="I177" s="901"/>
      <c r="J177" s="855"/>
      <c r="K177" s="2160">
        <f>'5. T4 FINANSIERINGSB.'!G53</f>
        <v>0.05</v>
      </c>
      <c r="L177" s="2161"/>
      <c r="M177" s="2160">
        <f>'5. T4 FINANSIERINGSB.'!H53</f>
        <v>0.05</v>
      </c>
      <c r="N177" s="2161"/>
      <c r="O177" s="2160">
        <f>'5. T4 FINANSIERINGSB.'!I53</f>
        <v>0.05</v>
      </c>
      <c r="P177" s="2161"/>
      <c r="Q177" s="2160">
        <f>'5. T4 FINANSIERINGSB.'!J53</f>
        <v>0.05</v>
      </c>
      <c r="R177" s="2161"/>
    </row>
    <row r="178" spans="2:18" ht="12" customHeight="1">
      <c r="B178" s="852" t="s">
        <v>568</v>
      </c>
      <c r="C178" s="2276" t="s">
        <v>315</v>
      </c>
      <c r="D178" s="2276"/>
      <c r="E178" s="2276"/>
      <c r="F178" s="2276"/>
      <c r="G178" s="2276"/>
      <c r="H178" s="901"/>
      <c r="I178" s="901"/>
      <c r="J178" s="854" t="s">
        <v>17</v>
      </c>
      <c r="K178" s="2175">
        <f>'5. T4 FINANSIERINGSB.'!G54/1000</f>
        <v>0</v>
      </c>
      <c r="L178" s="2176"/>
      <c r="M178" s="2175">
        <f>'5. T4 FINANSIERINGSB.'!H54/1000</f>
        <v>0</v>
      </c>
      <c r="N178" s="2176"/>
      <c r="O178" s="2175">
        <f>'5. T4 FINANSIERINGSB.'!I54/1000</f>
        <v>0</v>
      </c>
      <c r="P178" s="2176"/>
      <c r="Q178" s="2175">
        <f>'5. T4 FINANSIERINGSB.'!J54/1000</f>
        <v>0</v>
      </c>
      <c r="R178" s="2176"/>
    </row>
    <row r="179" spans="2:18" ht="12" customHeight="1">
      <c r="B179" s="852">
        <v>0</v>
      </c>
      <c r="C179" s="2323" t="s">
        <v>275</v>
      </c>
      <c r="D179" s="2323"/>
      <c r="E179" s="2323"/>
      <c r="F179" s="2323"/>
      <c r="G179" s="2323"/>
      <c r="H179" s="901"/>
      <c r="I179" s="901"/>
      <c r="J179" s="855"/>
      <c r="K179" s="2389">
        <f>'5. T4 FINANSIERINGSB.'!G55</f>
        <v>14</v>
      </c>
      <c r="L179" s="2390"/>
      <c r="M179" s="2389">
        <f>'5. T4 FINANSIERINGSB.'!H55</f>
        <v>14</v>
      </c>
      <c r="N179" s="2390"/>
      <c r="O179" s="2389">
        <f>'5. T4 FINANSIERINGSB.'!I55</f>
        <v>14</v>
      </c>
      <c r="P179" s="2390"/>
      <c r="Q179" s="2389">
        <f>'5. T4 FINANSIERINGSB.'!J55</f>
        <v>14</v>
      </c>
      <c r="R179" s="2390"/>
    </row>
    <row r="180" spans="2:18" ht="12" customHeight="1">
      <c r="B180" s="852" t="s">
        <v>569</v>
      </c>
      <c r="C180" s="2276" t="s">
        <v>316</v>
      </c>
      <c r="D180" s="2276"/>
      <c r="E180" s="2276"/>
      <c r="F180" s="2276"/>
      <c r="G180" s="2276"/>
      <c r="H180" s="901"/>
      <c r="I180" s="901"/>
      <c r="J180" s="854" t="s">
        <v>17</v>
      </c>
      <c r="K180" s="2175">
        <f>'5. T4 FINANSIERINGSB.'!G56/1000</f>
        <v>0</v>
      </c>
      <c r="L180" s="2176"/>
      <c r="M180" s="2175">
        <f>'5. T4 FINANSIERINGSB.'!H56/1000</f>
        <v>0</v>
      </c>
      <c r="N180" s="2176"/>
      <c r="O180" s="2175">
        <f>'5. T4 FINANSIERINGSB.'!I56/1000</f>
        <v>0</v>
      </c>
      <c r="P180" s="2176"/>
      <c r="Q180" s="2175">
        <f>'5. T4 FINANSIERINGSB.'!J56/1000</f>
        <v>0</v>
      </c>
      <c r="R180" s="2176"/>
    </row>
    <row r="181" spans="2:18" ht="12" customHeight="1">
      <c r="B181" s="852">
        <v>0</v>
      </c>
      <c r="C181" s="2323" t="s">
        <v>526</v>
      </c>
      <c r="D181" s="2323"/>
      <c r="E181" s="2323"/>
      <c r="F181" s="2323"/>
      <c r="G181" s="2323"/>
      <c r="H181" s="901"/>
      <c r="I181" s="901"/>
      <c r="J181" s="855"/>
      <c r="K181" s="2162">
        <f>'5. T4 FINANSIERINGSB.'!G57</f>
        <v>0</v>
      </c>
      <c r="L181" s="2163"/>
      <c r="M181" s="2162">
        <f>'5. T4 FINANSIERINGSB.'!H57</f>
        <v>0</v>
      </c>
      <c r="N181" s="2163"/>
      <c r="O181" s="2162">
        <f>'5. T4 FINANSIERINGSB.'!I57</f>
        <v>0</v>
      </c>
      <c r="P181" s="2163"/>
      <c r="Q181" s="2162">
        <f>'5. T4 FINANSIERINGSB.'!J57</f>
        <v>0</v>
      </c>
      <c r="R181" s="2163"/>
    </row>
    <row r="182" spans="2:18" ht="12" customHeight="1">
      <c r="B182" s="852" t="s">
        <v>570</v>
      </c>
      <c r="C182" s="2276" t="s">
        <v>317</v>
      </c>
      <c r="D182" s="2276"/>
      <c r="E182" s="2276"/>
      <c r="F182" s="2276"/>
      <c r="G182" s="2276"/>
      <c r="H182" s="901"/>
      <c r="I182" s="901"/>
      <c r="J182" s="854" t="s">
        <v>37</v>
      </c>
      <c r="K182" s="2175">
        <f>'5. T4 FINANSIERINGSB.'!G58/1000</f>
        <v>0</v>
      </c>
      <c r="L182" s="2176"/>
      <c r="M182" s="2175">
        <f>'5. T4 FINANSIERINGSB.'!H58/1000</f>
        <v>0</v>
      </c>
      <c r="N182" s="2176"/>
      <c r="O182" s="2175">
        <f>'5. T4 FINANSIERINGSB.'!I58/1000</f>
        <v>0</v>
      </c>
      <c r="P182" s="2176"/>
      <c r="Q182" s="2175">
        <f>'5. T4 FINANSIERINGSB.'!J58/1000</f>
        <v>0</v>
      </c>
      <c r="R182" s="2176"/>
    </row>
    <row r="183" spans="2:18" ht="12" customHeight="1">
      <c r="B183" s="1642" t="s">
        <v>571</v>
      </c>
      <c r="C183" s="2277" t="s">
        <v>318</v>
      </c>
      <c r="D183" s="2277"/>
      <c r="E183" s="2277"/>
      <c r="F183" s="2277"/>
      <c r="G183" s="2277"/>
      <c r="H183" s="1643"/>
      <c r="I183" s="1643"/>
      <c r="J183" s="1644" t="s">
        <v>20</v>
      </c>
      <c r="K183" s="1645">
        <f>'5. T4 FINANSIERINGSB.'!G59/1000</f>
        <v>0</v>
      </c>
      <c r="L183" s="1646"/>
      <c r="M183" s="2175">
        <f>'5. T4 FINANSIERINGSB.'!H59/1000</f>
        <v>0</v>
      </c>
      <c r="N183" s="2176"/>
      <c r="O183" s="2175">
        <f>'5. T4 FINANSIERINGSB.'!I59/1000</f>
        <v>0</v>
      </c>
      <c r="P183" s="2176"/>
      <c r="Q183" s="2175">
        <f>'5. T4 FINANSIERINGSB.'!J59/1000</f>
        <v>0</v>
      </c>
      <c r="R183" s="2176"/>
    </row>
    <row r="184" spans="2:18" ht="8.25" customHeight="1">
      <c r="B184" s="60"/>
      <c r="C184" s="201"/>
      <c r="D184" s="201"/>
      <c r="E184" s="201"/>
      <c r="F184" s="201"/>
      <c r="G184" s="201"/>
      <c r="J184" s="870"/>
      <c r="K184" s="872"/>
      <c r="L184" s="872"/>
      <c r="M184" s="871"/>
      <c r="N184" s="871"/>
      <c r="O184" s="871"/>
      <c r="P184" s="871"/>
      <c r="Q184" s="871"/>
      <c r="R184" s="871"/>
    </row>
    <row r="185" spans="2:18" ht="12" customHeight="1">
      <c r="B185" s="60"/>
      <c r="C185" s="201"/>
      <c r="D185" s="201"/>
      <c r="E185" s="201"/>
      <c r="F185" s="201"/>
      <c r="G185" s="201"/>
      <c r="H185" s="870"/>
      <c r="I185" s="872"/>
      <c r="J185" s="872"/>
      <c r="K185" s="871"/>
      <c r="L185" s="871"/>
      <c r="M185" s="871"/>
      <c r="N185" s="871"/>
      <c r="O185" s="871"/>
      <c r="P185" s="871"/>
    </row>
    <row r="186" spans="2:18" ht="12" customHeight="1">
      <c r="B186" s="202" t="s">
        <v>665</v>
      </c>
      <c r="C186" s="201"/>
      <c r="D186" s="201"/>
      <c r="E186" s="201"/>
      <c r="F186" s="201"/>
      <c r="G186" s="201"/>
      <c r="H186" s="870"/>
      <c r="I186" s="872"/>
      <c r="J186" s="872"/>
      <c r="K186" s="871"/>
      <c r="L186" s="871"/>
      <c r="M186" s="871"/>
      <c r="N186" s="871"/>
      <c r="O186" s="871"/>
      <c r="P186" s="871"/>
    </row>
    <row r="187" spans="2:18" ht="12" customHeight="1">
      <c r="B187" s="60"/>
      <c r="C187" s="201"/>
      <c r="D187" s="201"/>
      <c r="E187" s="201"/>
      <c r="F187" s="201"/>
      <c r="G187" s="201"/>
      <c r="H187" s="870"/>
      <c r="I187" s="872"/>
      <c r="J187" s="872"/>
      <c r="K187" s="871"/>
      <c r="L187" s="871"/>
      <c r="M187" s="871"/>
      <c r="N187" s="871"/>
      <c r="O187" s="871"/>
      <c r="P187" s="871"/>
    </row>
    <row r="188" spans="2:18" ht="12" customHeight="1">
      <c r="B188" s="2300" t="s">
        <v>655</v>
      </c>
      <c r="C188" s="2301"/>
      <c r="D188" s="2310" t="s">
        <v>355</v>
      </c>
      <c r="E188" s="2310" t="s">
        <v>356</v>
      </c>
      <c r="F188" s="2310" t="s">
        <v>357</v>
      </c>
      <c r="G188" s="2298" t="str">
        <f>'2. T7 LÅN'!F9</f>
        <v>Prognos 1</v>
      </c>
      <c r="H188" s="2298"/>
      <c r="I188" s="2299"/>
      <c r="J188" s="2298" t="str">
        <f>'2. T7 LÅN'!I9</f>
        <v>Prognos 2</v>
      </c>
      <c r="K188" s="2298"/>
      <c r="L188" s="2299"/>
      <c r="M188" s="2298" t="str">
        <f>'2. T7 LÅN'!L9</f>
        <v>Prognos 3</v>
      </c>
      <c r="N188" s="2298"/>
      <c r="O188" s="2299"/>
      <c r="P188" s="2298" t="str">
        <f>'2. T7 LÅN'!O9</f>
        <v>Prognos 4</v>
      </c>
      <c r="Q188" s="2298"/>
      <c r="R188" s="2298"/>
    </row>
    <row r="189" spans="2:18" ht="12" customHeight="1">
      <c r="B189" s="2302"/>
      <c r="C189" s="2303"/>
      <c r="D189" s="2311"/>
      <c r="E189" s="2311"/>
      <c r="F189" s="2311"/>
      <c r="G189" s="2308">
        <f>'2. T7 LÅN'!F10</f>
        <v>2025</v>
      </c>
      <c r="H189" s="2308"/>
      <c r="I189" s="2309"/>
      <c r="J189" s="2308">
        <f>'2. T7 LÅN'!I10</f>
        <v>2026</v>
      </c>
      <c r="K189" s="2308"/>
      <c r="L189" s="2309"/>
      <c r="M189" s="2308">
        <f>'2. T7 LÅN'!L10</f>
        <v>2027</v>
      </c>
      <c r="N189" s="2308"/>
      <c r="O189" s="2309"/>
      <c r="P189" s="2308">
        <f>'2. T7 LÅN'!O10</f>
        <v>2028</v>
      </c>
      <c r="Q189" s="2308"/>
      <c r="R189" s="2308"/>
    </row>
    <row r="190" spans="2:18" ht="12" customHeight="1">
      <c r="B190" s="2304"/>
      <c r="C190" s="2305"/>
      <c r="D190" s="2312"/>
      <c r="E190" s="2312"/>
      <c r="F190" s="2312"/>
      <c r="G190" s="1701" t="s">
        <v>358</v>
      </c>
      <c r="H190" s="1701" t="s">
        <v>359</v>
      </c>
      <c r="I190" s="1702" t="s">
        <v>354</v>
      </c>
      <c r="J190" s="1701" t="s">
        <v>358</v>
      </c>
      <c r="K190" s="1701" t="s">
        <v>359</v>
      </c>
      <c r="L190" s="1702" t="s">
        <v>354</v>
      </c>
      <c r="M190" s="1701" t="s">
        <v>358</v>
      </c>
      <c r="N190" s="1701" t="s">
        <v>359</v>
      </c>
      <c r="O190" s="1702" t="s">
        <v>354</v>
      </c>
      <c r="P190" s="1701" t="s">
        <v>358</v>
      </c>
      <c r="Q190" s="1701" t="s">
        <v>359</v>
      </c>
      <c r="R190" s="1701" t="s">
        <v>354</v>
      </c>
    </row>
    <row r="191" spans="2:18" ht="12" customHeight="1" thickBot="1">
      <c r="B191" s="1698" t="s">
        <v>548</v>
      </c>
      <c r="C191" s="1699"/>
      <c r="D191" s="1700"/>
      <c r="E191" s="874"/>
      <c r="F191" s="874"/>
      <c r="G191" s="874"/>
      <c r="H191" s="874"/>
      <c r="I191" s="874"/>
      <c r="J191" s="874"/>
      <c r="K191" s="874"/>
      <c r="L191" s="874"/>
      <c r="M191" s="874"/>
      <c r="N191" s="874"/>
      <c r="O191" s="874"/>
      <c r="P191" s="874"/>
      <c r="Q191" s="874"/>
      <c r="R191" s="953"/>
    </row>
    <row r="192" spans="2:18" ht="12" customHeight="1">
      <c r="B192" s="2316" t="s">
        <v>360</v>
      </c>
      <c r="C192" s="2317"/>
      <c r="D192" s="876">
        <f>'2. T7 LÅN'!C13/1000</f>
        <v>0</v>
      </c>
      <c r="E192" s="876">
        <f>'2. T7 LÅN'!D13</f>
        <v>0</v>
      </c>
      <c r="F192" s="885">
        <f>'2. T7 LÅN'!E13*100</f>
        <v>0</v>
      </c>
      <c r="G192" s="886">
        <f>'2. T7 LÅN'!F13/1000</f>
        <v>0</v>
      </c>
      <c r="H192" s="889">
        <f>'2. T7 LÅN'!G13/1000</f>
        <v>0</v>
      </c>
      <c r="I192" s="1288">
        <f>'2. T7 LÅN'!H13/1000</f>
        <v>0</v>
      </c>
      <c r="J192" s="876"/>
      <c r="K192" s="889">
        <f>'2. T7 LÅN'!J13/1000</f>
        <v>0</v>
      </c>
      <c r="L192" s="1288">
        <f>'2. T7 LÅN'!K13/1000</f>
        <v>0</v>
      </c>
      <c r="M192" s="876"/>
      <c r="N192" s="889">
        <f>'2. T7 LÅN'!M13/1000</f>
        <v>0</v>
      </c>
      <c r="O192" s="1288">
        <f>'2. T7 LÅN'!N13/1000</f>
        <v>0</v>
      </c>
      <c r="P192" s="876"/>
      <c r="Q192" s="889">
        <f>'2. T7 LÅN'!P13/1000</f>
        <v>0</v>
      </c>
      <c r="R192" s="1289">
        <f>'2. T7 LÅN'!Q13/1000</f>
        <v>0</v>
      </c>
    </row>
    <row r="193" spans="2:18" ht="12" customHeight="1">
      <c r="B193" s="2280" t="str">
        <f>'2. T7 LÅN'!B14</f>
        <v xml:space="preserve"> </v>
      </c>
      <c r="C193" s="2281"/>
      <c r="D193" s="888">
        <f>'2. T7 LÅN'!C14/1000</f>
        <v>0</v>
      </c>
      <c r="E193" s="877">
        <f>'2. T7 LÅN'!D14</f>
        <v>0</v>
      </c>
      <c r="F193" s="882">
        <f>'2. T7 LÅN'!E14*100</f>
        <v>0</v>
      </c>
      <c r="G193" s="887">
        <f>'2. T7 LÅN'!F14/1000</f>
        <v>0</v>
      </c>
      <c r="H193" s="890">
        <f>'2. T7 LÅN'!G14/1000</f>
        <v>0</v>
      </c>
      <c r="I193" s="1290">
        <f>'2. T7 LÅN'!H14/1000</f>
        <v>0</v>
      </c>
      <c r="J193" s="1291"/>
      <c r="K193" s="890">
        <f>'2. T7 LÅN'!J14/1000</f>
        <v>0</v>
      </c>
      <c r="L193" s="1290">
        <f>'2. T7 LÅN'!K14/1000</f>
        <v>0</v>
      </c>
      <c r="M193" s="1292"/>
      <c r="N193" s="890">
        <f>'2. T7 LÅN'!M14/1000</f>
        <v>0</v>
      </c>
      <c r="O193" s="1290">
        <f>'2. T7 LÅN'!N14/1000</f>
        <v>0</v>
      </c>
      <c r="P193" s="1292"/>
      <c r="Q193" s="890">
        <f>'2. T7 LÅN'!P14/1000</f>
        <v>0</v>
      </c>
      <c r="R193" s="1293">
        <f>'2. T7 LÅN'!Q14/1000</f>
        <v>0</v>
      </c>
    </row>
    <row r="194" spans="2:18" ht="12" customHeight="1">
      <c r="B194" s="2315" t="str">
        <f>'2. T7 LÅN'!B15</f>
        <v xml:space="preserve"> </v>
      </c>
      <c r="C194" s="2281"/>
      <c r="D194" s="888">
        <f>'2. T7 LÅN'!C15/1000</f>
        <v>0</v>
      </c>
      <c r="E194" s="877">
        <f>'2. T7 LÅN'!D15</f>
        <v>0</v>
      </c>
      <c r="F194" s="882">
        <f>'2. T7 LÅN'!E15*100</f>
        <v>0</v>
      </c>
      <c r="G194" s="887">
        <f>'2. T7 LÅN'!F15/1000</f>
        <v>0</v>
      </c>
      <c r="H194" s="890">
        <f>'2. T7 LÅN'!G15/1000</f>
        <v>0</v>
      </c>
      <c r="I194" s="1290">
        <f>'2. T7 LÅN'!H15/1000</f>
        <v>0</v>
      </c>
      <c r="J194" s="1291"/>
      <c r="K194" s="890">
        <f>'2. T7 LÅN'!J15/1000</f>
        <v>0</v>
      </c>
      <c r="L194" s="1290">
        <f>'2. T7 LÅN'!K15/1000</f>
        <v>0</v>
      </c>
      <c r="M194" s="1292"/>
      <c r="N194" s="890">
        <f>'2. T7 LÅN'!M15/1000</f>
        <v>0</v>
      </c>
      <c r="O194" s="1290">
        <f>'2. T7 LÅN'!N15/1000</f>
        <v>0</v>
      </c>
      <c r="P194" s="1292"/>
      <c r="Q194" s="890">
        <f>'2. T7 LÅN'!P15/1000</f>
        <v>0</v>
      </c>
      <c r="R194" s="1293">
        <f>'2. T7 LÅN'!Q15/1000</f>
        <v>0</v>
      </c>
    </row>
    <row r="195" spans="2:18" ht="12" customHeight="1">
      <c r="B195" s="2313" t="str">
        <f>'2. T7 LÅN'!B16</f>
        <v xml:space="preserve"> </v>
      </c>
      <c r="C195" s="2314"/>
      <c r="D195" s="1649">
        <f>'2. T7 LÅN'!C16/1000</f>
        <v>0</v>
      </c>
      <c r="E195" s="1650">
        <f>'2. T7 LÅN'!D16</f>
        <v>0</v>
      </c>
      <c r="F195" s="1651">
        <f>'2. T7 LÅN'!E16*100</f>
        <v>0</v>
      </c>
      <c r="G195" s="1652">
        <f>'2. T7 LÅN'!F16/1000</f>
        <v>0</v>
      </c>
      <c r="H195" s="1653">
        <f>'2. T7 LÅN'!G16/1000</f>
        <v>0</v>
      </c>
      <c r="I195" s="1654">
        <f>'2. T7 LÅN'!H16/1000</f>
        <v>0</v>
      </c>
      <c r="J195" s="1655"/>
      <c r="K195" s="1653">
        <f>'2. T7 LÅN'!J16/1000</f>
        <v>0</v>
      </c>
      <c r="L195" s="1654">
        <f>'2. T7 LÅN'!K16/1000</f>
        <v>0</v>
      </c>
      <c r="M195" s="1656"/>
      <c r="N195" s="1653">
        <f>'2. T7 LÅN'!M16/1000</f>
        <v>0</v>
      </c>
      <c r="O195" s="1654">
        <f>'2. T7 LÅN'!N16/1000</f>
        <v>0</v>
      </c>
      <c r="P195" s="1656"/>
      <c r="Q195" s="1657">
        <f>'2. T7 LÅN'!P16/1000</f>
        <v>0</v>
      </c>
      <c r="R195" s="1658">
        <f>'2. T7 LÅN'!Q16/1000</f>
        <v>0</v>
      </c>
    </row>
    <row r="196" spans="2:18" ht="12" customHeight="1">
      <c r="B196" s="2286" t="s">
        <v>549</v>
      </c>
      <c r="C196" s="2287"/>
      <c r="D196" s="2287"/>
      <c r="E196" s="2287"/>
      <c r="F196" s="2287"/>
      <c r="G196" s="2287"/>
      <c r="H196" s="2287"/>
      <c r="I196" s="2287"/>
      <c r="J196" s="2287"/>
      <c r="K196" s="2287"/>
      <c r="L196" s="2287"/>
      <c r="M196" s="2287"/>
      <c r="N196" s="2287"/>
      <c r="O196" s="2287"/>
      <c r="P196" s="2287"/>
      <c r="Q196" s="2287"/>
      <c r="R196" s="2288"/>
    </row>
    <row r="197" spans="2:18" ht="12" customHeight="1">
      <c r="B197" s="2289" t="str">
        <f>'2. T7 LÅN'!B18</f>
        <v xml:space="preserve"> Prognos år 2, lån 1 </v>
      </c>
      <c r="C197" s="2290"/>
      <c r="D197" s="987">
        <f>'2. T7 LÅN'!C18/1000</f>
        <v>0</v>
      </c>
      <c r="E197" s="988">
        <f>'2. T7 LÅN'!D18</f>
        <v>0</v>
      </c>
      <c r="F197" s="989">
        <f>'2. T7 LÅN'!E18*100</f>
        <v>0</v>
      </c>
      <c r="G197" s="990"/>
      <c r="H197" s="991"/>
      <c r="I197" s="1294"/>
      <c r="J197" s="1295">
        <f>'2. T7 LÅN'!I18/1000</f>
        <v>0</v>
      </c>
      <c r="K197" s="992">
        <f>'2. T7 LÅN'!J18/1000</f>
        <v>0</v>
      </c>
      <c r="L197" s="1294">
        <f>'2. T7 LÅN'!K18/1000</f>
        <v>0</v>
      </c>
      <c r="M197" s="1296"/>
      <c r="N197" s="992">
        <f>'2. T7 LÅN'!M18/1000</f>
        <v>0</v>
      </c>
      <c r="O197" s="1294">
        <f>'2. T7 LÅN'!N18/1000</f>
        <v>0</v>
      </c>
      <c r="P197" s="1296"/>
      <c r="Q197" s="1297">
        <f>'2. T7 LÅN'!P18/1000</f>
        <v>0</v>
      </c>
      <c r="R197" s="1298">
        <f>'2. T7 LÅN'!Q18/1000</f>
        <v>0</v>
      </c>
    </row>
    <row r="198" spans="2:18" ht="12" customHeight="1">
      <c r="B198" s="2280" t="str">
        <f>'2. T7 LÅN'!B19</f>
        <v xml:space="preserve"> </v>
      </c>
      <c r="C198" s="2291"/>
      <c r="D198" s="888">
        <f>'2. T7 LÅN'!C19/1000</f>
        <v>0</v>
      </c>
      <c r="E198" s="877">
        <f>'2. T7 LÅN'!D19</f>
        <v>0</v>
      </c>
      <c r="F198" s="883">
        <f>'2. T7 LÅN'!E19*100</f>
        <v>0</v>
      </c>
      <c r="G198" s="887"/>
      <c r="H198" s="875"/>
      <c r="I198" s="1290"/>
      <c r="J198" s="1291">
        <f>'2. T7 LÅN'!I19/1000</f>
        <v>0</v>
      </c>
      <c r="K198" s="890">
        <f>'2. T7 LÅN'!J19/1000</f>
        <v>0</v>
      </c>
      <c r="L198" s="1290">
        <f>'2. T7 LÅN'!K19/1000</f>
        <v>0</v>
      </c>
      <c r="M198" s="1292"/>
      <c r="N198" s="890">
        <f>'2. T7 LÅN'!M19/1000</f>
        <v>0</v>
      </c>
      <c r="O198" s="1290">
        <f>'2. T7 LÅN'!N19/1000</f>
        <v>0</v>
      </c>
      <c r="P198" s="1292"/>
      <c r="Q198" s="1299">
        <f>'2. T7 LÅN'!P19/1000</f>
        <v>0</v>
      </c>
      <c r="R198" s="1300">
        <f>'2. T7 LÅN'!Q19/1000</f>
        <v>0</v>
      </c>
    </row>
    <row r="199" spans="2:18" ht="12" customHeight="1">
      <c r="B199" s="2280" t="str">
        <f>'2. T7 LÅN'!B20</f>
        <v xml:space="preserve"> </v>
      </c>
      <c r="C199" s="2291"/>
      <c r="D199" s="888">
        <f>'2. T7 LÅN'!C20/1000</f>
        <v>0</v>
      </c>
      <c r="E199" s="877">
        <f>'2. T7 LÅN'!D20</f>
        <v>0</v>
      </c>
      <c r="F199" s="883">
        <f>'2. T7 LÅN'!E20*100</f>
        <v>0</v>
      </c>
      <c r="G199" s="887"/>
      <c r="H199" s="875"/>
      <c r="I199" s="1290"/>
      <c r="J199" s="1291">
        <f>'2. T7 LÅN'!I20/1000</f>
        <v>0</v>
      </c>
      <c r="K199" s="890">
        <f>'2. T7 LÅN'!J20/1000</f>
        <v>0</v>
      </c>
      <c r="L199" s="1290">
        <f>'2. T7 LÅN'!K20/1000</f>
        <v>0</v>
      </c>
      <c r="M199" s="1292"/>
      <c r="N199" s="890">
        <f>'2. T7 LÅN'!M20/1000</f>
        <v>0</v>
      </c>
      <c r="O199" s="1290">
        <f>'2. T7 LÅN'!N20/1000</f>
        <v>0</v>
      </c>
      <c r="P199" s="1292"/>
      <c r="Q199" s="1299">
        <f>'2. T7 LÅN'!P20/1000</f>
        <v>0</v>
      </c>
      <c r="R199" s="1300">
        <f>'2. T7 LÅN'!Q20/1000</f>
        <v>0</v>
      </c>
    </row>
    <row r="200" spans="2:18" ht="12" customHeight="1">
      <c r="B200" s="2292" t="str">
        <f>'2. T7 LÅN'!B21</f>
        <v xml:space="preserve"> </v>
      </c>
      <c r="C200" s="2293"/>
      <c r="D200" s="1649">
        <f>'2. T7 LÅN'!C21/1000</f>
        <v>0</v>
      </c>
      <c r="E200" s="1650">
        <f>'2. T7 LÅN'!D21</f>
        <v>0</v>
      </c>
      <c r="F200" s="1659">
        <f>'2. T7 LÅN'!E21*100</f>
        <v>0</v>
      </c>
      <c r="G200" s="1652"/>
      <c r="H200" s="1660"/>
      <c r="I200" s="1654"/>
      <c r="J200" s="1655">
        <f>'2. T7 LÅN'!I21/1000</f>
        <v>0</v>
      </c>
      <c r="K200" s="1653">
        <f>'2. T7 LÅN'!J21/1000</f>
        <v>0</v>
      </c>
      <c r="L200" s="1654">
        <f>'2. T7 LÅN'!K21/1000</f>
        <v>0</v>
      </c>
      <c r="M200" s="1656"/>
      <c r="N200" s="1653">
        <f>'2. T7 LÅN'!M21/1000</f>
        <v>0</v>
      </c>
      <c r="O200" s="1654">
        <f>'2. T7 LÅN'!N21/1000</f>
        <v>0</v>
      </c>
      <c r="P200" s="1656"/>
      <c r="Q200" s="1657">
        <f>'2. T7 LÅN'!P21/1000</f>
        <v>0</v>
      </c>
      <c r="R200" s="1658">
        <f>'2. T7 LÅN'!Q21/1000</f>
        <v>0</v>
      </c>
    </row>
    <row r="201" spans="2:18" ht="12" customHeight="1">
      <c r="B201" s="2286" t="s">
        <v>550</v>
      </c>
      <c r="C201" s="2287"/>
      <c r="D201" s="2287"/>
      <c r="E201" s="2287"/>
      <c r="F201" s="2287"/>
      <c r="G201" s="2287"/>
      <c r="H201" s="2287"/>
      <c r="I201" s="2287"/>
      <c r="J201" s="2287"/>
      <c r="K201" s="2287"/>
      <c r="L201" s="2287"/>
      <c r="M201" s="2287"/>
      <c r="N201" s="2287"/>
      <c r="O201" s="2287"/>
      <c r="P201" s="2287"/>
      <c r="Q201" s="2287"/>
      <c r="R201" s="2288"/>
    </row>
    <row r="202" spans="2:18" ht="12" customHeight="1">
      <c r="B202" s="2289" t="str">
        <f>'2. T7 LÅN'!B23</f>
        <v xml:space="preserve"> Prognos år 3, lån 1</v>
      </c>
      <c r="C202" s="2290"/>
      <c r="D202" s="993">
        <f>'2. T7 LÅN'!C23/1000</f>
        <v>0</v>
      </c>
      <c r="E202" s="994">
        <f>'2. T7 LÅN'!D23</f>
        <v>0</v>
      </c>
      <c r="F202" s="995">
        <f>'2. T7 LÅN'!E23*100</f>
        <v>0</v>
      </c>
      <c r="G202" s="996"/>
      <c r="H202" s="994"/>
      <c r="I202" s="997"/>
      <c r="J202" s="996"/>
      <c r="K202" s="1301"/>
      <c r="L202" s="997"/>
      <c r="M202" s="996">
        <f>'2. T7 LÅN'!L23/1000</f>
        <v>0</v>
      </c>
      <c r="N202" s="1302">
        <f>'2. T7 LÅN'!M23/1000</f>
        <v>0</v>
      </c>
      <c r="O202" s="998">
        <f>'2. T7 LÅN'!N23/1000</f>
        <v>0</v>
      </c>
      <c r="P202" s="996"/>
      <c r="Q202" s="999">
        <f>'2. T7 LÅN'!P23/1000</f>
        <v>0</v>
      </c>
      <c r="R202" s="999">
        <f>'2. T7 LÅN'!Q23/1000</f>
        <v>0</v>
      </c>
    </row>
    <row r="203" spans="2:18" ht="12" customHeight="1">
      <c r="B203" s="2280" t="str">
        <f>'2. T7 LÅN'!B24</f>
        <v xml:space="preserve"> </v>
      </c>
      <c r="C203" s="2291"/>
      <c r="D203" s="954">
        <f>'2. T7 LÅN'!C24/1000</f>
        <v>0</v>
      </c>
      <c r="E203" s="880">
        <f>'2. T7 LÅN'!D24</f>
        <v>0</v>
      </c>
      <c r="F203" s="884">
        <f>'2. T7 LÅN'!E24*100</f>
        <v>0</v>
      </c>
      <c r="G203" s="879"/>
      <c r="H203" s="880"/>
      <c r="I203" s="881"/>
      <c r="J203" s="879"/>
      <c r="K203" s="856"/>
      <c r="L203" s="881"/>
      <c r="M203" s="879">
        <f>'2. T7 LÅN'!L24/1000</f>
        <v>0</v>
      </c>
      <c r="N203" s="1019">
        <f>'2. T7 LÅN'!M24/1000</f>
        <v>0</v>
      </c>
      <c r="O203" s="891">
        <f>'2. T7 LÅN'!N24/1000</f>
        <v>0</v>
      </c>
      <c r="P203" s="879"/>
      <c r="Q203" s="892">
        <f>'2. T7 LÅN'!P24/1000</f>
        <v>0</v>
      </c>
      <c r="R203" s="892">
        <f>'2. T7 LÅN'!Q24/1000</f>
        <v>0</v>
      </c>
    </row>
    <row r="204" spans="2:18" ht="12" customHeight="1">
      <c r="B204" s="2280" t="str">
        <f>'2. T7 LÅN'!B25</f>
        <v xml:space="preserve"> </v>
      </c>
      <c r="C204" s="2291"/>
      <c r="D204" s="954">
        <f>'2. T7 LÅN'!C25/1000</f>
        <v>0</v>
      </c>
      <c r="E204" s="880">
        <f>'2. T7 LÅN'!D25</f>
        <v>0</v>
      </c>
      <c r="F204" s="884">
        <f>'2. T7 LÅN'!E25*100</f>
        <v>0</v>
      </c>
      <c r="G204" s="879"/>
      <c r="H204" s="880"/>
      <c r="I204" s="881"/>
      <c r="J204" s="879"/>
      <c r="K204" s="856"/>
      <c r="L204" s="881"/>
      <c r="M204" s="879">
        <f>'2. T7 LÅN'!L25/1000</f>
        <v>0</v>
      </c>
      <c r="N204" s="1019">
        <f>'2. T7 LÅN'!M25/1000</f>
        <v>0</v>
      </c>
      <c r="O204" s="891">
        <f>'2. T7 LÅN'!N25/1000</f>
        <v>0</v>
      </c>
      <c r="P204" s="879"/>
      <c r="Q204" s="892">
        <f>'2. T7 LÅN'!P25/1000</f>
        <v>0</v>
      </c>
      <c r="R204" s="892">
        <f>'2. T7 LÅN'!Q25/1000</f>
        <v>0</v>
      </c>
    </row>
    <row r="205" spans="2:18" ht="12" customHeight="1">
      <c r="B205" s="2292" t="str">
        <f>'2. T7 LÅN'!B26</f>
        <v xml:space="preserve"> </v>
      </c>
      <c r="C205" s="2293"/>
      <c r="D205" s="1661">
        <f>'2. T7 LÅN'!C26/1000</f>
        <v>0</v>
      </c>
      <c r="E205" s="1662">
        <f>'2. T7 LÅN'!D26</f>
        <v>0</v>
      </c>
      <c r="F205" s="1663">
        <f>'2. T7 LÅN'!E26*100</f>
        <v>0</v>
      </c>
      <c r="G205" s="1664"/>
      <c r="H205" s="1662"/>
      <c r="I205" s="1665"/>
      <c r="J205" s="1664"/>
      <c r="K205" s="1666"/>
      <c r="L205" s="1665"/>
      <c r="M205" s="1664">
        <f>'2. T7 LÅN'!L26/1000</f>
        <v>0</v>
      </c>
      <c r="N205" s="1667">
        <f>'2. T7 LÅN'!M26/1000</f>
        <v>0</v>
      </c>
      <c r="O205" s="1668">
        <f>'2. T7 LÅN'!N26/1000</f>
        <v>0</v>
      </c>
      <c r="P205" s="1664"/>
      <c r="Q205" s="1669">
        <f>'2. T7 LÅN'!P26/1000</f>
        <v>0</v>
      </c>
      <c r="R205" s="1669">
        <f>'2. T7 LÅN'!Q26/1000</f>
        <v>0</v>
      </c>
    </row>
    <row r="206" spans="2:18" ht="12" customHeight="1">
      <c r="B206" s="2286" t="s">
        <v>551</v>
      </c>
      <c r="C206" s="2287"/>
      <c r="D206" s="2287"/>
      <c r="E206" s="2287"/>
      <c r="F206" s="2287"/>
      <c r="G206" s="2287"/>
      <c r="H206" s="2287"/>
      <c r="I206" s="2287"/>
      <c r="J206" s="2287"/>
      <c r="K206" s="2287"/>
      <c r="L206" s="2287"/>
      <c r="M206" s="2287"/>
      <c r="N206" s="2287"/>
      <c r="O206" s="2287"/>
      <c r="P206" s="2287"/>
      <c r="Q206" s="2287"/>
      <c r="R206" s="2288"/>
    </row>
    <row r="207" spans="2:18" ht="12" customHeight="1">
      <c r="B207" s="2289" t="str">
        <f>'2. T7 LÅN'!B28</f>
        <v xml:space="preserve"> Prognos år 4, lån 1</v>
      </c>
      <c r="C207" s="2290"/>
      <c r="D207" s="993">
        <f>'2. T7 LÅN'!C28/1000</f>
        <v>0</v>
      </c>
      <c r="E207" s="994">
        <f>'2. T7 LÅN'!D28</f>
        <v>0</v>
      </c>
      <c r="F207" s="995">
        <f>'2. T7 LÅN'!E28*100</f>
        <v>0</v>
      </c>
      <c r="G207" s="996"/>
      <c r="H207" s="994"/>
      <c r="I207" s="997"/>
      <c r="J207" s="996"/>
      <c r="K207" s="1301"/>
      <c r="L207" s="997"/>
      <c r="M207" s="996"/>
      <c r="N207" s="994"/>
      <c r="O207" s="997"/>
      <c r="P207" s="996">
        <f>'2. T7 LÅN'!O28/1000</f>
        <v>0</v>
      </c>
      <c r="Q207" s="999">
        <f>'2. T7 LÅN'!P28/1000</f>
        <v>0</v>
      </c>
      <c r="R207" s="999">
        <f>'2. T7 LÅN'!Q28/1000</f>
        <v>0</v>
      </c>
    </row>
    <row r="208" spans="2:18" ht="12" customHeight="1">
      <c r="B208" s="2280">
        <f>'2. T7 LÅN'!B29</f>
        <v>0</v>
      </c>
      <c r="C208" s="2291"/>
      <c r="D208" s="954">
        <f>'2. T7 LÅN'!C29/1000</f>
        <v>0</v>
      </c>
      <c r="E208" s="880">
        <f>'2. T7 LÅN'!D29</f>
        <v>0</v>
      </c>
      <c r="F208" s="884">
        <f>'2. T7 LÅN'!E29*100</f>
        <v>0</v>
      </c>
      <c r="G208" s="879"/>
      <c r="H208" s="880"/>
      <c r="I208" s="881"/>
      <c r="J208" s="879"/>
      <c r="K208" s="856"/>
      <c r="L208" s="881"/>
      <c r="M208" s="879"/>
      <c r="N208" s="880"/>
      <c r="O208" s="881"/>
      <c r="P208" s="879">
        <f>'2. T7 LÅN'!O29/1000</f>
        <v>0</v>
      </c>
      <c r="Q208" s="892">
        <f>'2. T7 LÅN'!P29/1000</f>
        <v>0</v>
      </c>
      <c r="R208" s="892">
        <f>'2. T7 LÅN'!Q29/1000</f>
        <v>0</v>
      </c>
    </row>
    <row r="209" spans="2:18" ht="12" customHeight="1">
      <c r="B209" s="2280" t="str">
        <f>'2. T7 LÅN'!B30</f>
        <v xml:space="preserve"> </v>
      </c>
      <c r="C209" s="2291"/>
      <c r="D209" s="888">
        <f>'2. T7 LÅN'!C30/1000</f>
        <v>0</v>
      </c>
      <c r="E209" s="877">
        <f>'2. T7 LÅN'!D30</f>
        <v>0</v>
      </c>
      <c r="F209" s="883">
        <f>'2. T7 LÅN'!E30*100</f>
        <v>0</v>
      </c>
      <c r="G209" s="878"/>
      <c r="H209" s="875"/>
      <c r="I209" s="1290"/>
      <c r="J209" s="1291"/>
      <c r="K209" s="856"/>
      <c r="L209" s="1303"/>
      <c r="M209" s="1292"/>
      <c r="N209" s="1019"/>
      <c r="O209" s="1303"/>
      <c r="P209" s="1292">
        <f>'2. T7 LÅN'!O30/1000</f>
        <v>0</v>
      </c>
      <c r="Q209" s="1304">
        <f>'2. T7 LÅN'!P30/1000</f>
        <v>0</v>
      </c>
      <c r="R209" s="1304">
        <f>'2. T7 LÅN'!Q30/1000</f>
        <v>0</v>
      </c>
    </row>
    <row r="210" spans="2:18" ht="12" customHeight="1" thickBot="1">
      <c r="B210" s="2294" t="str">
        <f>'2. T7 LÅN'!B31</f>
        <v xml:space="preserve"> </v>
      </c>
      <c r="C210" s="2295"/>
      <c r="D210" s="1000">
        <f>'2. T7 LÅN'!C31/1000</f>
        <v>0</v>
      </c>
      <c r="E210" s="949">
        <f>'2. T7 LÅN'!D31</f>
        <v>0</v>
      </c>
      <c r="F210" s="950">
        <f>'2. T7 LÅN'!E31*100</f>
        <v>0</v>
      </c>
      <c r="G210" s="951"/>
      <c r="H210" s="952"/>
      <c r="I210" s="1305"/>
      <c r="J210" s="1306"/>
      <c r="K210" s="1307"/>
      <c r="L210" s="1308"/>
      <c r="M210" s="1309"/>
      <c r="N210" s="1310"/>
      <c r="O210" s="1308"/>
      <c r="P210" s="1309">
        <f>'2. T7 LÅN'!O31/1000</f>
        <v>0</v>
      </c>
      <c r="Q210" s="1311">
        <f>'2. T7 LÅN'!P31/1000</f>
        <v>0</v>
      </c>
      <c r="R210" s="1311">
        <f>'2. T7 LÅN'!Q31/1000</f>
        <v>0</v>
      </c>
    </row>
    <row r="211" spans="2:18" ht="12" customHeight="1" thickTop="1">
      <c r="B211" s="2296" t="str">
        <f>'2. T7 LÅN'!B32</f>
        <v xml:space="preserve"> Långfristiga lån sammanlagt</v>
      </c>
      <c r="C211" s="2297"/>
      <c r="D211" s="1675">
        <f>'2. T7 LÅN'!C32/1000</f>
        <v>0</v>
      </c>
      <c r="E211" s="1676" t="s">
        <v>0</v>
      </c>
      <c r="F211" s="1677" t="s">
        <v>0</v>
      </c>
      <c r="G211" s="1678">
        <f>'2. T7 LÅN'!F32/1000</f>
        <v>0</v>
      </c>
      <c r="H211" s="1679">
        <f>'2. T7 LÅN'!G32/1000</f>
        <v>0</v>
      </c>
      <c r="I211" s="1680">
        <f>'2. T7 LÅN'!H32/1000</f>
        <v>0</v>
      </c>
      <c r="J211" s="1678">
        <f>'2. T7 LÅN'!I32/1000</f>
        <v>0</v>
      </c>
      <c r="K211" s="1679">
        <f>'2. T7 LÅN'!J32/1000</f>
        <v>0</v>
      </c>
      <c r="L211" s="1680">
        <f>'2. T7 LÅN'!K32/1000</f>
        <v>0</v>
      </c>
      <c r="M211" s="1678">
        <f>'2. T7 LÅN'!L32/1000</f>
        <v>0</v>
      </c>
      <c r="N211" s="1679">
        <f>'2. T7 LÅN'!M32/1000</f>
        <v>0</v>
      </c>
      <c r="O211" s="1680">
        <f>'2. T7 LÅN'!N32/1000</f>
        <v>0</v>
      </c>
      <c r="P211" s="1678">
        <f>'2. T7 LÅN'!O32/1000</f>
        <v>0</v>
      </c>
      <c r="Q211" s="1679">
        <f>'2. T7 LÅN'!P32/1000</f>
        <v>0</v>
      </c>
      <c r="R211" s="1680">
        <f>'2. T7 LÅN'!Q32/1000</f>
        <v>0</v>
      </c>
    </row>
    <row r="212" spans="2:18" ht="6" customHeight="1">
      <c r="B212" s="1672"/>
      <c r="C212" s="1672"/>
      <c r="D212" s="197"/>
      <c r="E212" s="1392"/>
      <c r="F212" s="1673"/>
      <c r="G212" s="197"/>
      <c r="H212" s="1674"/>
      <c r="I212" s="1674"/>
      <c r="J212" s="197"/>
      <c r="K212" s="1674"/>
      <c r="L212" s="1674"/>
      <c r="M212" s="197"/>
      <c r="N212" s="1674"/>
      <c r="O212" s="1674"/>
      <c r="P212" s="197"/>
      <c r="Q212" s="1674"/>
      <c r="R212" s="1674"/>
    </row>
    <row r="213" spans="2:18" ht="12" customHeight="1">
      <c r="B213" s="2280" t="str">
        <f>'2. T7 LÅN'!B33</f>
        <v xml:space="preserve"> Avbetalningslån, prognos år 1</v>
      </c>
      <c r="C213" s="2281"/>
      <c r="D213" s="1723">
        <f>'2. T7 LÅN'!C33/1000</f>
        <v>0</v>
      </c>
      <c r="E213" s="888">
        <f>'2. T7 LÅN'!D33</f>
        <v>0</v>
      </c>
      <c r="F213" s="1007">
        <f>'2. T7 LÅN'!E33*100</f>
        <v>0</v>
      </c>
      <c r="G213" s="1005">
        <f>'2. T7 LÅN'!F33/1000</f>
        <v>0</v>
      </c>
      <c r="H213" s="1009">
        <f>'2. T7 LÅN'!G33/1000</f>
        <v>0</v>
      </c>
      <c r="I213" s="1007">
        <f>'2. T7 LÅN'!H33/1000</f>
        <v>0</v>
      </c>
      <c r="J213" s="1005">
        <f>'2. T7 LÅN'!I33/1000</f>
        <v>0</v>
      </c>
      <c r="K213" s="1009">
        <f>'2. T7 LÅN'!J33/1000</f>
        <v>0</v>
      </c>
      <c r="L213" s="1007">
        <f>'2. T7 LÅN'!K33/1000</f>
        <v>0</v>
      </c>
      <c r="M213" s="1005">
        <f>'2. T7 LÅN'!L33/1000</f>
        <v>0</v>
      </c>
      <c r="N213" s="1009">
        <f>'2. T7 LÅN'!M33/1000</f>
        <v>0</v>
      </c>
      <c r="O213" s="1007">
        <f>'2. T7 LÅN'!N33/1000</f>
        <v>0</v>
      </c>
      <c r="P213" s="1005">
        <f>'2. T7 LÅN'!O33/1000</f>
        <v>0</v>
      </c>
      <c r="Q213" s="1009">
        <f>'2. T7 LÅN'!P33/1000</f>
        <v>0</v>
      </c>
      <c r="R213" s="1007">
        <f>'2. T7 LÅN'!Q33/1000</f>
        <v>0</v>
      </c>
    </row>
    <row r="214" spans="2:18" ht="12" customHeight="1">
      <c r="B214" s="2280" t="str">
        <f>'2. T7 LÅN'!B34</f>
        <v xml:space="preserve"> </v>
      </c>
      <c r="C214" s="2281"/>
      <c r="D214" s="1723">
        <f>'2. T7 LÅN'!C34/1000</f>
        <v>0</v>
      </c>
      <c r="E214" s="888">
        <f>'2. T7 LÅN'!D34</f>
        <v>0</v>
      </c>
      <c r="F214" s="1007">
        <f>'2. T7 LÅN'!E34*100</f>
        <v>0</v>
      </c>
      <c r="G214" s="1005">
        <f>'2. T7 LÅN'!F34/1000</f>
        <v>0</v>
      </c>
      <c r="H214" s="1009">
        <f>'2. T7 LÅN'!G34/1000</f>
        <v>0</v>
      </c>
      <c r="I214" s="1007">
        <f>'2. T7 LÅN'!H34/1000</f>
        <v>0</v>
      </c>
      <c r="J214" s="1005">
        <f>'2. T7 LÅN'!I34/1000</f>
        <v>0</v>
      </c>
      <c r="K214" s="1009">
        <f>'2. T7 LÅN'!J34/1000</f>
        <v>0</v>
      </c>
      <c r="L214" s="1007">
        <f>'2. T7 LÅN'!K34/1000</f>
        <v>0</v>
      </c>
      <c r="M214" s="1005">
        <f>'2. T7 LÅN'!L34/1000</f>
        <v>0</v>
      </c>
      <c r="N214" s="1009">
        <f>'2. T7 LÅN'!M34/1000</f>
        <v>0</v>
      </c>
      <c r="O214" s="1007">
        <f>'2. T7 LÅN'!N34/1000</f>
        <v>0</v>
      </c>
      <c r="P214" s="1005">
        <f>'2. T7 LÅN'!O34/1000</f>
        <v>0</v>
      </c>
      <c r="Q214" s="1009">
        <f>'2. T7 LÅN'!P34/1000</f>
        <v>0</v>
      </c>
      <c r="R214" s="1007">
        <f>'2. T7 LÅN'!Q34/1000</f>
        <v>0</v>
      </c>
    </row>
    <row r="215" spans="2:18" ht="12" customHeight="1">
      <c r="B215" s="2280" t="str">
        <f>'2. T7 LÅN'!B35</f>
        <v xml:space="preserve"> </v>
      </c>
      <c r="C215" s="2281"/>
      <c r="D215" s="1723">
        <f>'2. T7 LÅN'!C35/1000</f>
        <v>0</v>
      </c>
      <c r="E215" s="888">
        <f>'2. T7 LÅN'!D35</f>
        <v>0</v>
      </c>
      <c r="F215" s="1007">
        <f>'2. T7 LÅN'!E35*100</f>
        <v>0</v>
      </c>
      <c r="G215" s="1005">
        <f>'2. T7 LÅN'!F35/1000</f>
        <v>0</v>
      </c>
      <c r="H215" s="1009">
        <f>'2. T7 LÅN'!G35/1000</f>
        <v>0</v>
      </c>
      <c r="I215" s="1007">
        <f>'2. T7 LÅN'!H35/1000</f>
        <v>0</v>
      </c>
      <c r="J215" s="1005">
        <f>'2. T7 LÅN'!I35/1000</f>
        <v>0</v>
      </c>
      <c r="K215" s="1009">
        <f>'2. T7 LÅN'!J35/1000</f>
        <v>0</v>
      </c>
      <c r="L215" s="1007">
        <f>'2. T7 LÅN'!K35/1000</f>
        <v>0</v>
      </c>
      <c r="M215" s="1005">
        <f>'2. T7 LÅN'!L35/1000</f>
        <v>0</v>
      </c>
      <c r="N215" s="1009">
        <f>'2. T7 LÅN'!M35/1000</f>
        <v>0</v>
      </c>
      <c r="O215" s="1007">
        <f>'2. T7 LÅN'!N35/1000</f>
        <v>0</v>
      </c>
      <c r="P215" s="1005">
        <f>'2. T7 LÅN'!O35/1000</f>
        <v>0</v>
      </c>
      <c r="Q215" s="1009">
        <f>'2. T7 LÅN'!P35/1000</f>
        <v>0</v>
      </c>
      <c r="R215" s="1007">
        <f>'2. T7 LÅN'!Q35/1000</f>
        <v>0</v>
      </c>
    </row>
    <row r="216" spans="2:18" ht="12" customHeight="1" thickBot="1">
      <c r="B216" s="2282" t="str">
        <f>'2. T7 LÅN'!B36</f>
        <v xml:space="preserve"> </v>
      </c>
      <c r="C216" s="2283"/>
      <c r="D216" s="1724">
        <f>'2. T7 LÅN'!C36/1000</f>
        <v>0</v>
      </c>
      <c r="E216" s="1000">
        <f>'2. T7 LÅN'!D36</f>
        <v>0</v>
      </c>
      <c r="F216" s="1008">
        <f>'2. T7 LÅN'!E36*100</f>
        <v>0</v>
      </c>
      <c r="G216" s="1006">
        <f>'2. T7 LÅN'!F36/1000</f>
        <v>0</v>
      </c>
      <c r="H216" s="1010">
        <f>'2. T7 LÅN'!G36/1000</f>
        <v>0</v>
      </c>
      <c r="I216" s="1008">
        <f>'2. T7 LÅN'!H36/1000</f>
        <v>0</v>
      </c>
      <c r="J216" s="1006">
        <f>'2. T7 LÅN'!I36/1000</f>
        <v>0</v>
      </c>
      <c r="K216" s="1010">
        <f>'2. T7 LÅN'!J36/1000</f>
        <v>0</v>
      </c>
      <c r="L216" s="1008">
        <f>'2. T7 LÅN'!K36/1000</f>
        <v>0</v>
      </c>
      <c r="M216" s="1006">
        <f>'2. T7 LÅN'!L36/1000</f>
        <v>0</v>
      </c>
      <c r="N216" s="1010">
        <f>'2. T7 LÅN'!M36/1000</f>
        <v>0</v>
      </c>
      <c r="O216" s="1008">
        <f>'2. T7 LÅN'!N36/1000</f>
        <v>0</v>
      </c>
      <c r="P216" s="1006">
        <f>'2. T7 LÅN'!O36/1000</f>
        <v>0</v>
      </c>
      <c r="Q216" s="1010">
        <f>'2. T7 LÅN'!P36/1000</f>
        <v>0</v>
      </c>
      <c r="R216" s="1008">
        <f>'2. T7 LÅN'!Q36/1000</f>
        <v>0</v>
      </c>
    </row>
    <row r="217" spans="2:18" ht="12" customHeight="1" thickTop="1" thickBot="1">
      <c r="B217" s="2284" t="str">
        <f>'2. T7 LÅN'!B37</f>
        <v xml:space="preserve"> Avbetalnings lån slgt</v>
      </c>
      <c r="C217" s="2285"/>
      <c r="D217" s="1725">
        <f>'2. T7 LÅN'!C37/1000</f>
        <v>0</v>
      </c>
      <c r="E217" s="1345" t="s">
        <v>0</v>
      </c>
      <c r="F217" s="1345" t="s">
        <v>0</v>
      </c>
      <c r="G217" s="1346">
        <f>'2. T7 LÅN'!F37/1000</f>
        <v>0</v>
      </c>
      <c r="H217" s="1347">
        <f>'2. T7 LÅN'!G37/1000</f>
        <v>0</v>
      </c>
      <c r="I217" s="1348">
        <f>'2. T7 LÅN'!H37/1000</f>
        <v>0</v>
      </c>
      <c r="J217" s="1346">
        <f>'2. T7 LÅN'!I37/1000</f>
        <v>0</v>
      </c>
      <c r="K217" s="1347">
        <f>'2. T7 LÅN'!J37/1000</f>
        <v>0</v>
      </c>
      <c r="L217" s="1348">
        <f>'2. T7 LÅN'!K37/1000</f>
        <v>0</v>
      </c>
      <c r="M217" s="1346">
        <f>'2. T7 LÅN'!L37/1000</f>
        <v>0</v>
      </c>
      <c r="N217" s="1347">
        <f>'2. T7 LÅN'!M37/1000</f>
        <v>0</v>
      </c>
      <c r="O217" s="1348">
        <f>'2. T7 LÅN'!N37/1000</f>
        <v>0</v>
      </c>
      <c r="P217" s="1346">
        <f>'2. T7 LÅN'!O37/1000</f>
        <v>0</v>
      </c>
      <c r="Q217" s="1347">
        <f>'2. T7 LÅN'!P37/1000</f>
        <v>0</v>
      </c>
      <c r="R217" s="1348">
        <f>'2. T7 LÅN'!Q37/1000</f>
        <v>0</v>
      </c>
    </row>
    <row r="218" spans="2:18" ht="6.65" customHeight="1">
      <c r="B218" s="1681"/>
      <c r="C218" s="1681"/>
      <c r="D218" s="1670"/>
      <c r="E218" s="1671"/>
      <c r="F218" s="1671"/>
      <c r="G218" s="1670"/>
      <c r="H218" s="1670"/>
      <c r="I218" s="1670"/>
      <c r="J218" s="1670"/>
      <c r="K218" s="1670"/>
      <c r="L218" s="1670"/>
      <c r="M218" s="1670"/>
      <c r="N218" s="1670"/>
      <c r="O218" s="1670"/>
      <c r="P218" s="1670"/>
      <c r="Q218" s="1670"/>
      <c r="R218" s="1670"/>
    </row>
    <row r="219" spans="2:18" ht="12" customHeight="1">
      <c r="B219" s="1682" t="str">
        <f>'2. T7 LÅN'!$B$39</f>
        <v xml:space="preserve"> Räntan för kortfristiga lån</v>
      </c>
      <c r="C219" s="1545"/>
      <c r="D219" s="1683">
        <f>'2. T7 LÅN'!C39/1000</f>
        <v>0</v>
      </c>
      <c r="E219" s="1684" t="s">
        <v>0</v>
      </c>
      <c r="F219" s="1685">
        <f>'2. T7 LÅN'!E39*100</f>
        <v>0</v>
      </c>
      <c r="G219" s="1686" t="s">
        <v>0</v>
      </c>
      <c r="H219" s="1687" t="s">
        <v>0</v>
      </c>
      <c r="I219" s="1688">
        <f>'2. T7 LÅN'!H39/1000</f>
        <v>0</v>
      </c>
      <c r="J219" s="1686" t="s">
        <v>0</v>
      </c>
      <c r="K219" s="1687" t="s">
        <v>0</v>
      </c>
      <c r="L219" s="1688">
        <f>'2. T7 LÅN'!K39/1000</f>
        <v>0</v>
      </c>
      <c r="M219" s="1689" t="s">
        <v>0</v>
      </c>
      <c r="N219" s="1690" t="s">
        <v>0</v>
      </c>
      <c r="O219" s="1688">
        <f>'2. T7 LÅN'!N39/1000</f>
        <v>0</v>
      </c>
      <c r="P219" s="1689" t="s">
        <v>0</v>
      </c>
      <c r="Q219" s="1690" t="s">
        <v>0</v>
      </c>
      <c r="R219" s="1685">
        <f>'2. T7 LÅN'!Q39/1000</f>
        <v>0</v>
      </c>
    </row>
    <row r="220" spans="2:18" ht="6" customHeight="1">
      <c r="B220" s="945"/>
      <c r="C220" s="945"/>
      <c r="D220" s="200"/>
      <c r="E220" s="1340"/>
      <c r="F220" s="1341"/>
      <c r="G220" s="1340"/>
      <c r="H220" s="1342"/>
      <c r="I220" s="1343"/>
      <c r="J220" s="1343"/>
      <c r="K220" s="1047"/>
      <c r="L220" s="1003"/>
      <c r="M220" s="1003"/>
      <c r="N220" s="1003"/>
      <c r="O220" s="1003"/>
      <c r="P220" s="1003"/>
      <c r="Q220" s="1344"/>
      <c r="R220" s="1344"/>
    </row>
    <row r="221" spans="2:18" ht="12" customHeight="1">
      <c r="B221" s="1682" t="str">
        <f>'2. T7 LÅN'!B41</f>
        <v xml:space="preserve"> Kapitallån</v>
      </c>
      <c r="C221" s="1545"/>
      <c r="D221" s="1683">
        <f>'2. T7 LÅN'!C41/1000</f>
        <v>0</v>
      </c>
      <c r="E221" s="1684" t="s">
        <v>0</v>
      </c>
      <c r="F221" s="1685">
        <f>'2. T7 LÅN'!E41*100</f>
        <v>0</v>
      </c>
      <c r="G221" s="1686" t="s">
        <v>0</v>
      </c>
      <c r="H221" s="1687" t="s">
        <v>0</v>
      </c>
      <c r="I221" s="1688">
        <f>'2. T7 LÅN'!H41/1000</f>
        <v>0</v>
      </c>
      <c r="J221" s="1686" t="s">
        <v>0</v>
      </c>
      <c r="K221" s="1687" t="s">
        <v>0</v>
      </c>
      <c r="L221" s="1688">
        <f>'2. T7 LÅN'!K41/1000</f>
        <v>0</v>
      </c>
      <c r="M221" s="1689" t="s">
        <v>0</v>
      </c>
      <c r="N221" s="1690" t="s">
        <v>0</v>
      </c>
      <c r="O221" s="1688">
        <f>'2. T7 LÅN'!N41/1000</f>
        <v>0</v>
      </c>
      <c r="P221" s="1689" t="s">
        <v>0</v>
      </c>
      <c r="Q221" s="1690" t="s">
        <v>0</v>
      </c>
      <c r="R221" s="1685">
        <f>'2. T7 LÅN'!Q41/1000</f>
        <v>0</v>
      </c>
    </row>
    <row r="222" spans="2:18" ht="6" customHeight="1">
      <c r="B222" s="945"/>
      <c r="C222" s="945"/>
      <c r="D222" s="200"/>
      <c r="E222" s="1340"/>
      <c r="F222" s="1341"/>
      <c r="G222" s="1340"/>
      <c r="H222" s="1342"/>
      <c r="I222" s="1343"/>
      <c r="J222" s="1343"/>
      <c r="K222" s="1047"/>
      <c r="L222" s="1003"/>
      <c r="M222" s="1003"/>
      <c r="N222" s="1003"/>
      <c r="O222" s="1003"/>
      <c r="P222" s="1003"/>
      <c r="Q222" s="1344"/>
      <c r="R222" s="1344"/>
    </row>
    <row r="223" spans="2:18" ht="24" customHeight="1">
      <c r="B223" s="2278" t="str">
        <f>'2. T7 LÅN'!$B$43</f>
        <v xml:space="preserve"> Långfristiga lån, utan     skuldebrev</v>
      </c>
      <c r="C223" s="2279"/>
      <c r="D223" s="1683">
        <f>'2. T7 LÅN'!C43/1000</f>
        <v>0</v>
      </c>
      <c r="E223" s="1684" t="s">
        <v>0</v>
      </c>
      <c r="F223" s="1688">
        <f>'2. T7 LÅN'!E43*100</f>
        <v>0</v>
      </c>
      <c r="G223" s="1686" t="s">
        <v>0</v>
      </c>
      <c r="H223" s="1687" t="s">
        <v>0</v>
      </c>
      <c r="I223" s="1688">
        <f>'2. T7 LÅN'!H43/1000</f>
        <v>0</v>
      </c>
      <c r="J223" s="1689" t="s">
        <v>0</v>
      </c>
      <c r="K223" s="1690" t="s">
        <v>0</v>
      </c>
      <c r="L223" s="1688">
        <f>'2. T7 LÅN'!K43/1000</f>
        <v>0</v>
      </c>
      <c r="M223" s="1689" t="s">
        <v>0</v>
      </c>
      <c r="N223" s="1690" t="s">
        <v>0</v>
      </c>
      <c r="O223" s="1688">
        <f>'2. T7 LÅN'!N43/1000</f>
        <v>0</v>
      </c>
      <c r="P223" s="1691" t="s">
        <v>0</v>
      </c>
      <c r="Q223" s="1690" t="s">
        <v>0</v>
      </c>
      <c r="R223" s="1685">
        <f>'2. T7 LÅN'!Q43/1000</f>
        <v>0</v>
      </c>
    </row>
    <row r="224" spans="2:18" ht="6" customHeight="1">
      <c r="B224" s="945"/>
      <c r="C224" s="945"/>
      <c r="D224" s="200"/>
      <c r="E224" s="1340"/>
      <c r="F224" s="1341"/>
      <c r="G224" s="1340"/>
      <c r="H224" s="1342"/>
      <c r="I224" s="1343"/>
      <c r="J224" s="1343"/>
      <c r="K224" s="1047"/>
      <c r="L224" s="1003"/>
      <c r="M224" s="1003"/>
      <c r="N224" s="1003"/>
      <c r="O224" s="1003"/>
      <c r="P224" s="1003"/>
      <c r="Q224" s="1344"/>
      <c r="R224" s="1344"/>
    </row>
    <row r="225" spans="2:26" ht="39.450000000000003" customHeight="1">
      <c r="B225" s="2318" t="str">
        <f>'2. T7 LÅN'!B45</f>
        <v xml:space="preserve"> Expeditionsavgifter, garantiprovisioner, ränta på leverantörskulden</v>
      </c>
      <c r="C225" s="2319"/>
      <c r="D225" s="1692"/>
      <c r="E225" s="1684"/>
      <c r="F225" s="1693"/>
      <c r="G225" s="1686" t="s">
        <v>0</v>
      </c>
      <c r="H225" s="1692" t="s">
        <v>0</v>
      </c>
      <c r="I225" s="1688">
        <f>'2. T7 LÅN'!H45/1000</f>
        <v>0</v>
      </c>
      <c r="J225" s="1689" t="s">
        <v>0</v>
      </c>
      <c r="K225" s="1694" t="s">
        <v>0</v>
      </c>
      <c r="L225" s="1688">
        <f>'2. T7 LÅN'!K45/1000</f>
        <v>0</v>
      </c>
      <c r="M225" s="1689" t="s">
        <v>0</v>
      </c>
      <c r="N225" s="1694" t="s">
        <v>0</v>
      </c>
      <c r="O225" s="1688">
        <f>'2. T7 LÅN'!N45/1000</f>
        <v>0</v>
      </c>
      <c r="P225" s="1689" t="s">
        <v>0</v>
      </c>
      <c r="Q225" s="1694" t="s">
        <v>0</v>
      </c>
      <c r="R225" s="1685">
        <f>'2. T7 LÅN'!Q45/1000</f>
        <v>0</v>
      </c>
    </row>
    <row r="226" spans="2:26" ht="6" customHeight="1">
      <c r="B226" s="945"/>
      <c r="C226" s="945"/>
      <c r="D226" s="197"/>
      <c r="E226" s="179"/>
      <c r="F226" s="946"/>
      <c r="G226" s="179"/>
      <c r="H226" s="870"/>
      <c r="I226" s="1312"/>
      <c r="J226" s="1312"/>
      <c r="K226" s="1004"/>
      <c r="L226" s="1313"/>
      <c r="M226" s="1313"/>
      <c r="N226" s="1313"/>
      <c r="O226" s="1313"/>
      <c r="P226" s="1313"/>
      <c r="Q226" s="1314"/>
      <c r="R226" s="1314"/>
    </row>
    <row r="227" spans="2:26" ht="12.65" customHeight="1">
      <c r="B227" s="1695" t="str">
        <f>'2. T7 LÅN'!B47</f>
        <v xml:space="preserve"> TOTALT</v>
      </c>
      <c r="C227" s="1696"/>
      <c r="D227" s="1683">
        <f>'2. T7 LÅN'!C47/1000</f>
        <v>0</v>
      </c>
      <c r="E227" s="1684" t="s">
        <v>0</v>
      </c>
      <c r="F227" s="1703" t="s">
        <v>0</v>
      </c>
      <c r="G227" s="1697">
        <f>'2. T7 LÅN'!F47/1000</f>
        <v>0</v>
      </c>
      <c r="H227" s="1704">
        <f>'2. T7 LÅN'!G47/1000</f>
        <v>0</v>
      </c>
      <c r="I227" s="1688">
        <f>'2. T7 LÅN'!H47/1000</f>
        <v>0</v>
      </c>
      <c r="J227" s="1697">
        <f>'2. T7 LÅN'!I47/1000</f>
        <v>0</v>
      </c>
      <c r="K227" s="1685">
        <f>'2. T7 LÅN'!J47/1000</f>
        <v>0</v>
      </c>
      <c r="L227" s="1688">
        <f>'2. T7 LÅN'!K47/1000</f>
        <v>0</v>
      </c>
      <c r="M227" s="1697">
        <f>'2. T7 LÅN'!L47/1000</f>
        <v>0</v>
      </c>
      <c r="N227" s="1685">
        <f>'2. T7 LÅN'!M47/1000</f>
        <v>0</v>
      </c>
      <c r="O227" s="1688">
        <f>'2. T7 LÅN'!N47/1000</f>
        <v>0</v>
      </c>
      <c r="P227" s="1697">
        <f>'2. T7 LÅN'!O47/1000</f>
        <v>0</v>
      </c>
      <c r="Q227" s="1685">
        <f>'2. T7 LÅN'!P47/1000</f>
        <v>0</v>
      </c>
      <c r="R227" s="1685">
        <f>'2. T7 LÅN'!Q47/1000</f>
        <v>0</v>
      </c>
    </row>
    <row r="228" spans="2:26" ht="8.15" customHeight="1">
      <c r="B228" s="2327"/>
      <c r="C228" s="2327"/>
      <c r="D228" s="2327"/>
      <c r="E228" s="2327"/>
      <c r="F228" s="946"/>
      <c r="G228" s="179"/>
      <c r="H228" s="870"/>
      <c r="I228" s="872"/>
      <c r="J228" s="872"/>
      <c r="K228" s="947"/>
      <c r="L228" s="871"/>
      <c r="M228" s="871"/>
      <c r="N228" s="871"/>
      <c r="O228" s="871"/>
      <c r="P228" s="871"/>
      <c r="Q228" s="948"/>
      <c r="R228" s="948"/>
    </row>
    <row r="229" spans="2:26" ht="6" customHeight="1">
      <c r="B229" s="2327"/>
      <c r="C229" s="2327"/>
      <c r="D229" s="2327"/>
      <c r="E229" s="2327"/>
      <c r="F229" s="452"/>
      <c r="G229" s="452"/>
      <c r="H229" s="452"/>
      <c r="I229" s="581"/>
      <c r="J229" s="581"/>
      <c r="K229" s="581"/>
      <c r="L229" s="581"/>
      <c r="M229" s="581"/>
      <c r="N229" s="581"/>
      <c r="O229" s="581"/>
      <c r="P229" s="581"/>
    </row>
    <row r="230" spans="2:26" ht="12" customHeight="1">
      <c r="B230" s="956"/>
      <c r="C230" s="2257" t="s">
        <v>660</v>
      </c>
      <c r="D230" s="2258"/>
      <c r="E230" s="2258"/>
      <c r="F230" s="2258"/>
      <c r="G230" s="2258"/>
      <c r="H230" s="2258"/>
      <c r="I230" s="2258"/>
      <c r="J230" s="2261" t="str">
        <f>K109</f>
        <v>Prognos 1</v>
      </c>
      <c r="K230" s="2261"/>
      <c r="L230" s="2261" t="str">
        <f>M109</f>
        <v>Prognos 2</v>
      </c>
      <c r="M230" s="2261"/>
      <c r="N230" s="2261" t="str">
        <f>O109</f>
        <v>Prognos 3</v>
      </c>
      <c r="O230" s="2261"/>
      <c r="P230" s="2261" t="str">
        <f>Q109</f>
        <v>Prognos 4</v>
      </c>
      <c r="Q230" s="2261"/>
    </row>
    <row r="231" spans="2:26" ht="12" customHeight="1">
      <c r="B231" s="475"/>
      <c r="C231" s="2259"/>
      <c r="D231" s="2260"/>
      <c r="E231" s="2260"/>
      <c r="F231" s="2260"/>
      <c r="G231" s="2260"/>
      <c r="H231" s="2260"/>
      <c r="I231" s="2260"/>
      <c r="J231" s="2262">
        <f>K135</f>
        <v>2025</v>
      </c>
      <c r="K231" s="2262"/>
      <c r="L231" s="2262">
        <f>M135</f>
        <v>2026</v>
      </c>
      <c r="M231" s="2262"/>
      <c r="N231" s="2262">
        <f>O135</f>
        <v>2027</v>
      </c>
      <c r="O231" s="2262"/>
      <c r="P231" s="2262">
        <f>Q135</f>
        <v>2028</v>
      </c>
      <c r="Q231" s="2262"/>
    </row>
    <row r="232" spans="2:26" ht="12" customHeight="1">
      <c r="B232" s="474" t="s">
        <v>0</v>
      </c>
      <c r="C232" s="2274" t="s">
        <v>490</v>
      </c>
      <c r="D232" s="2274"/>
      <c r="E232" s="2274"/>
      <c r="F232" s="2274"/>
      <c r="J232" s="143"/>
      <c r="K232" s="143"/>
      <c r="L232" s="143"/>
      <c r="M232" s="143"/>
      <c r="N232" s="843"/>
      <c r="O232" s="843"/>
      <c r="P232" s="844"/>
      <c r="Q232" s="844"/>
    </row>
    <row r="233" spans="2:26" ht="12" customHeight="1">
      <c r="C233" s="2263" t="s">
        <v>96</v>
      </c>
      <c r="D233" s="2264"/>
      <c r="E233" s="2264"/>
      <c r="F233" s="2264"/>
      <c r="G233" s="2264"/>
      <c r="H233" s="2264"/>
      <c r="I233" s="2265"/>
      <c r="J233" s="2254">
        <f>'5. T4 FINANSIERINGSB.'!Q27</f>
        <v>0</v>
      </c>
      <c r="K233" s="2178"/>
      <c r="L233" s="2177">
        <f>'5. T4 FINANSIERINGSB.'!R27</f>
        <v>0</v>
      </c>
      <c r="M233" s="2178"/>
      <c r="N233" s="2177">
        <f>'5. T4 FINANSIERINGSB.'!S27</f>
        <v>0</v>
      </c>
      <c r="O233" s="2178"/>
      <c r="P233" s="2177">
        <f>'5. T4 FINANSIERINGSB.'!T27</f>
        <v>0</v>
      </c>
      <c r="Q233" s="2178"/>
    </row>
    <row r="234" spans="2:26" ht="12" customHeight="1">
      <c r="B234" s="371"/>
      <c r="C234" s="1428"/>
      <c r="D234" s="4"/>
      <c r="E234" s="2266" t="s">
        <v>301</v>
      </c>
      <c r="F234" s="2266"/>
      <c r="G234" s="2266"/>
      <c r="H234" s="2266"/>
      <c r="I234" s="2267"/>
      <c r="J234" s="2165">
        <f>'5. T4 FINANSIERINGSB.'!Q28</f>
        <v>0</v>
      </c>
      <c r="K234" s="2166"/>
      <c r="L234" s="2165">
        <f>'5. T4 FINANSIERINGSB.'!R28</f>
        <v>0</v>
      </c>
      <c r="M234" s="2166"/>
      <c r="N234" s="2165">
        <f>'5. T4 FINANSIERINGSB.'!S28</f>
        <v>0</v>
      </c>
      <c r="O234" s="2166"/>
      <c r="P234" s="2165">
        <f>'5. T4 FINANSIERINGSB.'!T28</f>
        <v>0</v>
      </c>
      <c r="Q234" s="2166"/>
    </row>
    <row r="235" spans="2:26" ht="12" customHeight="1">
      <c r="C235" s="2263" t="s">
        <v>97</v>
      </c>
      <c r="D235" s="2264"/>
      <c r="E235" s="2264"/>
      <c r="F235" s="2264"/>
      <c r="G235" s="2264"/>
      <c r="H235" s="2264"/>
      <c r="I235" s="2265"/>
      <c r="J235" s="2254">
        <f>'5. T4 FINANSIERINGSB.'!Q29</f>
        <v>0</v>
      </c>
      <c r="K235" s="2178"/>
      <c r="L235" s="2177">
        <f>'5. T4 FINANSIERINGSB.'!R29</f>
        <v>0</v>
      </c>
      <c r="M235" s="2178"/>
      <c r="N235" s="2177">
        <f>'5. T4 FINANSIERINGSB.'!S29</f>
        <v>0</v>
      </c>
      <c r="O235" s="2178"/>
      <c r="P235" s="2177">
        <f>'5. T4 FINANSIERINGSB.'!T29</f>
        <v>0</v>
      </c>
      <c r="Q235" s="2178"/>
    </row>
    <row r="236" spans="2:26" ht="12" customHeight="1">
      <c r="B236" s="371"/>
      <c r="C236" s="1428"/>
      <c r="D236" s="4"/>
      <c r="E236" s="1705" t="s">
        <v>301</v>
      </c>
      <c r="F236" s="2268"/>
      <c r="G236" s="2268"/>
      <c r="H236" s="2268"/>
      <c r="I236" s="2269"/>
      <c r="J236" s="2165">
        <f>'5. T4 FINANSIERINGSB.'!Q30</f>
        <v>0</v>
      </c>
      <c r="K236" s="2166"/>
      <c r="L236" s="2165">
        <f>'5. T4 FINANSIERINGSB.'!R30</f>
        <v>0</v>
      </c>
      <c r="M236" s="2166"/>
      <c r="N236" s="2165">
        <f>'5. T4 FINANSIERINGSB.'!S30</f>
        <v>0</v>
      </c>
      <c r="O236" s="2166"/>
      <c r="P236" s="2165">
        <f>'5. T4 FINANSIERINGSB.'!T30</f>
        <v>0</v>
      </c>
      <c r="Q236" s="2166"/>
    </row>
    <row r="237" spans="2:26" ht="12" customHeight="1">
      <c r="C237" s="2263" t="s">
        <v>491</v>
      </c>
      <c r="D237" s="2264"/>
      <c r="E237" s="2264"/>
      <c r="F237" s="2264"/>
      <c r="G237" s="2264"/>
      <c r="H237" s="2264"/>
      <c r="I237" s="2265"/>
      <c r="J237" s="2254">
        <f>'5. T4 FINANSIERINGSB.'!Q31</f>
        <v>0</v>
      </c>
      <c r="K237" s="2178"/>
      <c r="L237" s="2177">
        <f>'5. T4 FINANSIERINGSB.'!R31</f>
        <v>0</v>
      </c>
      <c r="M237" s="2178"/>
      <c r="N237" s="2177">
        <f>'5. T4 FINANSIERINGSB.'!S31</f>
        <v>0</v>
      </c>
      <c r="O237" s="2178"/>
      <c r="P237" s="2177">
        <f>'5. T4 FINANSIERINGSB.'!T31</f>
        <v>0</v>
      </c>
      <c r="Q237" s="2178"/>
      <c r="Z237" s="77"/>
    </row>
    <row r="238" spans="2:26" ht="12" customHeight="1">
      <c r="C238" s="2255" t="s">
        <v>303</v>
      </c>
      <c r="D238" s="2256"/>
      <c r="E238" s="2256"/>
      <c r="F238" s="2256"/>
      <c r="G238" s="2256"/>
      <c r="H238" s="2256"/>
      <c r="I238" s="893"/>
      <c r="J238" s="2254">
        <f>'5. T4 FINANSIERINGSB.'!Q32</f>
        <v>0</v>
      </c>
      <c r="K238" s="2178"/>
      <c r="L238" s="2177">
        <f>'5. T4 FINANSIERINGSB.'!R32</f>
        <v>0</v>
      </c>
      <c r="M238" s="2178"/>
      <c r="N238" s="2177">
        <f>'5. T4 FINANSIERINGSB.'!S32</f>
        <v>0</v>
      </c>
      <c r="O238" s="2178"/>
      <c r="P238" s="2177">
        <f>'5. T4 FINANSIERINGSB.'!T32</f>
        <v>0</v>
      </c>
      <c r="Q238" s="2178"/>
    </row>
    <row r="239" spans="2:26" ht="12" customHeight="1">
      <c r="B239" s="371"/>
      <c r="C239" s="1647"/>
      <c r="D239" s="1648"/>
      <c r="E239" s="1705" t="s">
        <v>301</v>
      </c>
      <c r="F239" s="2270"/>
      <c r="G239" s="2270"/>
      <c r="H239" s="2270"/>
      <c r="I239" s="2271"/>
      <c r="J239" s="2182">
        <f>'5. T4 FINANSIERINGSB.'!Q33</f>
        <v>0</v>
      </c>
      <c r="K239" s="2183"/>
      <c r="L239" s="2179">
        <f>'5. T4 FINANSIERINGSB.'!R33</f>
        <v>0</v>
      </c>
      <c r="M239" s="2181"/>
      <c r="N239" s="2179">
        <f>'5. T4 FINANSIERINGSB.'!S33</f>
        <v>0</v>
      </c>
      <c r="O239" s="2181"/>
      <c r="P239" s="2179">
        <f>'5. T4 FINANSIERINGSB.'!T33</f>
        <v>0</v>
      </c>
      <c r="Q239" s="2180"/>
    </row>
    <row r="240" spans="2:26" ht="12" customHeight="1">
      <c r="C240" s="2320" t="s">
        <v>304</v>
      </c>
      <c r="D240" s="2321"/>
      <c r="E240" s="2321"/>
      <c r="F240" s="2321"/>
      <c r="G240" s="2321"/>
      <c r="H240" s="2321"/>
      <c r="I240" s="902"/>
      <c r="J240" s="160"/>
      <c r="K240" s="160"/>
      <c r="L240" s="160"/>
      <c r="M240" s="160"/>
      <c r="N240" s="160"/>
      <c r="O240" s="160"/>
      <c r="P240" s="160"/>
      <c r="Q240" s="160"/>
    </row>
    <row r="241" spans="2:18" ht="12" customHeight="1">
      <c r="C241" s="2255" t="s">
        <v>492</v>
      </c>
      <c r="D241" s="2256"/>
      <c r="E241" s="2256"/>
      <c r="F241" s="2256"/>
      <c r="G241" s="2256"/>
      <c r="H241" s="2256"/>
      <c r="I241" s="893"/>
      <c r="J241" s="2184">
        <f>'5. T4 FINANSIERINGSB.'!Q35</f>
        <v>0</v>
      </c>
      <c r="K241" s="2185"/>
      <c r="L241" s="2186">
        <f>'5. T4 FINANSIERINGSB.'!R35</f>
        <v>0</v>
      </c>
      <c r="M241" s="2185"/>
      <c r="N241" s="2186">
        <f>'5. T4 FINANSIERINGSB.'!S35</f>
        <v>0</v>
      </c>
      <c r="O241" s="2185"/>
      <c r="P241" s="2186">
        <f>'5. T4 FINANSIERINGSB.'!T35</f>
        <v>0</v>
      </c>
      <c r="Q241" s="2185"/>
    </row>
    <row r="242" spans="2:18" ht="12" customHeight="1">
      <c r="B242" s="371"/>
      <c r="C242" s="1428"/>
      <c r="D242" s="4"/>
      <c r="E242" s="1706" t="s">
        <v>301</v>
      </c>
      <c r="F242" s="2272"/>
      <c r="G242" s="2272"/>
      <c r="H242" s="2272"/>
      <c r="I242" s="2273"/>
      <c r="J242" s="2165">
        <f>'5. T4 FINANSIERINGSB.'!Q36</f>
        <v>0</v>
      </c>
      <c r="K242" s="2166"/>
      <c r="L242" s="2165">
        <f>'5. T4 FINANSIERINGSB.'!R36</f>
        <v>0</v>
      </c>
      <c r="M242" s="2166"/>
      <c r="N242" s="2165">
        <f>'5. T4 FINANSIERINGSB.'!S36</f>
        <v>0</v>
      </c>
      <c r="O242" s="2166"/>
      <c r="P242" s="2165">
        <f>'5. T4 FINANSIERINGSB.'!T36</f>
        <v>0</v>
      </c>
      <c r="Q242" s="2166"/>
    </row>
    <row r="243" spans="2:18" ht="12" customHeight="1">
      <c r="C243" s="2255" t="str">
        <f>'5. T4 FINANSIERINGSB.'!L37</f>
        <v xml:space="preserve"> Net Gearing (nettoskuldsättningsgrad)</v>
      </c>
      <c r="D243" s="2256"/>
      <c r="E243" s="2256"/>
      <c r="F243" s="2256"/>
      <c r="G243" s="2256"/>
      <c r="H243" s="2256"/>
      <c r="I243" s="893"/>
      <c r="J243" s="2254">
        <f>'5. T4 FINANSIERINGSB.'!Q37</f>
        <v>0</v>
      </c>
      <c r="K243" s="2178"/>
      <c r="L243" s="2177">
        <f>'5. T4 FINANSIERINGSB.'!R37</f>
        <v>0</v>
      </c>
      <c r="M243" s="2178"/>
      <c r="N243" s="2177">
        <f>'5. T4 FINANSIERINGSB.'!S37</f>
        <v>0</v>
      </c>
      <c r="O243" s="2178"/>
      <c r="P243" s="2177">
        <f>'5. T4 FINANSIERINGSB.'!T37</f>
        <v>0</v>
      </c>
      <c r="Q243" s="2178"/>
    </row>
    <row r="244" spans="2:18" ht="12" customHeight="1">
      <c r="B244" s="371"/>
      <c r="C244" s="2324"/>
      <c r="D244" s="2325"/>
      <c r="E244" s="2266" t="s">
        <v>301</v>
      </c>
      <c r="F244" s="2266"/>
      <c r="G244" s="2266"/>
      <c r="H244" s="2266"/>
      <c r="I244" s="2326"/>
      <c r="J244" s="2182" t="str">
        <f>'5. T4 FINANSIERINGSB.'!Q38</f>
        <v/>
      </c>
      <c r="K244" s="2183"/>
      <c r="L244" s="2306" t="str">
        <f>'5. T4 FINANSIERINGSB.'!R38</f>
        <v/>
      </c>
      <c r="M244" s="2183"/>
      <c r="N244" s="2306" t="str">
        <f>'5. T4 FINANSIERINGSB.'!S38</f>
        <v/>
      </c>
      <c r="O244" s="2183"/>
      <c r="P244" s="2306" t="str">
        <f>'5. T4 FINANSIERINGSB.'!T38</f>
        <v/>
      </c>
      <c r="Q244" s="2307"/>
    </row>
    <row r="245" spans="2:18" ht="7.4" customHeight="1">
      <c r="B245" s="371"/>
      <c r="C245" s="60"/>
      <c r="D245" s="60"/>
      <c r="E245" s="1001"/>
      <c r="F245" s="1001"/>
      <c r="G245" s="1001"/>
      <c r="H245" s="1001"/>
      <c r="I245" s="1001"/>
      <c r="J245" s="1002"/>
      <c r="K245" s="1002"/>
      <c r="L245" s="1002"/>
      <c r="M245" s="1002"/>
      <c r="N245" s="1002"/>
      <c r="O245" s="1002"/>
      <c r="P245" s="1002"/>
      <c r="Q245" s="1002"/>
    </row>
    <row r="246" spans="2:18" ht="9.65" customHeight="1">
      <c r="B246" s="580"/>
      <c r="C246" s="451"/>
      <c r="D246" s="451"/>
      <c r="E246" s="460"/>
      <c r="F246" s="452"/>
      <c r="G246" s="452"/>
      <c r="H246" s="452"/>
      <c r="I246" s="581"/>
      <c r="J246" s="581"/>
      <c r="K246" s="581"/>
      <c r="L246" s="581"/>
      <c r="M246" s="581"/>
      <c r="N246" s="581"/>
      <c r="O246" s="581"/>
      <c r="P246" s="581"/>
    </row>
    <row r="247" spans="2:18" ht="12" customHeight="1">
      <c r="B247" s="264" t="str">
        <f>STARTSIDAN!G7</f>
        <v>Tjänsten erbjuds av: Dynamo Närpes och Kristinestads näringslivscentral</v>
      </c>
      <c r="C247" s="451"/>
      <c r="D247" s="451"/>
      <c r="E247" s="460"/>
      <c r="F247" s="452"/>
      <c r="G247" s="452"/>
      <c r="H247" s="452"/>
      <c r="I247" s="581"/>
      <c r="J247" s="581"/>
      <c r="K247" s="581"/>
      <c r="L247" s="581"/>
      <c r="M247" s="2385" t="str">
        <f>STARTSIDAN!G26</f>
        <v xml:space="preserve">FT6 Det nya företagets resultatplan </v>
      </c>
      <c r="N247" s="2385"/>
      <c r="O247" s="2385"/>
      <c r="P247" s="2385"/>
      <c r="Q247" s="2385"/>
      <c r="R247" s="2385"/>
    </row>
    <row r="248" spans="2:18">
      <c r="B248" s="459"/>
      <c r="C248" s="451"/>
      <c r="D248" s="451"/>
      <c r="E248" s="460"/>
      <c r="F248" s="452"/>
      <c r="G248" s="935"/>
      <c r="H248" s="934"/>
      <c r="I248" s="934"/>
      <c r="J248" s="934"/>
      <c r="K248" s="934"/>
      <c r="L248" s="934"/>
      <c r="M248" s="934"/>
      <c r="N248" s="934"/>
      <c r="O248" s="934"/>
      <c r="P248" s="934"/>
      <c r="Q248" s="115"/>
      <c r="R248" s="936"/>
    </row>
    <row r="249" spans="2:18">
      <c r="B249" s="2159" t="s">
        <v>486</v>
      </c>
      <c r="C249" s="2159"/>
      <c r="D249" s="2159"/>
      <c r="E249" s="2159"/>
      <c r="F249" s="2159"/>
      <c r="G249" s="2159"/>
      <c r="H249" s="2159"/>
      <c r="I249" s="2159"/>
      <c r="J249" s="137"/>
      <c r="K249" s="461"/>
      <c r="L249" s="137"/>
      <c r="M249" s="137"/>
      <c r="N249" s="137"/>
      <c r="O249" s="137"/>
      <c r="P249" s="137"/>
    </row>
    <row r="250" spans="2:18">
      <c r="B250" s="845"/>
      <c r="C250" s="845"/>
      <c r="D250" s="845"/>
      <c r="E250" s="583"/>
      <c r="F250" s="583"/>
      <c r="G250" s="583"/>
      <c r="H250" s="583"/>
      <c r="I250" s="583"/>
      <c r="J250" s="583"/>
      <c r="K250" s="2322"/>
      <c r="L250" s="2322"/>
      <c r="M250" s="137"/>
      <c r="N250" s="137"/>
      <c r="O250" s="137"/>
      <c r="P250" s="137"/>
    </row>
    <row r="251" spans="2:18" ht="15" customHeight="1">
      <c r="B251" s="2157">
        <f>'1. T1 INVESTERINGSP.'!B7</f>
        <v>0</v>
      </c>
      <c r="C251" s="2157"/>
      <c r="D251" s="2157"/>
      <c r="E251" s="2157"/>
      <c r="F251" s="2157"/>
      <c r="G251" s="2157"/>
      <c r="H251" s="2157"/>
      <c r="I251" s="2157"/>
      <c r="J251" s="846"/>
      <c r="K251" s="857"/>
      <c r="L251" s="857"/>
      <c r="M251" s="137"/>
      <c r="N251" s="137"/>
      <c r="O251" s="137"/>
      <c r="P251" s="137"/>
    </row>
    <row r="252" spans="2:18">
      <c r="B252" s="850"/>
      <c r="C252" s="850"/>
      <c r="D252" s="845"/>
      <c r="E252" s="846"/>
      <c r="F252" s="846"/>
      <c r="G252" s="846"/>
      <c r="H252" s="846"/>
      <c r="I252" s="846"/>
      <c r="J252" s="846"/>
      <c r="K252" s="847"/>
      <c r="L252" s="847"/>
      <c r="M252" s="137"/>
      <c r="N252" s="137"/>
      <c r="O252" s="137"/>
      <c r="P252" s="137"/>
    </row>
    <row r="253" spans="2:18">
      <c r="B253" s="850"/>
      <c r="C253" s="850"/>
      <c r="D253" s="845"/>
      <c r="E253" s="846"/>
      <c r="F253" s="846"/>
      <c r="G253" s="846"/>
      <c r="H253" s="846"/>
      <c r="I253" s="846"/>
      <c r="J253" s="846"/>
      <c r="K253" s="847"/>
      <c r="L253" s="847"/>
      <c r="M253" s="137"/>
      <c r="N253" s="137"/>
      <c r="O253" s="137"/>
      <c r="P253" s="137"/>
    </row>
    <row r="254" spans="2:18">
      <c r="B254" s="137"/>
      <c r="C254" s="137"/>
      <c r="D254" s="137"/>
      <c r="E254" s="137"/>
      <c r="F254" s="137"/>
      <c r="G254" s="137"/>
      <c r="H254" s="137"/>
      <c r="I254" s="137"/>
      <c r="J254" s="137"/>
      <c r="K254" s="137"/>
      <c r="L254" s="137"/>
      <c r="M254" s="137"/>
      <c r="N254" s="137"/>
      <c r="O254" s="137"/>
      <c r="P254" s="137"/>
    </row>
    <row r="255" spans="2:18">
      <c r="B255" s="137"/>
      <c r="C255" s="137"/>
      <c r="D255" s="137"/>
      <c r="E255" s="137"/>
      <c r="F255" s="137"/>
      <c r="G255" s="137"/>
      <c r="H255" s="137"/>
      <c r="I255" s="137"/>
      <c r="J255" s="137"/>
      <c r="K255" s="137"/>
      <c r="L255" s="137"/>
      <c r="M255" s="137"/>
      <c r="N255" s="137"/>
      <c r="O255" s="137"/>
      <c r="P255" s="137"/>
    </row>
    <row r="256" spans="2:18">
      <c r="B256" s="137"/>
      <c r="C256" s="137"/>
      <c r="D256" s="137"/>
      <c r="E256" s="137"/>
      <c r="F256" s="137"/>
      <c r="G256" s="137"/>
      <c r="H256" s="137"/>
      <c r="I256" s="137"/>
      <c r="J256" s="137"/>
      <c r="K256" s="137"/>
      <c r="L256" s="137"/>
      <c r="M256" s="137"/>
      <c r="N256" s="137"/>
      <c r="O256" s="137"/>
      <c r="P256" s="137"/>
    </row>
    <row r="257" spans="2:16">
      <c r="B257" s="137"/>
      <c r="C257" s="137"/>
      <c r="D257" s="137"/>
      <c r="E257" s="137"/>
      <c r="F257" s="137"/>
      <c r="G257" s="137"/>
      <c r="H257" s="137"/>
      <c r="I257" s="137"/>
      <c r="J257" s="137"/>
      <c r="K257" s="137"/>
      <c r="L257" s="137"/>
      <c r="M257" s="137"/>
      <c r="N257" s="137"/>
      <c r="O257" s="137"/>
      <c r="P257" s="137"/>
    </row>
    <row r="258" spans="2:16">
      <c r="B258" s="137"/>
      <c r="C258" s="137"/>
      <c r="D258" s="137"/>
      <c r="E258" s="137"/>
      <c r="F258" s="137"/>
      <c r="G258" s="137"/>
      <c r="H258" s="137"/>
      <c r="I258" s="137"/>
      <c r="J258" s="137"/>
      <c r="K258" s="137"/>
      <c r="L258" s="137"/>
      <c r="M258" s="137"/>
      <c r="N258" s="137"/>
      <c r="O258" s="137"/>
      <c r="P258" s="137"/>
    </row>
    <row r="259" spans="2:16">
      <c r="B259" s="137"/>
      <c r="C259" s="137"/>
      <c r="D259" s="137"/>
      <c r="E259" s="137"/>
      <c r="F259" s="137"/>
      <c r="G259" s="137"/>
      <c r="H259" s="137"/>
      <c r="I259" s="137"/>
      <c r="J259" s="137"/>
      <c r="K259" s="137"/>
      <c r="L259" s="137"/>
      <c r="M259" s="137"/>
      <c r="N259" s="137"/>
      <c r="O259" s="137"/>
      <c r="P259" s="137"/>
    </row>
    <row r="260" spans="2:16">
      <c r="B260" s="137"/>
      <c r="C260" s="137"/>
      <c r="D260" s="137"/>
      <c r="E260" s="137"/>
      <c r="F260" s="137"/>
      <c r="G260" s="137"/>
      <c r="H260" s="137"/>
      <c r="I260" s="137"/>
      <c r="J260" s="137"/>
      <c r="K260" s="137"/>
      <c r="L260" s="137"/>
      <c r="M260" s="137"/>
      <c r="N260" s="137"/>
      <c r="O260" s="137"/>
      <c r="P260" s="137"/>
    </row>
    <row r="261" spans="2:16">
      <c r="B261" s="137"/>
      <c r="C261" s="137"/>
      <c r="D261" s="137"/>
      <c r="E261" s="137"/>
      <c r="F261" s="137"/>
      <c r="G261" s="137"/>
      <c r="H261" s="137"/>
      <c r="I261" s="137"/>
      <c r="J261" s="137"/>
      <c r="K261" s="137"/>
      <c r="L261" s="137"/>
      <c r="M261" s="137"/>
      <c r="N261" s="137"/>
      <c r="O261" s="137"/>
      <c r="P261" s="137"/>
    </row>
    <row r="262" spans="2:16">
      <c r="B262" s="137"/>
      <c r="C262" s="137"/>
      <c r="D262" s="137"/>
      <c r="E262" s="137"/>
      <c r="F262" s="137"/>
      <c r="G262" s="137"/>
      <c r="H262" s="137"/>
      <c r="I262" s="137"/>
      <c r="J262" s="137"/>
      <c r="K262" s="137"/>
      <c r="L262" s="137"/>
      <c r="M262" s="137"/>
      <c r="N262" s="137"/>
      <c r="O262" s="137"/>
      <c r="P262" s="137"/>
    </row>
    <row r="263" spans="2:16">
      <c r="B263" s="137"/>
      <c r="C263" s="137"/>
      <c r="D263" s="137"/>
      <c r="E263" s="137"/>
      <c r="F263" s="137"/>
      <c r="G263" s="137"/>
      <c r="H263" s="137"/>
      <c r="I263" s="137"/>
      <c r="J263" s="137"/>
      <c r="K263" s="137"/>
      <c r="L263" s="137"/>
      <c r="M263" s="137"/>
      <c r="N263" s="137"/>
      <c r="O263" s="137"/>
      <c r="P263" s="137"/>
    </row>
    <row r="264" spans="2:16">
      <c r="B264" s="137"/>
      <c r="C264" s="137"/>
      <c r="D264" s="137"/>
      <c r="E264" s="137"/>
      <c r="F264" s="137"/>
      <c r="G264" s="137"/>
      <c r="H264" s="137"/>
      <c r="I264" s="137"/>
      <c r="J264" s="137"/>
      <c r="K264" s="137"/>
      <c r="L264" s="137"/>
      <c r="M264" s="137"/>
      <c r="N264" s="137"/>
      <c r="O264" s="137"/>
      <c r="P264" s="137"/>
    </row>
    <row r="265" spans="2:16">
      <c r="B265" s="137"/>
      <c r="C265" s="137"/>
      <c r="D265" s="137"/>
      <c r="E265" s="137"/>
      <c r="F265" s="137"/>
      <c r="G265" s="137"/>
      <c r="H265" s="137"/>
      <c r="I265" s="137"/>
      <c r="J265" s="137"/>
      <c r="K265" s="137"/>
      <c r="L265" s="137"/>
      <c r="M265" s="137"/>
      <c r="N265" s="137"/>
      <c r="O265" s="137"/>
      <c r="P265" s="137"/>
    </row>
    <row r="266" spans="2:16">
      <c r="B266" s="137"/>
      <c r="C266" s="137"/>
      <c r="D266" s="137"/>
      <c r="E266" s="137"/>
      <c r="F266" s="137"/>
      <c r="G266" s="137"/>
      <c r="H266" s="137"/>
      <c r="I266" s="137"/>
      <c r="J266" s="137"/>
      <c r="K266" s="137"/>
      <c r="L266" s="137"/>
      <c r="M266" s="137"/>
      <c r="N266" s="137"/>
      <c r="O266" s="137"/>
      <c r="P266" s="137"/>
    </row>
    <row r="267" spans="2:16">
      <c r="B267" s="137"/>
      <c r="C267" s="137"/>
      <c r="D267" s="137"/>
      <c r="E267" s="137"/>
      <c r="F267" s="137"/>
      <c r="G267" s="137"/>
      <c r="H267" s="137"/>
      <c r="I267" s="137"/>
      <c r="J267" s="137"/>
      <c r="K267" s="137"/>
      <c r="L267" s="137"/>
      <c r="M267" s="137"/>
      <c r="N267" s="137"/>
      <c r="O267" s="137"/>
      <c r="P267" s="137"/>
    </row>
    <row r="268" spans="2:16">
      <c r="B268" s="137"/>
      <c r="C268" s="137"/>
      <c r="D268" s="137"/>
      <c r="E268" s="137"/>
      <c r="F268" s="137"/>
      <c r="G268" s="137"/>
      <c r="H268" s="137"/>
      <c r="I268" s="137"/>
      <c r="J268" s="137"/>
      <c r="K268" s="137"/>
      <c r="L268" s="137"/>
      <c r="M268" s="137"/>
      <c r="N268" s="137"/>
      <c r="O268" s="137"/>
      <c r="P268" s="137"/>
    </row>
    <row r="269" spans="2:16">
      <c r="B269" s="137"/>
      <c r="C269" s="137"/>
      <c r="D269" s="137"/>
      <c r="E269" s="137"/>
      <c r="F269" s="137"/>
      <c r="G269" s="137"/>
      <c r="H269" s="137"/>
      <c r="I269" s="137"/>
      <c r="J269" s="137"/>
      <c r="K269" s="137"/>
      <c r="L269" s="137"/>
      <c r="M269" s="137"/>
      <c r="N269" s="137"/>
      <c r="O269" s="137"/>
      <c r="P269" s="137"/>
    </row>
    <row r="270" spans="2:16">
      <c r="B270" s="137"/>
      <c r="C270" s="137"/>
      <c r="D270" s="137"/>
      <c r="E270" s="137"/>
      <c r="F270" s="137"/>
      <c r="G270" s="137"/>
      <c r="H270" s="137"/>
      <c r="I270" s="137"/>
      <c r="J270" s="137"/>
      <c r="K270" s="137"/>
      <c r="L270" s="137"/>
      <c r="M270" s="137"/>
      <c r="N270" s="137"/>
      <c r="O270" s="137"/>
      <c r="P270" s="137"/>
    </row>
    <row r="271" spans="2:16">
      <c r="B271" s="137"/>
      <c r="C271" s="137"/>
      <c r="D271" s="137"/>
      <c r="E271" s="137"/>
      <c r="F271" s="137"/>
      <c r="G271" s="137"/>
      <c r="H271" s="137"/>
      <c r="I271" s="137"/>
      <c r="J271" s="137"/>
      <c r="K271" s="137"/>
      <c r="L271" s="137"/>
      <c r="M271" s="137"/>
      <c r="N271" s="137"/>
      <c r="O271" s="137"/>
      <c r="P271" s="137"/>
    </row>
    <row r="272" spans="2:16">
      <c r="B272" s="137"/>
      <c r="C272" s="137"/>
      <c r="D272" s="137"/>
      <c r="E272" s="137"/>
      <c r="F272" s="137"/>
      <c r="G272" s="137"/>
      <c r="H272" s="137"/>
      <c r="I272" s="137"/>
      <c r="J272" s="137"/>
      <c r="K272" s="137"/>
      <c r="L272" s="137"/>
      <c r="M272" s="137"/>
      <c r="N272" s="137"/>
      <c r="O272" s="137"/>
      <c r="P272" s="137"/>
    </row>
    <row r="273" spans="2:19">
      <c r="B273" s="137"/>
      <c r="C273" s="137"/>
      <c r="D273" s="137"/>
      <c r="E273" s="137"/>
      <c r="F273" s="137"/>
      <c r="G273" s="137"/>
      <c r="H273" s="137"/>
      <c r="I273" s="137"/>
      <c r="J273" s="137"/>
      <c r="K273" s="137"/>
      <c r="L273" s="137"/>
      <c r="M273" s="137"/>
      <c r="N273" s="137"/>
      <c r="O273" s="137"/>
      <c r="P273" s="137"/>
    </row>
    <row r="274" spans="2:19">
      <c r="B274" s="137"/>
      <c r="C274" s="137"/>
      <c r="D274" s="137"/>
      <c r="E274" s="137"/>
      <c r="F274" s="137"/>
      <c r="G274" s="137"/>
      <c r="H274" s="137"/>
      <c r="I274" s="137"/>
      <c r="J274" s="137"/>
      <c r="K274" s="137"/>
      <c r="L274" s="137"/>
      <c r="M274" s="137"/>
      <c r="N274" s="137"/>
      <c r="O274" s="137"/>
      <c r="P274" s="137"/>
    </row>
    <row r="275" spans="2:19">
      <c r="B275" s="137"/>
      <c r="C275" s="137"/>
      <c r="D275" s="137"/>
      <c r="E275" s="137"/>
      <c r="F275" s="137"/>
      <c r="G275" s="137"/>
      <c r="H275" s="137"/>
      <c r="I275" s="137"/>
      <c r="J275" s="137"/>
      <c r="K275" s="137"/>
      <c r="L275" s="137"/>
      <c r="M275" s="137"/>
      <c r="N275" s="137"/>
      <c r="O275" s="137"/>
      <c r="P275" s="137"/>
    </row>
    <row r="276" spans="2:19">
      <c r="B276" s="137"/>
      <c r="C276" s="137"/>
      <c r="D276" s="137"/>
      <c r="E276" s="137"/>
      <c r="F276" s="137"/>
      <c r="G276" s="137"/>
      <c r="H276" s="137"/>
      <c r="I276" s="137"/>
      <c r="J276" s="137"/>
      <c r="K276" s="137"/>
      <c r="L276" s="137"/>
      <c r="M276" s="137"/>
      <c r="N276" s="137"/>
      <c r="O276" s="137"/>
      <c r="P276" s="137"/>
    </row>
    <row r="277" spans="2:19">
      <c r="B277" s="137"/>
      <c r="C277" s="137"/>
      <c r="D277" s="137"/>
      <c r="E277" s="137"/>
      <c r="F277" s="137"/>
      <c r="G277" s="137"/>
      <c r="H277" s="137"/>
      <c r="I277" s="137"/>
      <c r="J277" s="137"/>
      <c r="K277" s="137"/>
      <c r="L277" s="137"/>
      <c r="M277" s="137"/>
      <c r="N277" s="137"/>
      <c r="O277" s="137"/>
      <c r="P277" s="137"/>
    </row>
    <row r="278" spans="2:19">
      <c r="B278" s="137"/>
      <c r="C278" s="137"/>
      <c r="D278" s="137"/>
      <c r="E278" s="137"/>
      <c r="F278" s="137"/>
      <c r="G278" s="137"/>
      <c r="H278" s="137"/>
      <c r="I278" s="137"/>
      <c r="J278" s="137"/>
      <c r="K278" s="137"/>
      <c r="L278" s="137"/>
      <c r="M278" s="137"/>
      <c r="N278" s="137"/>
      <c r="O278" s="137"/>
      <c r="P278" s="137"/>
    </row>
    <row r="279" spans="2:19">
      <c r="B279" s="137"/>
      <c r="C279" s="137"/>
      <c r="D279" s="137"/>
      <c r="E279" s="137"/>
      <c r="F279" s="137"/>
      <c r="G279" s="137"/>
      <c r="H279" s="137"/>
      <c r="I279" s="137"/>
      <c r="J279" s="137"/>
      <c r="K279" s="137"/>
      <c r="L279" s="137"/>
      <c r="M279" s="137"/>
      <c r="N279" s="137"/>
      <c r="O279" s="137"/>
      <c r="P279" s="137"/>
    </row>
    <row r="280" spans="2:19">
      <c r="B280" s="137"/>
      <c r="C280" s="137"/>
      <c r="D280" s="137"/>
      <c r="E280" s="137"/>
      <c r="F280" s="137"/>
      <c r="G280" s="137"/>
      <c r="H280" s="137"/>
      <c r="I280" s="137"/>
      <c r="J280" s="137"/>
      <c r="K280" s="137"/>
      <c r="L280" s="137"/>
      <c r="M280" s="137"/>
      <c r="N280" s="137"/>
      <c r="O280" s="137"/>
      <c r="P280" s="137"/>
    </row>
    <row r="281" spans="2:19">
      <c r="B281" s="137"/>
      <c r="C281" s="137"/>
      <c r="D281" s="137"/>
      <c r="E281" s="137"/>
      <c r="F281" s="137"/>
      <c r="G281" s="137"/>
      <c r="H281" s="137"/>
      <c r="I281" s="137"/>
      <c r="J281" s="137"/>
      <c r="K281" s="137"/>
      <c r="L281" s="137"/>
      <c r="M281" s="137"/>
      <c r="N281" s="137"/>
      <c r="O281" s="137"/>
      <c r="P281" s="137"/>
    </row>
    <row r="282" spans="2:19">
      <c r="B282" s="137"/>
      <c r="C282" s="137"/>
      <c r="D282" s="137"/>
      <c r="E282" s="137"/>
      <c r="F282" s="137"/>
      <c r="G282" s="137"/>
      <c r="H282" s="137"/>
      <c r="I282" s="137"/>
      <c r="J282" s="137"/>
      <c r="K282" s="137"/>
      <c r="L282" s="137"/>
      <c r="M282" s="137"/>
      <c r="N282" s="137"/>
      <c r="O282" s="137"/>
      <c r="P282" s="137"/>
    </row>
    <row r="283" spans="2:19">
      <c r="B283" s="137"/>
      <c r="C283" s="137"/>
      <c r="D283" s="137"/>
      <c r="E283" s="137"/>
      <c r="F283" s="137"/>
      <c r="G283" s="137"/>
      <c r="H283" s="137"/>
      <c r="I283" s="137"/>
      <c r="J283" s="137"/>
      <c r="K283" s="137"/>
      <c r="L283" s="137"/>
      <c r="M283" s="137"/>
      <c r="N283" s="137"/>
      <c r="O283" s="137"/>
      <c r="P283" s="137"/>
      <c r="S283">
        <v>0</v>
      </c>
    </row>
    <row r="284" spans="2:19">
      <c r="B284" s="137"/>
      <c r="C284" s="137"/>
      <c r="D284" s="137"/>
      <c r="E284" s="137"/>
      <c r="F284" s="137"/>
      <c r="G284" s="137"/>
      <c r="H284" s="137"/>
      <c r="I284" s="137"/>
      <c r="J284" s="137"/>
      <c r="K284" s="137"/>
      <c r="L284" s="137"/>
      <c r="M284" s="137"/>
      <c r="N284" s="137"/>
      <c r="O284" s="137"/>
      <c r="P284" s="137"/>
    </row>
    <row r="285" spans="2:19">
      <c r="B285" s="137"/>
      <c r="C285" s="137"/>
      <c r="D285" s="137"/>
      <c r="E285" s="137"/>
      <c r="F285" s="137"/>
      <c r="G285" s="137"/>
      <c r="H285" s="137"/>
      <c r="I285" s="137"/>
      <c r="J285" s="137"/>
      <c r="K285" s="137"/>
      <c r="L285" s="137"/>
      <c r="M285" s="137"/>
      <c r="N285" s="137"/>
      <c r="O285" s="137"/>
      <c r="P285" s="137"/>
    </row>
    <row r="286" spans="2:19">
      <c r="B286" s="137"/>
      <c r="C286" s="137"/>
      <c r="D286" s="137"/>
      <c r="E286" s="137"/>
      <c r="F286" s="137"/>
      <c r="G286" s="137"/>
      <c r="H286" s="137"/>
      <c r="I286" s="137"/>
      <c r="J286" s="137"/>
      <c r="K286" s="137"/>
      <c r="L286" s="137"/>
      <c r="M286" s="137"/>
      <c r="N286" s="137"/>
      <c r="O286" s="137"/>
      <c r="P286" s="137"/>
    </row>
    <row r="287" spans="2:19">
      <c r="B287" s="137"/>
      <c r="C287" s="137"/>
      <c r="D287" s="137"/>
      <c r="E287" s="137"/>
      <c r="F287" s="137"/>
      <c r="G287" s="137"/>
      <c r="H287" s="137"/>
      <c r="I287" s="137"/>
      <c r="J287" s="137"/>
      <c r="K287" s="137"/>
      <c r="L287" s="137"/>
      <c r="M287" s="137"/>
      <c r="N287" s="137"/>
      <c r="O287" s="137"/>
      <c r="P287" s="137"/>
    </row>
    <row r="288" spans="2:19">
      <c r="B288" s="137"/>
      <c r="C288" s="137"/>
      <c r="D288" s="137"/>
      <c r="E288" s="137"/>
      <c r="F288" s="137"/>
      <c r="G288" s="137"/>
      <c r="H288" s="137"/>
      <c r="I288" s="137"/>
      <c r="J288" s="137"/>
      <c r="K288" s="137"/>
      <c r="L288" s="137"/>
      <c r="M288" s="137"/>
      <c r="N288" s="137"/>
      <c r="O288" s="137"/>
      <c r="P288" s="137"/>
    </row>
    <row r="289" spans="2:16">
      <c r="B289" s="137"/>
      <c r="C289" s="137"/>
      <c r="D289" s="137"/>
      <c r="E289" s="137"/>
      <c r="F289" s="137"/>
      <c r="G289" s="137"/>
      <c r="H289" s="137"/>
      <c r="I289" s="137"/>
      <c r="J289" s="137"/>
      <c r="K289" s="137"/>
      <c r="L289" s="137"/>
      <c r="M289" s="137"/>
      <c r="N289" s="137"/>
      <c r="O289" s="137"/>
      <c r="P289" s="137"/>
    </row>
    <row r="290" spans="2:16">
      <c r="B290" s="137"/>
      <c r="C290" s="137"/>
      <c r="D290" s="137"/>
      <c r="E290" s="137"/>
      <c r="F290" s="137"/>
      <c r="G290" s="137"/>
      <c r="H290" s="137"/>
      <c r="I290" s="137"/>
      <c r="J290" s="137"/>
      <c r="K290" s="137"/>
      <c r="L290" s="137"/>
      <c r="M290" s="137"/>
      <c r="N290" s="137"/>
      <c r="O290" s="137"/>
      <c r="P290" s="137"/>
    </row>
    <row r="291" spans="2:16">
      <c r="B291" s="137"/>
      <c r="C291" s="137"/>
      <c r="D291" s="137"/>
      <c r="E291" s="137"/>
      <c r="F291" s="137"/>
      <c r="G291" s="137"/>
      <c r="H291" s="137"/>
      <c r="I291" s="137"/>
      <c r="J291" s="137"/>
      <c r="K291" s="137"/>
      <c r="L291" s="137"/>
      <c r="M291" s="137"/>
      <c r="N291" s="137"/>
      <c r="O291" s="137"/>
      <c r="P291" s="137"/>
    </row>
    <row r="292" spans="2:16">
      <c r="B292" s="137"/>
      <c r="C292" s="137"/>
      <c r="D292" s="137"/>
      <c r="E292" s="137"/>
      <c r="F292" s="137"/>
      <c r="G292" s="137"/>
      <c r="H292" s="137"/>
      <c r="I292" s="137"/>
      <c r="J292" s="137"/>
      <c r="K292" s="137"/>
      <c r="L292" s="137"/>
      <c r="M292" s="137"/>
      <c r="N292" s="137"/>
      <c r="O292" s="137"/>
      <c r="P292" s="137"/>
    </row>
    <row r="293" spans="2:16">
      <c r="B293" s="137"/>
      <c r="C293" s="137"/>
      <c r="D293" s="137"/>
      <c r="E293" s="137"/>
      <c r="F293" s="137"/>
      <c r="G293" s="137"/>
      <c r="H293" s="137"/>
      <c r="I293" s="137"/>
      <c r="J293" s="137"/>
      <c r="K293" s="137"/>
      <c r="L293" s="137"/>
      <c r="M293" s="137"/>
      <c r="N293" s="137"/>
      <c r="O293" s="137"/>
      <c r="P293" s="137"/>
    </row>
    <row r="294" spans="2:16">
      <c r="B294" s="137"/>
      <c r="C294" s="137"/>
      <c r="D294" s="137"/>
      <c r="E294" s="137"/>
      <c r="F294" s="137"/>
      <c r="G294" s="137"/>
      <c r="H294" s="137"/>
      <c r="I294" s="137"/>
      <c r="J294" s="137"/>
      <c r="K294" s="137"/>
      <c r="L294" s="137"/>
      <c r="M294" s="137"/>
      <c r="N294" s="137"/>
      <c r="O294" s="137"/>
      <c r="P294" s="137"/>
    </row>
    <row r="295" spans="2:16">
      <c r="B295" s="137"/>
      <c r="C295" s="137"/>
      <c r="D295" s="137"/>
      <c r="E295" s="137"/>
      <c r="F295" s="137"/>
      <c r="G295" s="137"/>
      <c r="H295" s="137"/>
      <c r="I295" s="137"/>
      <c r="J295" s="137"/>
      <c r="K295" s="137"/>
      <c r="L295" s="137"/>
      <c r="M295" s="137"/>
      <c r="N295" s="137"/>
      <c r="O295" s="137"/>
      <c r="P295" s="137"/>
    </row>
    <row r="296" spans="2:16">
      <c r="B296" s="137"/>
      <c r="C296" s="137"/>
      <c r="D296" s="137"/>
      <c r="E296" s="137"/>
      <c r="F296" s="137"/>
      <c r="G296" s="137"/>
      <c r="H296" s="137"/>
      <c r="I296" s="137"/>
      <c r="J296" s="137"/>
      <c r="K296" s="137"/>
      <c r="L296" s="137"/>
      <c r="M296" s="137"/>
      <c r="N296" s="137"/>
      <c r="O296" s="137"/>
      <c r="P296" s="137"/>
    </row>
    <row r="297" spans="2:16">
      <c r="B297" s="137"/>
      <c r="C297" s="137"/>
      <c r="D297" s="137"/>
      <c r="E297" s="137"/>
      <c r="F297" s="137"/>
      <c r="G297" s="137"/>
      <c r="H297" s="137"/>
      <c r="I297" s="137"/>
      <c r="J297" s="137"/>
      <c r="K297" s="137"/>
      <c r="L297" s="137"/>
      <c r="M297" s="137"/>
      <c r="N297" s="137"/>
      <c r="O297" s="137"/>
      <c r="P297" s="137"/>
    </row>
    <row r="298" spans="2:16">
      <c r="B298" s="137"/>
      <c r="C298" s="137"/>
      <c r="D298" s="137"/>
      <c r="E298" s="137"/>
      <c r="F298" s="137"/>
      <c r="G298" s="137"/>
      <c r="H298" s="137"/>
      <c r="I298" s="137"/>
      <c r="J298" s="137"/>
      <c r="K298" s="137"/>
      <c r="L298" s="137"/>
      <c r="M298" s="137"/>
      <c r="N298" s="137"/>
      <c r="O298" s="137"/>
      <c r="P298" s="137"/>
    </row>
    <row r="299" spans="2:16">
      <c r="B299" s="137"/>
      <c r="C299" s="137"/>
      <c r="D299" s="137"/>
      <c r="E299" s="137"/>
      <c r="F299" s="137"/>
      <c r="G299" s="137"/>
      <c r="H299" s="137"/>
      <c r="I299" s="137"/>
      <c r="J299" s="137"/>
      <c r="K299" s="137"/>
      <c r="L299" s="137"/>
      <c r="M299" s="137"/>
      <c r="N299" s="137"/>
      <c r="O299" s="137"/>
      <c r="P299" s="137"/>
    </row>
    <row r="300" spans="2:16">
      <c r="B300" s="137"/>
      <c r="C300" s="137"/>
      <c r="D300" s="137"/>
      <c r="E300" s="137"/>
      <c r="F300" s="137"/>
      <c r="G300" s="137"/>
      <c r="H300" s="137"/>
      <c r="I300" s="137"/>
      <c r="J300" s="137"/>
      <c r="K300" s="137"/>
      <c r="L300" s="137"/>
      <c r="M300" s="137"/>
      <c r="N300" s="137"/>
      <c r="O300" s="137"/>
      <c r="P300" s="137"/>
    </row>
    <row r="301" spans="2:16">
      <c r="B301" s="137"/>
      <c r="C301" s="137"/>
      <c r="D301" s="137"/>
      <c r="E301" s="137"/>
      <c r="F301" s="137"/>
      <c r="G301" s="137"/>
      <c r="H301" s="137"/>
      <c r="I301" s="137"/>
      <c r="J301" s="137"/>
      <c r="K301" s="137"/>
      <c r="L301" s="137"/>
      <c r="M301" s="137"/>
      <c r="N301" s="137"/>
      <c r="O301" s="137"/>
      <c r="P301" s="137"/>
    </row>
    <row r="302" spans="2:16">
      <c r="B302" s="137"/>
      <c r="C302" s="137"/>
      <c r="D302" s="137"/>
      <c r="E302" s="137"/>
      <c r="F302" s="137"/>
      <c r="G302" s="137"/>
      <c r="H302" s="137"/>
      <c r="I302" s="137"/>
      <c r="J302" s="137"/>
      <c r="K302" s="137"/>
      <c r="L302" s="137"/>
      <c r="M302" s="137"/>
      <c r="N302" s="137"/>
      <c r="O302" s="137"/>
      <c r="P302" s="137"/>
    </row>
    <row r="303" spans="2:16">
      <c r="B303" s="137"/>
      <c r="C303" s="137"/>
      <c r="D303" s="137"/>
      <c r="E303" s="137"/>
      <c r="F303" s="137"/>
      <c r="G303" s="137"/>
      <c r="H303" s="137"/>
      <c r="I303" s="137"/>
      <c r="J303" s="137"/>
      <c r="K303" s="137"/>
      <c r="L303" s="137"/>
      <c r="M303" s="137"/>
      <c r="N303" s="137"/>
      <c r="O303" s="137"/>
      <c r="P303" s="137"/>
    </row>
    <row r="304" spans="2:16">
      <c r="B304" s="137"/>
      <c r="C304" s="137"/>
      <c r="D304" s="137"/>
      <c r="E304" s="137"/>
      <c r="F304" s="137"/>
      <c r="G304" s="137"/>
      <c r="H304" s="137"/>
      <c r="I304" s="137"/>
      <c r="J304" s="137"/>
      <c r="K304" s="137"/>
      <c r="L304" s="137"/>
      <c r="M304" s="137"/>
      <c r="N304" s="137"/>
      <c r="O304" s="137"/>
      <c r="P304" s="137"/>
    </row>
    <row r="305" spans="2:18">
      <c r="B305" s="137"/>
      <c r="C305" s="137"/>
      <c r="D305" s="137"/>
      <c r="E305" s="137"/>
      <c r="F305" s="137"/>
      <c r="G305" s="137"/>
      <c r="H305" s="137"/>
      <c r="I305" s="137"/>
      <c r="J305" s="137"/>
      <c r="K305" s="137"/>
      <c r="L305" s="137"/>
      <c r="M305" s="137"/>
      <c r="N305" s="137"/>
      <c r="O305" s="137"/>
      <c r="P305" s="137"/>
    </row>
    <row r="306" spans="2:18">
      <c r="B306" s="137"/>
      <c r="C306" s="137"/>
      <c r="D306" s="137"/>
      <c r="E306" s="137"/>
      <c r="F306" s="137"/>
      <c r="G306" s="137"/>
      <c r="H306" s="137"/>
      <c r="I306" s="137"/>
      <c r="J306" s="137"/>
      <c r="K306" s="137"/>
      <c r="L306" s="137"/>
      <c r="M306" s="137"/>
      <c r="N306" s="137"/>
      <c r="O306" s="137"/>
      <c r="P306" s="137"/>
    </row>
    <row r="307" spans="2:18">
      <c r="B307" s="137"/>
      <c r="C307" s="137"/>
      <c r="D307" s="137"/>
      <c r="E307" s="137"/>
      <c r="F307" s="137"/>
      <c r="G307" s="137"/>
      <c r="H307" s="137"/>
      <c r="I307" s="137"/>
      <c r="J307" s="137"/>
      <c r="K307" s="137"/>
      <c r="L307" s="137"/>
      <c r="M307" s="137"/>
      <c r="N307" s="137"/>
      <c r="O307" s="137"/>
      <c r="P307" s="137"/>
    </row>
    <row r="308" spans="2:18">
      <c r="B308" s="137"/>
      <c r="C308" s="137"/>
      <c r="D308" s="137"/>
      <c r="E308" s="137"/>
      <c r="F308" s="137"/>
      <c r="G308" s="137"/>
      <c r="H308" s="137"/>
      <c r="I308" s="137"/>
      <c r="J308" s="137"/>
      <c r="K308" s="137"/>
      <c r="L308" s="137"/>
      <c r="M308" s="137"/>
      <c r="N308" s="137"/>
      <c r="O308" s="137"/>
      <c r="P308" s="137"/>
    </row>
    <row r="309" spans="2:18">
      <c r="B309" s="137"/>
      <c r="C309" s="137"/>
      <c r="D309" s="137"/>
      <c r="E309" s="137"/>
      <c r="F309" s="137"/>
      <c r="G309" s="137"/>
      <c r="H309" s="137"/>
      <c r="I309" s="137"/>
      <c r="J309" s="137"/>
      <c r="K309" s="137"/>
      <c r="L309" s="137"/>
      <c r="M309" s="137"/>
      <c r="N309" s="137"/>
      <c r="O309" s="137"/>
      <c r="P309" s="137"/>
    </row>
    <row r="310" spans="2:18">
      <c r="B310" s="137"/>
      <c r="C310" s="137"/>
      <c r="D310" s="137"/>
      <c r="E310" s="137"/>
      <c r="F310" s="137"/>
      <c r="G310" s="137"/>
      <c r="H310" s="137"/>
      <c r="I310" s="137"/>
      <c r="J310" s="137"/>
      <c r="K310" s="137"/>
      <c r="L310" s="137"/>
      <c r="M310" s="137"/>
      <c r="N310" s="137"/>
      <c r="O310" s="137"/>
      <c r="P310" s="137"/>
    </row>
    <row r="311" spans="2:18">
      <c r="B311" s="137"/>
      <c r="C311" s="137"/>
      <c r="D311" s="137"/>
      <c r="E311" s="137"/>
      <c r="F311" s="137"/>
      <c r="G311" s="137"/>
      <c r="H311" s="137"/>
      <c r="I311" s="137"/>
      <c r="J311" s="137"/>
      <c r="K311" s="137"/>
      <c r="L311" s="137"/>
      <c r="M311" s="137"/>
      <c r="N311" s="137"/>
      <c r="O311" s="137"/>
      <c r="P311" s="137"/>
    </row>
    <row r="312" spans="2:18">
      <c r="B312" s="137"/>
      <c r="C312" s="137"/>
      <c r="D312" s="137"/>
      <c r="E312" s="137"/>
      <c r="F312" s="137"/>
      <c r="G312" s="137"/>
      <c r="H312" s="137"/>
      <c r="I312" s="137"/>
      <c r="J312" s="137"/>
      <c r="K312" s="137"/>
      <c r="L312" s="137"/>
      <c r="M312" s="137"/>
      <c r="N312" s="137"/>
      <c r="O312" s="137"/>
      <c r="P312" s="137"/>
    </row>
    <row r="313" spans="2:18">
      <c r="B313" s="137"/>
      <c r="C313" s="137"/>
      <c r="D313" s="137"/>
      <c r="E313" s="137"/>
      <c r="F313" s="137"/>
      <c r="G313" s="137"/>
      <c r="H313" s="137"/>
      <c r="I313" s="137"/>
      <c r="J313" s="137"/>
      <c r="K313" s="137"/>
      <c r="L313" s="137"/>
      <c r="M313" s="137"/>
      <c r="N313" s="137"/>
      <c r="O313" s="137"/>
      <c r="P313" s="137"/>
    </row>
    <row r="314" spans="2:18">
      <c r="B314" s="137"/>
      <c r="C314" s="137"/>
      <c r="D314" s="137"/>
      <c r="E314" s="137"/>
      <c r="F314" s="137"/>
      <c r="G314" s="137"/>
      <c r="H314" s="137"/>
      <c r="I314" s="137"/>
      <c r="J314" s="137"/>
      <c r="K314" s="137"/>
      <c r="L314" s="137"/>
      <c r="M314" s="137"/>
      <c r="N314" s="137"/>
      <c r="O314" s="137"/>
      <c r="P314" s="137"/>
    </row>
    <row r="315" spans="2:18">
      <c r="B315" s="137"/>
      <c r="C315" s="137"/>
      <c r="D315" s="137"/>
      <c r="E315" s="137"/>
      <c r="F315" s="137"/>
      <c r="G315" s="137"/>
      <c r="H315" s="137"/>
      <c r="I315" s="137"/>
      <c r="J315" s="137"/>
      <c r="K315" s="137"/>
      <c r="L315" s="137"/>
      <c r="M315" s="137"/>
      <c r="N315" s="137"/>
      <c r="O315" s="137"/>
      <c r="P315" s="137"/>
      <c r="Q315" t="s">
        <v>105</v>
      </c>
    </row>
    <row r="316" spans="2:18">
      <c r="B316" s="137"/>
      <c r="C316" s="137"/>
      <c r="D316" s="137"/>
      <c r="E316" s="137"/>
      <c r="F316" s="137"/>
      <c r="G316" s="137"/>
      <c r="H316" s="137"/>
      <c r="I316" s="137"/>
      <c r="J316" s="137"/>
      <c r="K316" s="137"/>
      <c r="L316" s="137"/>
      <c r="M316" s="137"/>
      <c r="N316" s="137"/>
      <c r="O316" s="137"/>
      <c r="P316" s="137"/>
    </row>
    <row r="317" spans="2:18">
      <c r="B317" s="137"/>
      <c r="C317" s="137"/>
      <c r="D317" s="137"/>
      <c r="E317" s="137"/>
      <c r="F317" s="137"/>
      <c r="G317" s="137"/>
      <c r="H317" s="137"/>
      <c r="I317" s="137"/>
      <c r="J317" s="137"/>
      <c r="K317" s="137"/>
      <c r="L317" s="137"/>
      <c r="M317" s="137"/>
      <c r="N317" s="137"/>
      <c r="O317" s="137"/>
      <c r="P317" s="137"/>
    </row>
    <row r="318" spans="2:18">
      <c r="B318" s="137"/>
      <c r="C318" s="137"/>
      <c r="D318" s="137"/>
      <c r="E318" s="137"/>
      <c r="F318" s="137"/>
      <c r="G318" s="137"/>
      <c r="H318" s="137"/>
      <c r="I318" s="137"/>
      <c r="J318" s="137"/>
      <c r="K318" s="137"/>
      <c r="L318" s="137"/>
      <c r="M318" s="137"/>
      <c r="N318" s="137"/>
      <c r="O318" s="137"/>
      <c r="P318" s="137"/>
    </row>
    <row r="319" spans="2:18">
      <c r="B319" s="137"/>
      <c r="C319" s="137"/>
      <c r="D319" s="137"/>
      <c r="E319" s="137"/>
      <c r="F319" s="137"/>
      <c r="G319" s="137"/>
      <c r="H319" s="137"/>
      <c r="I319" s="137"/>
      <c r="J319" s="137"/>
      <c r="K319" s="137"/>
      <c r="L319" s="137"/>
      <c r="M319" s="137"/>
      <c r="N319" s="137"/>
      <c r="O319" s="137"/>
      <c r="R319" s="864"/>
    </row>
    <row r="320" spans="2:18">
      <c r="B320" s="2381" t="str">
        <f>STARTSIDAN!G7</f>
        <v>Tjänsten erbjuds av: Dynamo Närpes och Kristinestads näringslivscentral</v>
      </c>
      <c r="C320" s="2381"/>
      <c r="D320" s="2381"/>
      <c r="E320" s="2381"/>
      <c r="F320" s="2381"/>
      <c r="G320" s="2381"/>
      <c r="H320" s="2381"/>
      <c r="I320" s="2381"/>
      <c r="J320" s="2381"/>
      <c r="K320" s="937"/>
      <c r="L320" s="2386" t="str">
        <f>STARTSIDAN!G26</f>
        <v xml:space="preserve">FT6 Det nya företagets resultatplan </v>
      </c>
      <c r="M320" s="2386"/>
      <c r="N320" s="2386"/>
      <c r="O320" s="2386"/>
      <c r="P320" s="2386"/>
      <c r="Q320" s="2386"/>
      <c r="R320" s="2386"/>
    </row>
  </sheetData>
  <sheetProtection algorithmName="SHA-512" hashValue="GR2+W7WVhcaDFyfr1u5xDF37oBeKsaYwy9nVlU/oeNCWrx+vNYBnnnDAQ/6HQGflUzGiERBIPW2X12WDUFUmQg==" saltValue="Vkp+PQwB4nsUr6LbKaxmdw==" spinCount="100000" sheet="1" objects="1" scenarios="1" selectLockedCells="1"/>
  <mergeCells count="630">
    <mergeCell ref="O171:P171"/>
    <mergeCell ref="L3:M3"/>
    <mergeCell ref="B320:J320"/>
    <mergeCell ref="B81:J81"/>
    <mergeCell ref="K81:R81"/>
    <mergeCell ref="L163:R163"/>
    <mergeCell ref="M247:R247"/>
    <mergeCell ref="L320:R320"/>
    <mergeCell ref="K35:K36"/>
    <mergeCell ref="K15:K16"/>
    <mergeCell ref="Q172:R172"/>
    <mergeCell ref="Q174:R174"/>
    <mergeCell ref="O174:P174"/>
    <mergeCell ref="M174:N174"/>
    <mergeCell ref="K174:L174"/>
    <mergeCell ref="K179:L179"/>
    <mergeCell ref="M179:N179"/>
    <mergeCell ref="O179:P179"/>
    <mergeCell ref="Q179:R179"/>
    <mergeCell ref="M177:N177"/>
    <mergeCell ref="O177:P177"/>
    <mergeCell ref="K92:L92"/>
    <mergeCell ref="M92:N92"/>
    <mergeCell ref="O92:P92"/>
    <mergeCell ref="O173:P173"/>
    <mergeCell ref="O175:P175"/>
    <mergeCell ref="O176:P176"/>
    <mergeCell ref="O178:P178"/>
    <mergeCell ref="K172:L172"/>
    <mergeCell ref="M172:N172"/>
    <mergeCell ref="O172:P172"/>
    <mergeCell ref="M173:N173"/>
    <mergeCell ref="M175:N175"/>
    <mergeCell ref="M176:N176"/>
    <mergeCell ref="M178:N178"/>
    <mergeCell ref="K173:L173"/>
    <mergeCell ref="K175:L175"/>
    <mergeCell ref="M171:N171"/>
    <mergeCell ref="K171:L171"/>
    <mergeCell ref="I118:J118"/>
    <mergeCell ref="I117:J117"/>
    <mergeCell ref="I128:J128"/>
    <mergeCell ref="I127:J127"/>
    <mergeCell ref="I126:J126"/>
    <mergeCell ref="I125:J125"/>
    <mergeCell ref="I124:J124"/>
    <mergeCell ref="I123:J123"/>
    <mergeCell ref="I130:J130"/>
    <mergeCell ref="I129:J129"/>
    <mergeCell ref="I122:J122"/>
    <mergeCell ref="K149:L149"/>
    <mergeCell ref="K144:L144"/>
    <mergeCell ref="M153:N153"/>
    <mergeCell ref="M157:N157"/>
    <mergeCell ref="M127:N127"/>
    <mergeCell ref="M150:N150"/>
    <mergeCell ref="M126:N126"/>
    <mergeCell ref="K156:L156"/>
    <mergeCell ref="K157:L157"/>
    <mergeCell ref="M143:N143"/>
    <mergeCell ref="M129:N129"/>
    <mergeCell ref="C138:E138"/>
    <mergeCell ref="K138:L138"/>
    <mergeCell ref="C139:E139"/>
    <mergeCell ref="K139:L139"/>
    <mergeCell ref="C137:E137"/>
    <mergeCell ref="K137:L137"/>
    <mergeCell ref="E132:F132"/>
    <mergeCell ref="I132:J132"/>
    <mergeCell ref="E131:F131"/>
    <mergeCell ref="I131:J131"/>
    <mergeCell ref="K131:L131"/>
    <mergeCell ref="C179:G179"/>
    <mergeCell ref="C180:G180"/>
    <mergeCell ref="C181:G181"/>
    <mergeCell ref="K177:L177"/>
    <mergeCell ref="K181:L181"/>
    <mergeCell ref="C145:E145"/>
    <mergeCell ref="K145:L145"/>
    <mergeCell ref="K176:L176"/>
    <mergeCell ref="C174:G174"/>
    <mergeCell ref="C175:G175"/>
    <mergeCell ref="K178:L178"/>
    <mergeCell ref="C146:E146"/>
    <mergeCell ref="K146:L146"/>
    <mergeCell ref="C147:E147"/>
    <mergeCell ref="K147:L147"/>
    <mergeCell ref="B169:J170"/>
    <mergeCell ref="C171:G171"/>
    <mergeCell ref="K166:L166"/>
    <mergeCell ref="C172:G172"/>
    <mergeCell ref="C173:G173"/>
    <mergeCell ref="K84:L84"/>
    <mergeCell ref="K87:L87"/>
    <mergeCell ref="I78:J78"/>
    <mergeCell ref="K83:L83"/>
    <mergeCell ref="C99:F99"/>
    <mergeCell ref="C102:F102"/>
    <mergeCell ref="C128:F128"/>
    <mergeCell ref="E90:F90"/>
    <mergeCell ref="E92:F92"/>
    <mergeCell ref="E94:F94"/>
    <mergeCell ref="E96:F96"/>
    <mergeCell ref="E98:F98"/>
    <mergeCell ref="E100:F100"/>
    <mergeCell ref="E89:F89"/>
    <mergeCell ref="E95:F95"/>
    <mergeCell ref="E101:F101"/>
    <mergeCell ref="E105:F105"/>
    <mergeCell ref="E111:F111"/>
    <mergeCell ref="E122:F122"/>
    <mergeCell ref="E121:F121"/>
    <mergeCell ref="E91:F91"/>
    <mergeCell ref="E97:F97"/>
    <mergeCell ref="C118:F118"/>
    <mergeCell ref="C117:F117"/>
    <mergeCell ref="Q77:R77"/>
    <mergeCell ref="M87:N87"/>
    <mergeCell ref="O87:P87"/>
    <mergeCell ref="I91:J91"/>
    <mergeCell ref="K91:L91"/>
    <mergeCell ref="M91:N91"/>
    <mergeCell ref="O91:P91"/>
    <mergeCell ref="K90:L90"/>
    <mergeCell ref="M90:N90"/>
    <mergeCell ref="O90:P90"/>
    <mergeCell ref="I90:J90"/>
    <mergeCell ref="I89:J89"/>
    <mergeCell ref="K89:L89"/>
    <mergeCell ref="M89:N89"/>
    <mergeCell ref="O89:P89"/>
    <mergeCell ref="M78:N78"/>
    <mergeCell ref="O78:P78"/>
    <mergeCell ref="I77:J77"/>
    <mergeCell ref="K77:L77"/>
    <mergeCell ref="M77:N77"/>
    <mergeCell ref="O77:P77"/>
    <mergeCell ref="K88:L88"/>
    <mergeCell ref="M88:N88"/>
    <mergeCell ref="O88:P88"/>
    <mergeCell ref="I92:J92"/>
    <mergeCell ref="I95:J95"/>
    <mergeCell ref="K95:L95"/>
    <mergeCell ref="M95:N95"/>
    <mergeCell ref="O95:P95"/>
    <mergeCell ref="K94:L94"/>
    <mergeCell ref="M94:N94"/>
    <mergeCell ref="O94:P94"/>
    <mergeCell ref="E93:F93"/>
    <mergeCell ref="I93:J93"/>
    <mergeCell ref="K93:L93"/>
    <mergeCell ref="M93:N93"/>
    <mergeCell ref="O93:P93"/>
    <mergeCell ref="I94:J94"/>
    <mergeCell ref="I97:J97"/>
    <mergeCell ref="K97:L97"/>
    <mergeCell ref="M97:N97"/>
    <mergeCell ref="O97:P97"/>
    <mergeCell ref="K96:L96"/>
    <mergeCell ref="M96:N96"/>
    <mergeCell ref="O96:P96"/>
    <mergeCell ref="I96:J96"/>
    <mergeCell ref="I98:J98"/>
    <mergeCell ref="O98:P98"/>
    <mergeCell ref="M98:N98"/>
    <mergeCell ref="K98:L98"/>
    <mergeCell ref="I101:J101"/>
    <mergeCell ref="K101:L101"/>
    <mergeCell ref="M101:N101"/>
    <mergeCell ref="O101:P101"/>
    <mergeCell ref="K100:L100"/>
    <mergeCell ref="M100:N100"/>
    <mergeCell ref="O100:P100"/>
    <mergeCell ref="I99:J99"/>
    <mergeCell ref="K99:L99"/>
    <mergeCell ref="M99:N99"/>
    <mergeCell ref="O99:P99"/>
    <mergeCell ref="I100:J100"/>
    <mergeCell ref="I105:J105"/>
    <mergeCell ref="E104:F104"/>
    <mergeCell ref="I104:J104"/>
    <mergeCell ref="E103:F103"/>
    <mergeCell ref="I103:J103"/>
    <mergeCell ref="K102:L102"/>
    <mergeCell ref="M102:N102"/>
    <mergeCell ref="O102:P102"/>
    <mergeCell ref="I102:J102"/>
    <mergeCell ref="K103:L103"/>
    <mergeCell ref="M103:N103"/>
    <mergeCell ref="O103:P103"/>
    <mergeCell ref="K104:L104"/>
    <mergeCell ref="M104:N104"/>
    <mergeCell ref="O104:P104"/>
    <mergeCell ref="K105:L105"/>
    <mergeCell ref="M105:N105"/>
    <mergeCell ref="O105:P105"/>
    <mergeCell ref="I111:J111"/>
    <mergeCell ref="B108:C108"/>
    <mergeCell ref="E108:F108"/>
    <mergeCell ref="I108:J108"/>
    <mergeCell ref="I107:J107"/>
    <mergeCell ref="E106:F106"/>
    <mergeCell ref="I106:J106"/>
    <mergeCell ref="E116:F116"/>
    <mergeCell ref="I116:J116"/>
    <mergeCell ref="E115:F115"/>
    <mergeCell ref="I115:J115"/>
    <mergeCell ref="E114:F114"/>
    <mergeCell ref="I114:J114"/>
    <mergeCell ref="I113:J113"/>
    <mergeCell ref="E112:F112"/>
    <mergeCell ref="I112:J112"/>
    <mergeCell ref="C113:F113"/>
    <mergeCell ref="E127:F127"/>
    <mergeCell ref="E126:F126"/>
    <mergeCell ref="K136:L136"/>
    <mergeCell ref="E125:F125"/>
    <mergeCell ref="E123:F123"/>
    <mergeCell ref="B134:H135"/>
    <mergeCell ref="C119:F119"/>
    <mergeCell ref="K127:L127"/>
    <mergeCell ref="I121:J121"/>
    <mergeCell ref="C124:F124"/>
    <mergeCell ref="E130:F130"/>
    <mergeCell ref="E129:F129"/>
    <mergeCell ref="E120:F120"/>
    <mergeCell ref="I120:J120"/>
    <mergeCell ref="I119:J119"/>
    <mergeCell ref="K126:L126"/>
    <mergeCell ref="K250:L250"/>
    <mergeCell ref="K160:L160"/>
    <mergeCell ref="K161:L161"/>
    <mergeCell ref="C158:E158"/>
    <mergeCell ref="K158:L158"/>
    <mergeCell ref="K159:L159"/>
    <mergeCell ref="C154:E154"/>
    <mergeCell ref="K154:L154"/>
    <mergeCell ref="C155:E155"/>
    <mergeCell ref="K155:L155"/>
    <mergeCell ref="B197:C197"/>
    <mergeCell ref="B198:C198"/>
    <mergeCell ref="B199:C199"/>
    <mergeCell ref="B200:C200"/>
    <mergeCell ref="B196:R196"/>
    <mergeCell ref="M188:O188"/>
    <mergeCell ref="C177:G177"/>
    <mergeCell ref="P189:R189"/>
    <mergeCell ref="C243:H243"/>
    <mergeCell ref="C244:D244"/>
    <mergeCell ref="E244:I244"/>
    <mergeCell ref="B228:E229"/>
    <mergeCell ref="C176:G176"/>
    <mergeCell ref="C178:G178"/>
    <mergeCell ref="B193:C193"/>
    <mergeCell ref="E188:E190"/>
    <mergeCell ref="F188:F190"/>
    <mergeCell ref="G189:I189"/>
    <mergeCell ref="J189:L189"/>
    <mergeCell ref="J244:K244"/>
    <mergeCell ref="L244:M244"/>
    <mergeCell ref="B195:C195"/>
    <mergeCell ref="B194:C194"/>
    <mergeCell ref="B192:C192"/>
    <mergeCell ref="D188:D190"/>
    <mergeCell ref="G188:I188"/>
    <mergeCell ref="B225:C225"/>
    <mergeCell ref="C240:H240"/>
    <mergeCell ref="C241:H241"/>
    <mergeCell ref="L233:M233"/>
    <mergeCell ref="J234:K234"/>
    <mergeCell ref="L234:M234"/>
    <mergeCell ref="J236:K236"/>
    <mergeCell ref="N244:O244"/>
    <mergeCell ref="P244:Q244"/>
    <mergeCell ref="N234:O234"/>
    <mergeCell ref="P234:Q234"/>
    <mergeCell ref="K180:L180"/>
    <mergeCell ref="K182:L182"/>
    <mergeCell ref="O180:P180"/>
    <mergeCell ref="O182:P182"/>
    <mergeCell ref="O183:P183"/>
    <mergeCell ref="P188:R188"/>
    <mergeCell ref="M189:O189"/>
    <mergeCell ref="N233:O233"/>
    <mergeCell ref="N241:O241"/>
    <mergeCell ref="P241:Q241"/>
    <mergeCell ref="P233:Q233"/>
    <mergeCell ref="J235:K235"/>
    <mergeCell ref="L235:M235"/>
    <mergeCell ref="N235:O235"/>
    <mergeCell ref="P235:Q235"/>
    <mergeCell ref="J237:K237"/>
    <mergeCell ref="L237:M237"/>
    <mergeCell ref="N237:O237"/>
    <mergeCell ref="P237:Q237"/>
    <mergeCell ref="J233:K233"/>
    <mergeCell ref="C182:G182"/>
    <mergeCell ref="C183:G183"/>
    <mergeCell ref="M180:N180"/>
    <mergeCell ref="M182:N182"/>
    <mergeCell ref="M183:N183"/>
    <mergeCell ref="B223:C223"/>
    <mergeCell ref="B215:C215"/>
    <mergeCell ref="B216:C216"/>
    <mergeCell ref="B217:C217"/>
    <mergeCell ref="B201:R201"/>
    <mergeCell ref="B202:C202"/>
    <mergeCell ref="B203:C203"/>
    <mergeCell ref="B204:C204"/>
    <mergeCell ref="B205:C205"/>
    <mergeCell ref="B206:R206"/>
    <mergeCell ref="B207:C207"/>
    <mergeCell ref="B208:C208"/>
    <mergeCell ref="B209:C209"/>
    <mergeCell ref="B210:C210"/>
    <mergeCell ref="B211:C211"/>
    <mergeCell ref="B213:C213"/>
    <mergeCell ref="B214:C214"/>
    <mergeCell ref="J188:L188"/>
    <mergeCell ref="B188:C190"/>
    <mergeCell ref="C140:E140"/>
    <mergeCell ref="K140:L140"/>
    <mergeCell ref="C141:E141"/>
    <mergeCell ref="K141:L141"/>
    <mergeCell ref="C152:E152"/>
    <mergeCell ref="K152:L152"/>
    <mergeCell ref="K153:L153"/>
    <mergeCell ref="C148:H148"/>
    <mergeCell ref="C150:E150"/>
    <mergeCell ref="K150:L150"/>
    <mergeCell ref="C142:H142"/>
    <mergeCell ref="K142:L142"/>
    <mergeCell ref="K143:L143"/>
    <mergeCell ref="Q78:R78"/>
    <mergeCell ref="J243:K243"/>
    <mergeCell ref="L243:M243"/>
    <mergeCell ref="N243:O243"/>
    <mergeCell ref="P243:Q243"/>
    <mergeCell ref="C238:H238"/>
    <mergeCell ref="C230:I231"/>
    <mergeCell ref="J230:K230"/>
    <mergeCell ref="L230:M230"/>
    <mergeCell ref="N230:O230"/>
    <mergeCell ref="P230:Q230"/>
    <mergeCell ref="P231:Q231"/>
    <mergeCell ref="N231:O231"/>
    <mergeCell ref="L231:M231"/>
    <mergeCell ref="J231:K231"/>
    <mergeCell ref="C233:I233"/>
    <mergeCell ref="C235:I235"/>
    <mergeCell ref="C237:I237"/>
    <mergeCell ref="E234:I234"/>
    <mergeCell ref="F236:I236"/>
    <mergeCell ref="F239:I239"/>
    <mergeCell ref="F242:I242"/>
    <mergeCell ref="C232:F232"/>
    <mergeCell ref="J238:K238"/>
    <mergeCell ref="B15:E16"/>
    <mergeCell ref="B35:E36"/>
    <mergeCell ref="Q87:R87"/>
    <mergeCell ref="Q88:R88"/>
    <mergeCell ref="C17:F17"/>
    <mergeCell ref="C38:F38"/>
    <mergeCell ref="Q53:R53"/>
    <mergeCell ref="Q54:R54"/>
    <mergeCell ref="O54:P54"/>
    <mergeCell ref="M54:N54"/>
    <mergeCell ref="K54:L54"/>
    <mergeCell ref="K56:L56"/>
    <mergeCell ref="M56:N56"/>
    <mergeCell ref="O56:P56"/>
    <mergeCell ref="Q56:R56"/>
    <mergeCell ref="B37:C37"/>
    <mergeCell ref="B44:C44"/>
    <mergeCell ref="B53:C55"/>
    <mergeCell ref="E53:F53"/>
    <mergeCell ref="K53:L53"/>
    <mergeCell ref="M53:N53"/>
    <mergeCell ref="O53:P53"/>
    <mergeCell ref="E54:F54"/>
    <mergeCell ref="L35:M36"/>
    <mergeCell ref="Q98:R98"/>
    <mergeCell ref="Q99:R99"/>
    <mergeCell ref="Q100:R100"/>
    <mergeCell ref="Q101:R101"/>
    <mergeCell ref="Q102:R102"/>
    <mergeCell ref="Q128:R128"/>
    <mergeCell ref="Q127:R127"/>
    <mergeCell ref="Q169:R169"/>
    <mergeCell ref="Q170:R170"/>
    <mergeCell ref="Q103:R103"/>
    <mergeCell ref="Q104:R104"/>
    <mergeCell ref="Q105:R105"/>
    <mergeCell ref="Q159:R159"/>
    <mergeCell ref="Q158:R158"/>
    <mergeCell ref="Q152:R152"/>
    <mergeCell ref="Q129:R129"/>
    <mergeCell ref="Q130:R130"/>
    <mergeCell ref="Q131:R131"/>
    <mergeCell ref="Q132:R132"/>
    <mergeCell ref="Q136:R136"/>
    <mergeCell ref="Q134:R134"/>
    <mergeCell ref="Q135:R135"/>
    <mergeCell ref="Q149:R149"/>
    <mergeCell ref="Q147:R147"/>
    <mergeCell ref="Q89:R89"/>
    <mergeCell ref="Q90:R90"/>
    <mergeCell ref="Q91:R91"/>
    <mergeCell ref="Q92:R92"/>
    <mergeCell ref="Q94:R94"/>
    <mergeCell ref="Q95:R95"/>
    <mergeCell ref="Q93:R93"/>
    <mergeCell ref="Q96:R96"/>
    <mergeCell ref="Q97:R97"/>
    <mergeCell ref="Q109:R109"/>
    <mergeCell ref="Q110:R110"/>
    <mergeCell ref="K134:L134"/>
    <mergeCell ref="K135:L135"/>
    <mergeCell ref="M134:N134"/>
    <mergeCell ref="K111:L111"/>
    <mergeCell ref="M111:N111"/>
    <mergeCell ref="K112:L112"/>
    <mergeCell ref="M112:N112"/>
    <mergeCell ref="O112:P112"/>
    <mergeCell ref="O111:P111"/>
    <mergeCell ref="K113:L113"/>
    <mergeCell ref="M113:N113"/>
    <mergeCell ref="O113:P113"/>
    <mergeCell ref="O115:P115"/>
    <mergeCell ref="K116:L116"/>
    <mergeCell ref="M116:N116"/>
    <mergeCell ref="O116:P116"/>
    <mergeCell ref="M123:N123"/>
    <mergeCell ref="O123:P123"/>
    <mergeCell ref="K109:L109"/>
    <mergeCell ref="K110:L110"/>
    <mergeCell ref="O127:P127"/>
    <mergeCell ref="K129:L129"/>
    <mergeCell ref="O153:P153"/>
    <mergeCell ref="Q153:R153"/>
    <mergeCell ref="M154:N154"/>
    <mergeCell ref="O154:P154"/>
    <mergeCell ref="Q154:R154"/>
    <mergeCell ref="M155:N155"/>
    <mergeCell ref="O155:P155"/>
    <mergeCell ref="Q155:R155"/>
    <mergeCell ref="M156:N156"/>
    <mergeCell ref="O156:P156"/>
    <mergeCell ref="Q156:R156"/>
    <mergeCell ref="O157:P157"/>
    <mergeCell ref="Q157:R157"/>
    <mergeCell ref="M158:N158"/>
    <mergeCell ref="O158:P158"/>
    <mergeCell ref="Q160:R160"/>
    <mergeCell ref="M161:N161"/>
    <mergeCell ref="O161:P161"/>
    <mergeCell ref="Q161:R161"/>
    <mergeCell ref="B109:J110"/>
    <mergeCell ref="Q119:R119"/>
    <mergeCell ref="Q120:R120"/>
    <mergeCell ref="Q121:R121"/>
    <mergeCell ref="Q122:R122"/>
    <mergeCell ref="Q123:R123"/>
    <mergeCell ref="Q124:R124"/>
    <mergeCell ref="Q125:R125"/>
    <mergeCell ref="Q126:R126"/>
    <mergeCell ref="M159:N159"/>
    <mergeCell ref="O159:P159"/>
    <mergeCell ref="M120:N120"/>
    <mergeCell ref="O148:P148"/>
    <mergeCell ref="Q148:R148"/>
    <mergeCell ref="Q141:R141"/>
    <mergeCell ref="M142:N142"/>
    <mergeCell ref="B87:J88"/>
    <mergeCell ref="Q111:R111"/>
    <mergeCell ref="Q112:R112"/>
    <mergeCell ref="Q113:R113"/>
    <mergeCell ref="Q114:R114"/>
    <mergeCell ref="Q115:R115"/>
    <mergeCell ref="Q116:R116"/>
    <mergeCell ref="Q117:R117"/>
    <mergeCell ref="Q118:R118"/>
    <mergeCell ref="M106:N106"/>
    <mergeCell ref="O106:P106"/>
    <mergeCell ref="Q106:R106"/>
    <mergeCell ref="K107:L107"/>
    <mergeCell ref="M107:N107"/>
    <mergeCell ref="Q107:R107"/>
    <mergeCell ref="K108:L108"/>
    <mergeCell ref="M108:N108"/>
    <mergeCell ref="Q108:R108"/>
    <mergeCell ref="O108:P108"/>
    <mergeCell ref="O107:P107"/>
    <mergeCell ref="M109:N109"/>
    <mergeCell ref="M110:N110"/>
    <mergeCell ref="O109:P109"/>
    <mergeCell ref="O110:P110"/>
    <mergeCell ref="O143:P143"/>
    <mergeCell ref="Q143:R143"/>
    <mergeCell ref="Q144:R144"/>
    <mergeCell ref="Q145:R145"/>
    <mergeCell ref="Q146:R146"/>
    <mergeCell ref="O146:P146"/>
    <mergeCell ref="M146:N146"/>
    <mergeCell ref="M144:N144"/>
    <mergeCell ref="O144:P144"/>
    <mergeCell ref="O129:P129"/>
    <mergeCell ref="K130:L130"/>
    <mergeCell ref="M130:N130"/>
    <mergeCell ref="O130:P130"/>
    <mergeCell ref="M135:N135"/>
    <mergeCell ref="O134:P134"/>
    <mergeCell ref="O135:P135"/>
    <mergeCell ref="K128:L128"/>
    <mergeCell ref="M128:N128"/>
    <mergeCell ref="O128:P128"/>
    <mergeCell ref="Q150:R150"/>
    <mergeCell ref="Q151:R151"/>
    <mergeCell ref="Q137:R137"/>
    <mergeCell ref="Q138:R138"/>
    <mergeCell ref="O137:P137"/>
    <mergeCell ref="O138:P138"/>
    <mergeCell ref="M137:N137"/>
    <mergeCell ref="Q139:R139"/>
    <mergeCell ref="M140:N140"/>
    <mergeCell ref="Q140:R140"/>
    <mergeCell ref="M145:N145"/>
    <mergeCell ref="O145:P145"/>
    <mergeCell ref="M147:N147"/>
    <mergeCell ref="O147:P147"/>
    <mergeCell ref="O140:P140"/>
    <mergeCell ref="O139:P139"/>
    <mergeCell ref="M141:N141"/>
    <mergeCell ref="O141:P141"/>
    <mergeCell ref="M138:N138"/>
    <mergeCell ref="M151:N151"/>
    <mergeCell ref="O151:P151"/>
    <mergeCell ref="M148:N148"/>
    <mergeCell ref="O142:P142"/>
    <mergeCell ref="Q142:R142"/>
    <mergeCell ref="L15:M16"/>
    <mergeCell ref="K78:L78"/>
    <mergeCell ref="O120:P120"/>
    <mergeCell ref="K117:L117"/>
    <mergeCell ref="M117:N117"/>
    <mergeCell ref="O121:P121"/>
    <mergeCell ref="K122:L122"/>
    <mergeCell ref="K124:L124"/>
    <mergeCell ref="M124:N124"/>
    <mergeCell ref="O124:P124"/>
    <mergeCell ref="K114:L114"/>
    <mergeCell ref="M114:N114"/>
    <mergeCell ref="O114:P114"/>
    <mergeCell ref="K115:L115"/>
    <mergeCell ref="M115:N115"/>
    <mergeCell ref="O117:P117"/>
    <mergeCell ref="K118:L118"/>
    <mergeCell ref="M118:N118"/>
    <mergeCell ref="O118:P118"/>
    <mergeCell ref="K119:L119"/>
    <mergeCell ref="M119:N119"/>
    <mergeCell ref="O119:P119"/>
    <mergeCell ref="K120:L120"/>
    <mergeCell ref="K106:L106"/>
    <mergeCell ref="O126:P126"/>
    <mergeCell ref="K121:L121"/>
    <mergeCell ref="M121:N121"/>
    <mergeCell ref="O132:P132"/>
    <mergeCell ref="M122:N122"/>
    <mergeCell ref="O122:P122"/>
    <mergeCell ref="K123:L123"/>
    <mergeCell ref="M152:N152"/>
    <mergeCell ref="O152:P152"/>
    <mergeCell ref="M139:N139"/>
    <mergeCell ref="M125:N125"/>
    <mergeCell ref="O125:P125"/>
    <mergeCell ref="K125:L125"/>
    <mergeCell ref="M131:N131"/>
    <mergeCell ref="O131:P131"/>
    <mergeCell ref="K132:L132"/>
    <mergeCell ref="M132:N132"/>
    <mergeCell ref="K148:L148"/>
    <mergeCell ref="K151:L151"/>
    <mergeCell ref="M136:N136"/>
    <mergeCell ref="O136:P136"/>
    <mergeCell ref="M149:N149"/>
    <mergeCell ref="O149:P149"/>
    <mergeCell ref="O150:P150"/>
    <mergeCell ref="P239:Q239"/>
    <mergeCell ref="N239:O239"/>
    <mergeCell ref="L239:M239"/>
    <mergeCell ref="J239:K239"/>
    <mergeCell ref="J242:K242"/>
    <mergeCell ref="N238:O238"/>
    <mergeCell ref="P238:Q238"/>
    <mergeCell ref="J241:K241"/>
    <mergeCell ref="L241:M241"/>
    <mergeCell ref="Q176:R176"/>
    <mergeCell ref="Q178:R178"/>
    <mergeCell ref="Q180:R180"/>
    <mergeCell ref="Q182:R182"/>
    <mergeCell ref="Q183:R183"/>
    <mergeCell ref="L238:M238"/>
    <mergeCell ref="P236:Q236"/>
    <mergeCell ref="N236:O236"/>
    <mergeCell ref="L236:M236"/>
    <mergeCell ref="B83:I83"/>
    <mergeCell ref="B85:J85"/>
    <mergeCell ref="B167:I167"/>
    <mergeCell ref="B166:J166"/>
    <mergeCell ref="B249:I249"/>
    <mergeCell ref="B251:I251"/>
    <mergeCell ref="Q177:R177"/>
    <mergeCell ref="Q181:R181"/>
    <mergeCell ref="O181:P181"/>
    <mergeCell ref="M181:N181"/>
    <mergeCell ref="M160:N160"/>
    <mergeCell ref="O160:P160"/>
    <mergeCell ref="L242:M242"/>
    <mergeCell ref="N242:O242"/>
    <mergeCell ref="P242:Q242"/>
    <mergeCell ref="K169:L169"/>
    <mergeCell ref="K170:L170"/>
    <mergeCell ref="M169:N169"/>
    <mergeCell ref="M170:N170"/>
    <mergeCell ref="O169:P169"/>
    <mergeCell ref="O170:P170"/>
    <mergeCell ref="Q171:R171"/>
    <mergeCell ref="Q173:R173"/>
    <mergeCell ref="Q175:R175"/>
  </mergeCells>
  <conditionalFormatting sqref="J234:Q234">
    <cfRule type="containsText" dxfId="14" priority="1" operator="containsText" text="Bra">
      <formula>NOT(ISERROR(SEARCH("Bra",J234)))</formula>
    </cfRule>
    <cfRule type="containsText" dxfId="13" priority="2" operator="containsText" text="Tillfredställande">
      <formula>NOT(ISERROR(SEARCH("Tillfredställande",J234)))</formula>
    </cfRule>
    <cfRule type="containsText" dxfId="12" priority="3" operator="containsText" text="Svag">
      <formula>NOT(ISERROR(SEARCH("Svag",J234)))</formula>
    </cfRule>
  </conditionalFormatting>
  <conditionalFormatting sqref="J236:Q236">
    <cfRule type="containsText" dxfId="11" priority="11" operator="containsText" text="Bra">
      <formula>NOT(ISERROR(SEARCH("Bra",J236)))</formula>
    </cfRule>
    <cfRule type="containsText" dxfId="10" priority="12" operator="containsText" text="Tillfredställande">
      <formula>NOT(ISERROR(SEARCH("Tillfredställande",J236)))</formula>
    </cfRule>
    <cfRule type="containsText" dxfId="9" priority="13" operator="containsText" text="Svag">
      <formula>NOT(ISERROR(SEARCH("Svag",J236)))</formula>
    </cfRule>
  </conditionalFormatting>
  <conditionalFormatting sqref="J239:Q239">
    <cfRule type="containsText" dxfId="8" priority="7" operator="containsText" text="Tillfredställande">
      <formula>NOT(ISERROR(SEARCH("Tillfredställande",J239)))</formula>
    </cfRule>
    <cfRule type="containsText" dxfId="7" priority="8" operator="containsText" text="Bra">
      <formula>NOT(ISERROR(SEARCH("Bra",J239)))</formula>
    </cfRule>
    <cfRule type="containsText" dxfId="6" priority="10" operator="containsText" text="Svag">
      <formula>NOT(ISERROR(SEARCH("Svag",J239)))</formula>
    </cfRule>
  </conditionalFormatting>
  <conditionalFormatting sqref="J242:Q242">
    <cfRule type="containsText" dxfId="5" priority="4" operator="containsText" text="Bra">
      <formula>NOT(ISERROR(SEARCH("Bra",J242)))</formula>
    </cfRule>
    <cfRule type="containsText" dxfId="4" priority="5" operator="containsText" text="Tillfredställande">
      <formula>NOT(ISERROR(SEARCH("Tillfredställande",J242)))</formula>
    </cfRule>
    <cfRule type="containsText" dxfId="3" priority="6" operator="containsText" text="Svag">
      <formula>NOT(ISERROR(SEARCH("Svag",J242)))</formula>
    </cfRule>
  </conditionalFormatting>
  <conditionalFormatting sqref="J244:Q244">
    <cfRule type="containsText" dxfId="2" priority="14" operator="containsText" text="Nettoskuldfri">
      <formula>NOT(ISERROR(SEARCH("Nettoskuldfri",J244)))</formula>
    </cfRule>
    <cfRule type="containsText" dxfId="1" priority="16" operator="containsText" text="Bra">
      <formula>NOT(ISERROR(SEARCH("Bra",J244)))</formula>
    </cfRule>
    <cfRule type="containsText" dxfId="0" priority="17" operator="containsText" text="Svag">
      <formula>NOT(ISERROR(SEARCH("Svag",J244)))</formula>
    </cfRule>
  </conditionalFormatting>
  <printOptions horizontalCentered="1"/>
  <pageMargins left="0.23622047244094491" right="0.23622047244094491" top="0.59055118110236227" bottom="0.74803149606299213" header="0.31496062992125984" footer="0.31496062992125984"/>
  <pageSetup paperSize="9" scale="76" orientation="portrait" r:id="rId1"/>
  <rowBreaks count="3" manualBreakCount="3">
    <brk id="81" min="1" max="17" man="1"/>
    <brk id="163" min="1" max="17" man="1"/>
    <brk id="247" min="1" max="1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F52"/>
  <sheetViews>
    <sheetView workbookViewId="0">
      <selection activeCell="C50" sqref="C50:F52"/>
    </sheetView>
  </sheetViews>
  <sheetFormatPr defaultRowHeight="12.45"/>
  <cols>
    <col min="2" max="2" width="25.4609375" customWidth="1"/>
  </cols>
  <sheetData>
    <row r="1" spans="2:6">
      <c r="B1" s="289" t="s">
        <v>94</v>
      </c>
    </row>
    <row r="2" spans="2:6" ht="12.9" thickBot="1">
      <c r="C2" s="287">
        <f>'5. T4 FINANSIERINGSB.'!Q11</f>
        <v>2025</v>
      </c>
      <c r="D2" s="287">
        <f>'5. T4 FINANSIERINGSB.'!R11</f>
        <v>2026</v>
      </c>
      <c r="E2" s="287">
        <f>'5. T4 FINANSIERINGSB.'!S11</f>
        <v>2027</v>
      </c>
      <c r="F2" s="287">
        <f>'5. T4 FINANSIERINGSB.'!T11</f>
        <v>2028</v>
      </c>
    </row>
    <row r="3" spans="2:6">
      <c r="B3" s="448" t="s">
        <v>453</v>
      </c>
      <c r="C3" s="1776">
        <f>'5. T4 FINANSIERINGSB.'!Q13/1000</f>
        <v>0</v>
      </c>
      <c r="D3" s="1776">
        <f>'5. T4 FINANSIERINGSB.'!R13/1000</f>
        <v>0</v>
      </c>
      <c r="E3" s="1776">
        <f>'5. T4 FINANSIERINGSB.'!S13/1000</f>
        <v>0</v>
      </c>
      <c r="F3" s="1776">
        <f>'5. T4 FINANSIERINGSB.'!T13/1000</f>
        <v>0</v>
      </c>
    </row>
    <row r="4" spans="2:6">
      <c r="B4" s="447" t="s">
        <v>544</v>
      </c>
      <c r="C4" s="1776">
        <f>'6. T3 BALANS'!G98/1000</f>
        <v>0</v>
      </c>
      <c r="D4" s="1776">
        <f>'6. T3 BALANS'!H98/1000</f>
        <v>0</v>
      </c>
      <c r="E4" s="1776">
        <f>'6. T3 BALANS'!I98/1000</f>
        <v>0</v>
      </c>
      <c r="F4" s="1776">
        <f>'6. T3 BALANS'!J98/1000</f>
        <v>0</v>
      </c>
    </row>
    <row r="5" spans="2:6">
      <c r="B5" s="449" t="s">
        <v>487</v>
      </c>
      <c r="C5" s="1776">
        <f>'5. T4 FINANSIERINGSB.'!Q16/1000</f>
        <v>0</v>
      </c>
      <c r="D5" s="1776">
        <f>'5. T4 FINANSIERINGSB.'!R16/1000</f>
        <v>0</v>
      </c>
      <c r="E5" s="1776">
        <f>'5. T4 FINANSIERINGSB.'!S16/1000</f>
        <v>0</v>
      </c>
      <c r="F5" s="1776">
        <f>'5. T4 FINANSIERINGSB.'!T16/1000</f>
        <v>0</v>
      </c>
    </row>
    <row r="25" spans="2:6">
      <c r="B25" s="177" t="s">
        <v>95</v>
      </c>
    </row>
    <row r="26" spans="2:6">
      <c r="C26" s="21">
        <f>C2</f>
        <v>2025</v>
      </c>
      <c r="D26" s="21">
        <f>D2</f>
        <v>2026</v>
      </c>
      <c r="E26" s="21">
        <f>E2</f>
        <v>2027</v>
      </c>
      <c r="F26" s="21">
        <f>F2</f>
        <v>2028</v>
      </c>
    </row>
    <row r="27" spans="2:6">
      <c r="B27" s="447" t="s">
        <v>545</v>
      </c>
      <c r="C27" s="1777">
        <f>'5. T4 FINANSIERINGSB.'!Q19</f>
        <v>0</v>
      </c>
      <c r="D27" s="1777">
        <f>'5. T4 FINANSIERINGSB.'!R19</f>
        <v>0</v>
      </c>
      <c r="E27" s="1777">
        <f>'5. T4 FINANSIERINGSB.'!S19</f>
        <v>0</v>
      </c>
      <c r="F27" s="1777">
        <f>'5. T4 FINANSIERINGSB.'!T19</f>
        <v>0</v>
      </c>
    </row>
    <row r="28" spans="2:6">
      <c r="B28" s="447" t="s">
        <v>300</v>
      </c>
      <c r="C28" s="1778">
        <f>'5. T4 FINANSIERINGSB.'!Q24</f>
        <v>0</v>
      </c>
      <c r="D28" s="1778">
        <f>'5. T4 FINANSIERINGSB.'!R24</f>
        <v>0</v>
      </c>
      <c r="E28" s="1778">
        <f>'5. T4 FINANSIERINGSB.'!S24</f>
        <v>0</v>
      </c>
      <c r="F28" s="1778">
        <f>'5. T4 FINANSIERINGSB.'!T24</f>
        <v>0</v>
      </c>
    </row>
    <row r="29" spans="2:6">
      <c r="B29" s="449" t="s">
        <v>488</v>
      </c>
      <c r="C29" s="1778">
        <f>'5. T4 FINANSIERINGSB.'!Q25</f>
        <v>0</v>
      </c>
      <c r="D29" s="1778">
        <f>'5. T4 FINANSIERINGSB.'!R25</f>
        <v>0</v>
      </c>
      <c r="E29" s="1778">
        <f>'5. T4 FINANSIERINGSB.'!S25</f>
        <v>0</v>
      </c>
      <c r="F29" s="1778">
        <f>'5. T4 FINANSIERINGSB.'!T25</f>
        <v>0</v>
      </c>
    </row>
    <row r="30" spans="2:6">
      <c r="B30" s="572" t="str">
        <f>'5. T4 FINANSIERINGSB.'!L21</f>
        <v xml:space="preserve"> Rörelseresultats-%</v>
      </c>
      <c r="C30" s="1779">
        <f>'5. T4 FINANSIERINGSB.'!Q21</f>
        <v>0</v>
      </c>
      <c r="D30" s="1779">
        <f>'5. T4 FINANSIERINGSB.'!R21</f>
        <v>0</v>
      </c>
      <c r="E30" s="1779">
        <f>'5. T4 FINANSIERINGSB.'!S21</f>
        <v>0</v>
      </c>
      <c r="F30" s="1779">
        <f>'5. T4 FINANSIERINGSB.'!T21</f>
        <v>0</v>
      </c>
    </row>
    <row r="48" spans="2:2">
      <c r="B48" s="347" t="s">
        <v>102</v>
      </c>
    </row>
    <row r="49" spans="2:6">
      <c r="C49" s="463">
        <f>'5. T4 FINANSIERINGSB.'!Q11</f>
        <v>2025</v>
      </c>
      <c r="D49" s="463">
        <f>'5. T4 FINANSIERINGSB.'!R11</f>
        <v>2026</v>
      </c>
      <c r="E49" s="463">
        <f>'5. T4 FINANSIERINGSB.'!S11</f>
        <v>2027</v>
      </c>
      <c r="F49" s="463">
        <f>'5. T4 FINANSIERINGSB.'!T11</f>
        <v>2028</v>
      </c>
    </row>
    <row r="50" spans="2:6">
      <c r="B50" s="448" t="s">
        <v>307</v>
      </c>
      <c r="C50" s="1776">
        <f>'5. T4 FINANSIERINGSB.'!Q43/1000</f>
        <v>0</v>
      </c>
      <c r="D50" s="1776">
        <f>'5. T4 FINANSIERINGSB.'!R43/1000</f>
        <v>0</v>
      </c>
      <c r="E50" s="1776">
        <f>'5. T4 FINANSIERINGSB.'!S43/1000</f>
        <v>0</v>
      </c>
      <c r="F50" s="1776">
        <f>'5. T4 FINANSIERINGSB.'!T43/1000</f>
        <v>0</v>
      </c>
    </row>
    <row r="51" spans="2:6">
      <c r="B51" s="447" t="s">
        <v>489</v>
      </c>
      <c r="C51" s="1776">
        <f>-'5. T4 FINANSIERINGSB.'!Q44/1000</f>
        <v>0</v>
      </c>
      <c r="D51" s="1776">
        <f>-'5. T4 FINANSIERINGSB.'!R44/1000</f>
        <v>0</v>
      </c>
      <c r="E51" s="1776">
        <f>-'5. T4 FINANSIERINGSB.'!S44/1000</f>
        <v>0</v>
      </c>
      <c r="F51" s="1776">
        <f>-'5. T4 FINANSIERINGSB.'!T44/1000</f>
        <v>0</v>
      </c>
    </row>
    <row r="52" spans="2:6">
      <c r="B52" s="573" t="s">
        <v>311</v>
      </c>
      <c r="C52" s="1780">
        <f>'5. T4 FINANSIERINGSB.'!Q47/1000</f>
        <v>0</v>
      </c>
      <c r="D52" s="1780">
        <f>'5. T4 FINANSIERINGSB.'!R47/1000</f>
        <v>0</v>
      </c>
      <c r="E52" s="1780">
        <f>'5. T4 FINANSIERINGSB.'!S47/1000</f>
        <v>0</v>
      </c>
      <c r="F52" s="1780">
        <f>'5. T4 FINANSIERINGSB.'!T47/1000</f>
        <v>0</v>
      </c>
    </row>
  </sheetData>
  <sheetProtection algorithmName="SHA-512" hashValue="DObfqfKiOOJ3wo+P/WBTPmTw0AKKlBwX2ZFhyxdYqInZgzuSXhoiKNP6uU3voXF9HxxDfs0VN+wxQ+UMVR7oIA==" saltValue="R0q9/bI80b7n4JW/uOd5TQ==" spinCount="100000" sheet="1" objects="1" scenarios="1" selectLockedCells="1" selectUnlockedCell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152A1"/>
  </sheetPr>
  <dimension ref="A1:T93"/>
  <sheetViews>
    <sheetView showGridLines="0" showZeros="0" defaultGridColor="0" colorId="55" zoomScaleNormal="100" workbookViewId="0">
      <selection activeCell="B7" sqref="B7:D7"/>
    </sheetView>
  </sheetViews>
  <sheetFormatPr defaultRowHeight="12.45"/>
  <cols>
    <col min="1" max="1" width="10.53515625" customWidth="1"/>
    <col min="2" max="2" width="3.69140625" style="41" customWidth="1"/>
    <col min="3" max="3" width="45" customWidth="1"/>
    <col min="4" max="8" width="11" customWidth="1"/>
    <col min="9" max="9" width="5.07421875" customWidth="1"/>
    <col min="10" max="10" width="10.69140625" style="41" customWidth="1"/>
    <col min="11" max="19" width="10.69140625" customWidth="1"/>
  </cols>
  <sheetData>
    <row r="1" spans="1:18" ht="14.15">
      <c r="B1" s="78" t="s">
        <v>0</v>
      </c>
      <c r="I1" s="62"/>
    </row>
    <row r="3" spans="1:18" ht="14.25" customHeight="1">
      <c r="C3" s="25" t="s">
        <v>148</v>
      </c>
      <c r="E3" s="45" t="s">
        <v>149</v>
      </c>
      <c r="N3" s="25" t="str">
        <f>C3</f>
        <v>T1  INVESTERINGSPLAN</v>
      </c>
    </row>
    <row r="4" spans="1:18" ht="14.25" customHeight="1">
      <c r="E4" s="1835">
        <v>0</v>
      </c>
      <c r="F4" s="1835"/>
      <c r="G4" s="77"/>
      <c r="N4" s="1834"/>
      <c r="O4" s="1834"/>
    </row>
    <row r="5" spans="1:18" ht="7.5" customHeight="1" thickBot="1">
      <c r="E5" s="1843"/>
      <c r="F5" s="1844"/>
      <c r="G5" s="41"/>
      <c r="H5" s="25"/>
    </row>
    <row r="6" spans="1:18">
      <c r="B6" s="591" t="s">
        <v>151</v>
      </c>
      <c r="C6" s="592"/>
      <c r="D6" s="593"/>
      <c r="E6" s="595" t="s">
        <v>152</v>
      </c>
      <c r="F6" s="594"/>
      <c r="G6" s="594"/>
      <c r="H6" s="596"/>
      <c r="I6" s="66"/>
      <c r="J6" s="1430" t="s">
        <v>150</v>
      </c>
      <c r="K6" s="1431"/>
      <c r="L6" s="1431"/>
      <c r="M6" s="1431"/>
      <c r="N6" s="1431"/>
      <c r="O6" s="1431"/>
      <c r="P6" s="1431"/>
      <c r="Q6" s="1431"/>
      <c r="R6" s="1432"/>
    </row>
    <row r="7" spans="1:18" s="53" customFormat="1" ht="14.25" customHeight="1">
      <c r="B7" s="1845"/>
      <c r="C7" s="1846"/>
      <c r="D7" s="1847"/>
      <c r="E7" s="1848"/>
      <c r="F7" s="1849"/>
      <c r="G7" s="1849"/>
      <c r="H7" s="1850"/>
      <c r="J7" s="355"/>
      <c r="K7" s="319"/>
      <c r="L7" s="319"/>
      <c r="M7" s="319"/>
      <c r="N7" s="319"/>
      <c r="O7" s="319"/>
      <c r="P7" s="319"/>
      <c r="Q7" s="319"/>
      <c r="R7" s="414"/>
    </row>
    <row r="8" spans="1:18" ht="12.9">
      <c r="B8" s="597" t="s">
        <v>153</v>
      </c>
      <c r="C8" s="64"/>
      <c r="D8" s="65"/>
      <c r="E8" s="251" t="s">
        <v>154</v>
      </c>
      <c r="F8" s="252"/>
      <c r="G8" s="252"/>
      <c r="H8" s="598"/>
      <c r="I8" s="67"/>
      <c r="J8" s="1433"/>
      <c r="K8" s="319"/>
      <c r="L8" s="319"/>
      <c r="M8" s="319"/>
      <c r="N8" s="319"/>
      <c r="O8" s="319"/>
      <c r="P8" s="319"/>
      <c r="Q8" s="319"/>
      <c r="R8" s="414"/>
    </row>
    <row r="9" spans="1:18" s="53" customFormat="1" ht="14.25" customHeight="1">
      <c r="B9" s="1862"/>
      <c r="C9" s="1863"/>
      <c r="D9" s="1864"/>
      <c r="E9" s="1851"/>
      <c r="F9" s="1852"/>
      <c r="G9" s="1852"/>
      <c r="H9" s="1853"/>
      <c r="I9" s="74"/>
      <c r="J9" s="1434"/>
      <c r="K9" s="319"/>
      <c r="L9" s="319"/>
      <c r="M9" s="319"/>
      <c r="N9" s="319"/>
      <c r="O9" s="319"/>
      <c r="P9" s="319"/>
      <c r="Q9" s="319"/>
      <c r="R9" s="414"/>
    </row>
    <row r="10" spans="1:18" s="2" customFormat="1">
      <c r="A10"/>
      <c r="B10" s="597" t="s">
        <v>155</v>
      </c>
      <c r="C10" s="64"/>
      <c r="D10" s="65"/>
      <c r="E10" s="1854" t="s">
        <v>156</v>
      </c>
      <c r="F10" s="1854"/>
      <c r="G10" s="1854"/>
      <c r="H10" s="1855"/>
      <c r="J10" s="1434"/>
      <c r="K10" s="1435"/>
      <c r="L10" s="1435"/>
      <c r="M10" s="1435"/>
      <c r="N10" s="1435"/>
      <c r="O10" s="1435"/>
      <c r="P10" s="1435"/>
      <c r="Q10" s="1435"/>
      <c r="R10" s="1436"/>
    </row>
    <row r="11" spans="1:18" s="53" customFormat="1" ht="14.25" customHeight="1">
      <c r="B11" s="1872">
        <v>0</v>
      </c>
      <c r="C11" s="1873"/>
      <c r="D11" s="1874"/>
      <c r="E11" s="1851"/>
      <c r="F11" s="1852"/>
      <c r="G11" s="1852"/>
      <c r="H11" s="1853"/>
      <c r="I11" s="75"/>
      <c r="J11" s="1434"/>
      <c r="K11" s="319"/>
      <c r="L11" s="319"/>
      <c r="M11" s="319"/>
      <c r="N11" s="319"/>
      <c r="O11" s="319"/>
      <c r="P11" s="319"/>
      <c r="Q11" s="319"/>
      <c r="R11" s="414"/>
    </row>
    <row r="12" spans="1:18" ht="14.25" customHeight="1">
      <c r="B12" s="1872">
        <v>0</v>
      </c>
      <c r="C12" s="1873"/>
      <c r="D12" s="1874"/>
      <c r="E12" s="1854" t="s">
        <v>157</v>
      </c>
      <c r="F12" s="1854"/>
      <c r="G12" s="1854"/>
      <c r="H12" s="1855"/>
      <c r="J12" s="355"/>
      <c r="K12" s="319"/>
      <c r="L12" s="319"/>
      <c r="M12" s="319"/>
      <c r="N12" s="319"/>
      <c r="O12" s="319"/>
      <c r="P12" s="319"/>
      <c r="Q12" s="319"/>
      <c r="R12" s="414"/>
    </row>
    <row r="13" spans="1:18" ht="14.25" customHeight="1" thickBot="1">
      <c r="A13" s="53"/>
      <c r="B13" s="1875">
        <v>0</v>
      </c>
      <c r="C13" s="1876"/>
      <c r="D13" s="1877"/>
      <c r="E13" s="1869"/>
      <c r="F13" s="1870"/>
      <c r="G13" s="1870"/>
      <c r="H13" s="1871"/>
      <c r="I13" s="68"/>
      <c r="J13" s="355"/>
      <c r="K13" s="319"/>
      <c r="L13" s="319"/>
      <c r="M13" s="319"/>
      <c r="N13" s="319"/>
      <c r="O13" s="319"/>
      <c r="P13" s="319"/>
      <c r="Q13" s="319"/>
      <c r="R13" s="414"/>
    </row>
    <row r="14" spans="1:18" ht="6" customHeight="1" thickBot="1">
      <c r="A14" s="2"/>
      <c r="J14" s="394"/>
      <c r="K14" s="178"/>
      <c r="L14" s="178"/>
      <c r="M14" s="178"/>
      <c r="N14" s="178"/>
      <c r="O14" s="178"/>
      <c r="P14" s="178"/>
      <c r="Q14" s="178"/>
      <c r="R14" s="332"/>
    </row>
    <row r="15" spans="1:18" ht="13.5" customHeight="1">
      <c r="B15" s="1865" t="s">
        <v>647</v>
      </c>
      <c r="C15" s="1866"/>
      <c r="D15" s="1458" t="s">
        <v>158</v>
      </c>
      <c r="E15" s="1458" t="s">
        <v>159</v>
      </c>
      <c r="F15" s="1458" t="s">
        <v>160</v>
      </c>
      <c r="G15" s="1459" t="s">
        <v>161</v>
      </c>
      <c r="H15" s="1836" t="s">
        <v>162</v>
      </c>
      <c r="I15" s="63"/>
      <c r="J15" s="1437"/>
      <c r="K15" s="1435"/>
      <c r="L15" s="319"/>
      <c r="M15" s="319"/>
      <c r="N15" s="319"/>
      <c r="O15" s="319"/>
      <c r="P15" s="319"/>
      <c r="Q15" s="319"/>
      <c r="R15" s="414"/>
    </row>
    <row r="16" spans="1:18" ht="13.5" customHeight="1" thickBot="1">
      <c r="B16" s="1867"/>
      <c r="C16" s="1868"/>
      <c r="D16" s="478">
        <v>2025</v>
      </c>
      <c r="E16" s="710">
        <f>D16+1</f>
        <v>2026</v>
      </c>
      <c r="F16" s="710">
        <f>E16+1</f>
        <v>2027</v>
      </c>
      <c r="G16" s="710">
        <f>F16+1</f>
        <v>2028</v>
      </c>
      <c r="H16" s="1837"/>
      <c r="I16" s="63"/>
      <c r="J16" s="1437"/>
      <c r="K16" s="1435"/>
      <c r="L16" s="319"/>
      <c r="M16" s="319"/>
      <c r="N16" s="319"/>
      <c r="O16" s="319"/>
      <c r="P16" s="319"/>
      <c r="Q16" s="319"/>
      <c r="R16" s="414"/>
    </row>
    <row r="17" spans="1:18" ht="13.5" customHeight="1">
      <c r="B17" s="599" t="s">
        <v>2</v>
      </c>
      <c r="C17" s="350" t="s">
        <v>702</v>
      </c>
      <c r="D17" s="680">
        <v>0</v>
      </c>
      <c r="E17" s="680">
        <v>0</v>
      </c>
      <c r="F17" s="680">
        <v>0</v>
      </c>
      <c r="G17" s="680">
        <v>0</v>
      </c>
      <c r="H17" s="681">
        <f>SUM(D17:G17)</f>
        <v>0</v>
      </c>
      <c r="I17" s="69"/>
      <c r="J17" s="355"/>
      <c r="K17" s="319"/>
      <c r="L17" s="319"/>
      <c r="M17" s="319"/>
      <c r="N17" s="319"/>
      <c r="O17" s="319"/>
      <c r="P17" s="319"/>
      <c r="Q17" s="319"/>
      <c r="R17" s="414"/>
    </row>
    <row r="18" spans="1:18" s="4" customFormat="1" ht="13.5" customHeight="1">
      <c r="A18"/>
      <c r="B18" s="588"/>
      <c r="C18" s="196" t="s">
        <v>164</v>
      </c>
      <c r="D18" s="680"/>
      <c r="E18" s="680" t="s">
        <v>0</v>
      </c>
      <c r="F18" s="680"/>
      <c r="G18" s="680"/>
      <c r="H18" s="699"/>
      <c r="I18" s="197"/>
      <c r="J18" s="355"/>
      <c r="K18" s="319"/>
      <c r="L18" s="319"/>
      <c r="M18" s="319"/>
      <c r="N18" s="319"/>
      <c r="O18" s="319"/>
      <c r="P18" s="319"/>
      <c r="Q18" s="319"/>
      <c r="R18" s="414"/>
    </row>
    <row r="19" spans="1:18" s="4" customFormat="1" ht="13.5" customHeight="1">
      <c r="A19"/>
      <c r="B19" s="588"/>
      <c r="C19" s="196" t="s">
        <v>165</v>
      </c>
      <c r="D19" s="358">
        <v>0</v>
      </c>
      <c r="E19" s="358">
        <v>0</v>
      </c>
      <c r="F19" s="358">
        <v>0</v>
      </c>
      <c r="G19" s="358">
        <v>0</v>
      </c>
      <c r="H19" s="699"/>
      <c r="I19" s="197"/>
      <c r="J19" s="355"/>
      <c r="K19" s="319"/>
      <c r="L19" s="319"/>
      <c r="M19" s="319"/>
      <c r="N19" s="319"/>
      <c r="O19" s="319"/>
      <c r="P19" s="319"/>
      <c r="Q19" s="319"/>
      <c r="R19" s="414"/>
    </row>
    <row r="20" spans="1:18" ht="13.5" customHeight="1">
      <c r="B20" s="588" t="s">
        <v>3</v>
      </c>
      <c r="C20" s="351" t="s">
        <v>700</v>
      </c>
      <c r="D20" s="680">
        <v>0</v>
      </c>
      <c r="E20" s="680">
        <v>0</v>
      </c>
      <c r="F20" s="680">
        <v>0</v>
      </c>
      <c r="G20" s="680">
        <v>0</v>
      </c>
      <c r="H20" s="681">
        <f>SUM(D20:G20)</f>
        <v>0</v>
      </c>
      <c r="I20" s="70"/>
      <c r="J20" s="355"/>
      <c r="K20" s="1438"/>
      <c r="L20" s="319"/>
      <c r="M20" s="319"/>
      <c r="N20" s="319"/>
      <c r="O20" s="319"/>
      <c r="P20" s="319"/>
      <c r="Q20" s="319"/>
      <c r="R20" s="414"/>
    </row>
    <row r="21" spans="1:18" s="4" customFormat="1" ht="13.5" customHeight="1">
      <c r="A21"/>
      <c r="B21" s="588"/>
      <c r="C21" s="196" t="s">
        <v>167</v>
      </c>
      <c r="D21" s="638">
        <v>0</v>
      </c>
      <c r="E21" s="638">
        <v>0</v>
      </c>
      <c r="F21" s="638"/>
      <c r="G21" s="638"/>
      <c r="H21" s="699"/>
      <c r="I21" s="200"/>
      <c r="J21" s="355"/>
      <c r="K21" s="1438"/>
      <c r="L21" s="319"/>
      <c r="M21" s="319"/>
      <c r="N21" s="319"/>
      <c r="O21" s="319"/>
      <c r="P21" s="319"/>
      <c r="Q21" s="319"/>
      <c r="R21" s="414"/>
    </row>
    <row r="22" spans="1:18" s="4" customFormat="1" ht="13.5" customHeight="1">
      <c r="A22"/>
      <c r="B22" s="588"/>
      <c r="C22" s="196" t="s">
        <v>168</v>
      </c>
      <c r="D22" s="358">
        <v>0.24</v>
      </c>
      <c r="E22" s="358">
        <v>0.24</v>
      </c>
      <c r="F22" s="358">
        <v>0.24</v>
      </c>
      <c r="G22" s="358">
        <v>0.24</v>
      </c>
      <c r="H22" s="699"/>
      <c r="I22" s="200"/>
      <c r="J22" s="355"/>
      <c r="K22" s="1438"/>
      <c r="L22" s="319"/>
      <c r="M22" s="319"/>
      <c r="N22" s="319"/>
      <c r="O22" s="319"/>
      <c r="P22" s="319"/>
      <c r="Q22" s="319"/>
      <c r="R22" s="414"/>
    </row>
    <row r="23" spans="1:18" s="4" customFormat="1" ht="13.5" customHeight="1">
      <c r="A23"/>
      <c r="B23" s="588"/>
      <c r="C23" s="196" t="s">
        <v>165</v>
      </c>
      <c r="D23" s="358">
        <v>0</v>
      </c>
      <c r="E23" s="358">
        <v>0</v>
      </c>
      <c r="F23" s="358">
        <v>0</v>
      </c>
      <c r="G23" s="358">
        <v>0</v>
      </c>
      <c r="H23" s="699"/>
      <c r="I23" s="200"/>
      <c r="J23" s="355"/>
      <c r="K23" s="1438"/>
      <c r="L23" s="319"/>
      <c r="M23" s="319"/>
      <c r="N23" s="319"/>
      <c r="O23" s="319"/>
      <c r="P23" s="319"/>
      <c r="Q23" s="319"/>
      <c r="R23" s="414"/>
    </row>
    <row r="24" spans="1:18" ht="13.5" customHeight="1">
      <c r="B24" s="588" t="s">
        <v>4</v>
      </c>
      <c r="C24" s="351" t="s">
        <v>701</v>
      </c>
      <c r="D24" s="680">
        <v>0</v>
      </c>
      <c r="E24" s="680">
        <v>0</v>
      </c>
      <c r="F24" s="680">
        <v>0</v>
      </c>
      <c r="G24" s="680">
        <v>0</v>
      </c>
      <c r="H24" s="681">
        <f>SUM(D24:G24)</f>
        <v>0</v>
      </c>
      <c r="I24" s="70"/>
      <c r="J24" s="355"/>
      <c r="K24" s="1438"/>
      <c r="L24" s="319"/>
      <c r="M24" s="319"/>
      <c r="N24" s="319"/>
      <c r="O24" s="319"/>
      <c r="P24" s="319"/>
      <c r="Q24" s="319"/>
      <c r="R24" s="414"/>
    </row>
    <row r="25" spans="1:18" s="4" customFormat="1" ht="13.5" customHeight="1">
      <c r="A25"/>
      <c r="B25" s="588"/>
      <c r="C25" s="196" t="s">
        <v>167</v>
      </c>
      <c r="D25" s="638"/>
      <c r="E25" s="638">
        <v>0</v>
      </c>
      <c r="F25" s="638"/>
      <c r="G25" s="638"/>
      <c r="H25" s="699"/>
      <c r="I25" s="200"/>
      <c r="J25" s="355"/>
      <c r="K25" s="1438"/>
      <c r="L25" s="319"/>
      <c r="M25" s="319"/>
      <c r="N25" s="319"/>
      <c r="O25" s="319"/>
      <c r="P25" s="319"/>
      <c r="Q25" s="319"/>
      <c r="R25" s="414"/>
    </row>
    <row r="26" spans="1:18" s="4" customFormat="1" ht="13.5" customHeight="1">
      <c r="A26"/>
      <c r="B26" s="588"/>
      <c r="C26" s="196" t="s">
        <v>165</v>
      </c>
      <c r="D26" s="358">
        <v>0</v>
      </c>
      <c r="E26" s="358">
        <v>0</v>
      </c>
      <c r="F26" s="358">
        <v>0</v>
      </c>
      <c r="G26" s="358">
        <v>0</v>
      </c>
      <c r="H26" s="699"/>
      <c r="I26" s="200"/>
      <c r="J26" s="355"/>
      <c r="K26" s="1438"/>
      <c r="L26" s="319"/>
      <c r="M26" s="319"/>
      <c r="N26" s="319"/>
      <c r="O26" s="319"/>
      <c r="P26" s="319"/>
      <c r="Q26" s="319"/>
      <c r="R26" s="414"/>
    </row>
    <row r="27" spans="1:18" ht="13.5" customHeight="1">
      <c r="B27" s="588" t="s">
        <v>5</v>
      </c>
      <c r="C27" s="351" t="s">
        <v>170</v>
      </c>
      <c r="D27" s="680">
        <v>0</v>
      </c>
      <c r="E27" s="680">
        <v>0</v>
      </c>
      <c r="F27" s="680">
        <v>0</v>
      </c>
      <c r="G27" s="680">
        <v>0</v>
      </c>
      <c r="H27" s="681">
        <f>SUM(D27:G27)</f>
        <v>0</v>
      </c>
      <c r="I27" s="70"/>
      <c r="J27" s="355"/>
      <c r="K27" s="1438"/>
      <c r="L27" s="319"/>
      <c r="M27" s="319"/>
      <c r="N27" s="319"/>
      <c r="O27" s="319"/>
      <c r="P27" s="319"/>
      <c r="Q27" s="319"/>
      <c r="R27" s="414"/>
    </row>
    <row r="28" spans="1:18" s="4" customFormat="1" ht="13.5" customHeight="1">
      <c r="A28"/>
      <c r="B28" s="588"/>
      <c r="C28" s="196" t="s">
        <v>168</v>
      </c>
      <c r="D28" s="358">
        <v>0.24</v>
      </c>
      <c r="E28" s="358">
        <v>0.24</v>
      </c>
      <c r="F28" s="358">
        <v>0.24</v>
      </c>
      <c r="G28" s="358">
        <v>0.24</v>
      </c>
      <c r="H28" s="699"/>
      <c r="I28" s="200"/>
      <c r="J28" s="355"/>
      <c r="K28" s="1438"/>
      <c r="L28" s="319"/>
      <c r="M28" s="319"/>
      <c r="N28" s="319"/>
      <c r="O28" s="319"/>
      <c r="P28" s="319"/>
      <c r="Q28" s="319"/>
      <c r="R28" s="414"/>
    </row>
    <row r="29" spans="1:18" s="4" customFormat="1" ht="13.5" customHeight="1">
      <c r="A29"/>
      <c r="B29" s="588"/>
      <c r="C29" s="196" t="s">
        <v>165</v>
      </c>
      <c r="D29" s="358">
        <v>0</v>
      </c>
      <c r="E29" s="358">
        <v>0</v>
      </c>
      <c r="F29" s="358">
        <v>0</v>
      </c>
      <c r="G29" s="358">
        <v>0</v>
      </c>
      <c r="H29" s="699"/>
      <c r="I29" s="200"/>
      <c r="J29" s="355"/>
      <c r="K29" s="1438"/>
      <c r="L29" s="319"/>
      <c r="M29" s="1439"/>
      <c r="N29" s="319"/>
      <c r="O29" s="319"/>
      <c r="P29" s="319"/>
      <c r="Q29" s="319"/>
      <c r="R29" s="414"/>
    </row>
    <row r="30" spans="1:18" ht="13.5" customHeight="1">
      <c r="B30" s="588" t="s">
        <v>6</v>
      </c>
      <c r="C30" s="351" t="s">
        <v>532</v>
      </c>
      <c r="D30" s="680">
        <v>0</v>
      </c>
      <c r="E30" s="680">
        <v>0</v>
      </c>
      <c r="F30" s="680">
        <v>0</v>
      </c>
      <c r="G30" s="680">
        <v>0</v>
      </c>
      <c r="H30" s="681">
        <f>SUM(D30:G30)</f>
        <v>0</v>
      </c>
      <c r="I30" s="70"/>
      <c r="J30" s="355"/>
      <c r="K30" s="1438"/>
      <c r="L30" s="319"/>
      <c r="M30" s="319"/>
      <c r="N30" s="319"/>
      <c r="O30" s="319"/>
      <c r="P30" s="319"/>
      <c r="Q30" s="319"/>
      <c r="R30" s="414"/>
    </row>
    <row r="31" spans="1:18" ht="13.5" customHeight="1">
      <c r="B31" s="588"/>
      <c r="C31" s="196" t="s">
        <v>165</v>
      </c>
      <c r="D31" s="358">
        <v>0</v>
      </c>
      <c r="E31" s="358">
        <v>0</v>
      </c>
      <c r="F31" s="358">
        <v>0</v>
      </c>
      <c r="G31" s="358">
        <v>0</v>
      </c>
      <c r="H31" s="700"/>
      <c r="I31" s="70"/>
      <c r="J31" s="355"/>
      <c r="K31" s="1438"/>
      <c r="L31" s="319"/>
      <c r="M31" s="319"/>
      <c r="N31" s="319"/>
      <c r="O31" s="319"/>
      <c r="P31" s="319"/>
      <c r="Q31" s="319"/>
      <c r="R31" s="414"/>
    </row>
    <row r="32" spans="1:18" ht="13.5" customHeight="1">
      <c r="B32" s="588" t="s">
        <v>7</v>
      </c>
      <c r="C32" s="351" t="s">
        <v>533</v>
      </c>
      <c r="D32" s="680">
        <v>0</v>
      </c>
      <c r="E32" s="680">
        <v>0</v>
      </c>
      <c r="F32" s="680">
        <v>0</v>
      </c>
      <c r="G32" s="680">
        <v>0</v>
      </c>
      <c r="H32" s="681">
        <f>SUM(D32:G32)</f>
        <v>0</v>
      </c>
      <c r="I32" s="70"/>
      <c r="J32" s="355"/>
      <c r="K32" s="1438"/>
      <c r="L32" s="319"/>
      <c r="M32" s="319"/>
      <c r="N32" s="319"/>
      <c r="O32" s="319"/>
      <c r="P32" s="319"/>
      <c r="Q32" s="319"/>
      <c r="R32" s="414"/>
    </row>
    <row r="33" spans="1:19" s="4" customFormat="1" ht="13.5" customHeight="1">
      <c r="A33"/>
      <c r="B33" s="588"/>
      <c r="C33" s="196" t="s">
        <v>168</v>
      </c>
      <c r="D33" s="358">
        <v>0.24</v>
      </c>
      <c r="E33" s="358">
        <v>0.24</v>
      </c>
      <c r="F33" s="358">
        <v>0.24</v>
      </c>
      <c r="G33" s="358">
        <v>0.24</v>
      </c>
      <c r="H33" s="699"/>
      <c r="I33" s="200"/>
      <c r="J33" s="355"/>
      <c r="K33" s="1438"/>
      <c r="L33" s="319"/>
      <c r="M33" s="319"/>
      <c r="N33" s="319"/>
      <c r="O33" s="319"/>
      <c r="P33" s="319"/>
      <c r="Q33" s="319"/>
      <c r="R33" s="414"/>
    </row>
    <row r="34" spans="1:19" s="4" customFormat="1" ht="13.5" customHeight="1">
      <c r="A34"/>
      <c r="B34" s="588"/>
      <c r="C34" s="196" t="s">
        <v>165</v>
      </c>
      <c r="D34" s="358">
        <v>0</v>
      </c>
      <c r="E34" s="358">
        <v>0</v>
      </c>
      <c r="F34" s="358">
        <v>0</v>
      </c>
      <c r="G34" s="358">
        <v>0</v>
      </c>
      <c r="H34" s="699"/>
      <c r="I34" s="200"/>
      <c r="J34" s="355"/>
      <c r="K34" s="1438"/>
      <c r="L34" s="319"/>
      <c r="M34" s="319"/>
      <c r="N34" s="319"/>
      <c r="O34" s="319"/>
      <c r="P34" s="319"/>
      <c r="Q34" s="319"/>
      <c r="R34" s="414"/>
    </row>
    <row r="35" spans="1:19" ht="13.5" customHeight="1">
      <c r="B35" s="588" t="s">
        <v>8</v>
      </c>
      <c r="C35" s="351" t="s">
        <v>534</v>
      </c>
      <c r="D35" s="680">
        <v>0</v>
      </c>
      <c r="E35" s="680">
        <v>0</v>
      </c>
      <c r="F35" s="680">
        <v>0</v>
      </c>
      <c r="G35" s="680">
        <v>0</v>
      </c>
      <c r="H35" s="681">
        <f>SUM(D35:G35)</f>
        <v>0</v>
      </c>
      <c r="I35" s="70"/>
      <c r="J35" s="355"/>
      <c r="K35" s="1438"/>
      <c r="L35" s="319"/>
      <c r="M35" s="319"/>
      <c r="N35" s="319"/>
      <c r="O35" s="319"/>
      <c r="P35" s="319"/>
      <c r="Q35" s="319"/>
      <c r="R35" s="414"/>
    </row>
    <row r="36" spans="1:19" s="4" customFormat="1" ht="13.5" customHeight="1">
      <c r="A36"/>
      <c r="B36" s="588"/>
      <c r="C36" s="196" t="s">
        <v>168</v>
      </c>
      <c r="D36" s="358">
        <v>0.24</v>
      </c>
      <c r="E36" s="358">
        <v>0.24</v>
      </c>
      <c r="F36" s="358">
        <v>0.24</v>
      </c>
      <c r="G36" s="358">
        <v>0.24</v>
      </c>
      <c r="H36" s="699"/>
      <c r="I36" s="200"/>
      <c r="J36" s="355"/>
      <c r="K36" s="1438"/>
      <c r="L36" s="319"/>
      <c r="M36" s="319"/>
      <c r="N36" s="319"/>
      <c r="O36" s="319"/>
      <c r="P36" s="319"/>
      <c r="Q36" s="319"/>
      <c r="R36" s="414"/>
    </row>
    <row r="37" spans="1:19" s="4" customFormat="1" ht="13.5" customHeight="1">
      <c r="A37"/>
      <c r="B37" s="588"/>
      <c r="C37" s="196" t="s">
        <v>165</v>
      </c>
      <c r="D37" s="358">
        <v>0</v>
      </c>
      <c r="E37" s="358">
        <v>0</v>
      </c>
      <c r="F37" s="358">
        <v>0</v>
      </c>
      <c r="G37" s="358">
        <v>0</v>
      </c>
      <c r="H37" s="699"/>
      <c r="I37" s="200"/>
      <c r="J37" s="355"/>
      <c r="K37" s="1438"/>
      <c r="L37" s="319"/>
      <c r="M37" s="319"/>
      <c r="N37" s="319"/>
      <c r="O37" s="319"/>
      <c r="P37" s="319"/>
      <c r="Q37" s="319"/>
      <c r="R37" s="414"/>
    </row>
    <row r="38" spans="1:19" s="4" customFormat="1" ht="13.5" customHeight="1">
      <c r="A38"/>
      <c r="B38" s="588" t="s">
        <v>9</v>
      </c>
      <c r="C38" s="196" t="s">
        <v>716</v>
      </c>
      <c r="D38" s="680">
        <v>0</v>
      </c>
      <c r="E38" s="680">
        <v>0</v>
      </c>
      <c r="F38" s="680">
        <v>0</v>
      </c>
      <c r="G38" s="680">
        <v>0</v>
      </c>
      <c r="H38" s="1020">
        <f>SUM(D38:G38)</f>
        <v>0</v>
      </c>
      <c r="I38" s="200"/>
      <c r="J38" s="355"/>
      <c r="K38" s="1438"/>
      <c r="L38" s="319"/>
      <c r="M38" s="319"/>
      <c r="N38" s="319"/>
      <c r="O38" s="319"/>
      <c r="P38" s="319"/>
      <c r="Q38" s="319"/>
      <c r="R38" s="414"/>
    </row>
    <row r="39" spans="1:19" ht="13.5" customHeight="1">
      <c r="B39" s="588" t="s">
        <v>10</v>
      </c>
      <c r="C39" s="351" t="s">
        <v>175</v>
      </c>
      <c r="D39" s="680">
        <v>0</v>
      </c>
      <c r="E39" s="680">
        <v>0</v>
      </c>
      <c r="F39" s="680">
        <v>0</v>
      </c>
      <c r="G39" s="680">
        <v>0</v>
      </c>
      <c r="H39" s="1020">
        <f>SUM(D39:G39)</f>
        <v>0</v>
      </c>
      <c r="I39" s="70"/>
      <c r="J39" s="355"/>
      <c r="K39" s="1438"/>
      <c r="L39" s="319"/>
      <c r="M39" s="319"/>
      <c r="N39" s="319"/>
      <c r="O39" s="319"/>
      <c r="P39" s="319"/>
      <c r="Q39" s="319"/>
      <c r="R39" s="414"/>
    </row>
    <row r="40" spans="1:19" ht="13.5" customHeight="1">
      <c r="B40" s="567" t="s">
        <v>11</v>
      </c>
      <c r="C40" s="351" t="s">
        <v>713</v>
      </c>
      <c r="D40" s="680">
        <v>0</v>
      </c>
      <c r="E40" s="1791">
        <v>0</v>
      </c>
      <c r="F40" s="1791">
        <v>0</v>
      </c>
      <c r="G40" s="1791">
        <v>0</v>
      </c>
      <c r="H40" s="1020">
        <v>0</v>
      </c>
      <c r="I40" s="70"/>
      <c r="J40" s="1782"/>
      <c r="K40" s="1783"/>
      <c r="L40" s="1439"/>
      <c r="M40" s="1439"/>
      <c r="N40" s="1439"/>
      <c r="O40" s="1439"/>
      <c r="P40" s="1439"/>
      <c r="Q40" s="1439"/>
      <c r="R40" s="1784"/>
      <c r="S40" s="1439"/>
    </row>
    <row r="41" spans="1:19" s="4" customFormat="1" ht="13.5" customHeight="1">
      <c r="A41"/>
      <c r="B41" s="567"/>
      <c r="C41" s="196" t="s">
        <v>168</v>
      </c>
      <c r="D41" s="358">
        <v>0.24</v>
      </c>
      <c r="E41" s="1792">
        <v>0</v>
      </c>
      <c r="F41" s="1792">
        <v>0</v>
      </c>
      <c r="G41" s="1792">
        <f>F41</f>
        <v>0</v>
      </c>
      <c r="H41" s="1827"/>
      <c r="I41" s="200"/>
      <c r="J41" s="1782"/>
      <c r="K41" s="1783"/>
      <c r="L41" s="1439"/>
      <c r="M41" s="1439"/>
      <c r="N41" s="1439"/>
      <c r="O41" s="1439"/>
      <c r="P41" s="1439"/>
      <c r="Q41" s="1439"/>
      <c r="R41" s="1784"/>
      <c r="S41" s="1439"/>
    </row>
    <row r="42" spans="1:19" ht="13.5" customHeight="1" thickBot="1">
      <c r="B42" s="1785" t="s">
        <v>41</v>
      </c>
      <c r="C42" s="600" t="s">
        <v>176</v>
      </c>
      <c r="D42" s="682">
        <f>D17+D20+D24+D27+D30+D32+D39+D35+D38</f>
        <v>0</v>
      </c>
      <c r="E42" s="682">
        <f>E17+E20+E24+E27+E30+E32+E39+E35+E38</f>
        <v>0</v>
      </c>
      <c r="F42" s="682">
        <f>F17+F20+F24+F27+F30+F32+F39+F35+F38</f>
        <v>0</v>
      </c>
      <c r="G42" s="682">
        <f>G17+G20+G24+G27+G30+G32+G39+G35+G38</f>
        <v>0</v>
      </c>
      <c r="H42" s="1828">
        <f>SUM(D42:G42)</f>
        <v>0</v>
      </c>
      <c r="I42" s="70"/>
      <c r="J42" s="355"/>
      <c r="K42" s="319"/>
      <c r="L42" s="319"/>
      <c r="M42" s="319"/>
      <c r="N42" s="319"/>
      <c r="O42" s="319"/>
      <c r="P42" s="319"/>
      <c r="Q42" s="319"/>
      <c r="R42" s="414"/>
    </row>
    <row r="43" spans="1:19" ht="3" customHeight="1" thickBot="1">
      <c r="D43" s="41"/>
      <c r="E43" s="41"/>
      <c r="F43" s="41"/>
      <c r="G43" s="41"/>
      <c r="H43" s="683"/>
      <c r="J43" s="1440"/>
      <c r="K43" s="201"/>
      <c r="L43" s="201"/>
      <c r="M43" s="201"/>
      <c r="N43" s="201"/>
      <c r="O43" s="201"/>
      <c r="P43" s="201"/>
      <c r="Q43" s="201"/>
      <c r="R43" s="1429"/>
    </row>
    <row r="44" spans="1:19" ht="13.5" customHeight="1">
      <c r="B44" s="1865" t="s">
        <v>648</v>
      </c>
      <c r="C44" s="1866"/>
      <c r="D44" s="1458" t="s">
        <v>158</v>
      </c>
      <c r="E44" s="1458" t="s">
        <v>159</v>
      </c>
      <c r="F44" s="1458" t="s">
        <v>160</v>
      </c>
      <c r="G44" s="1460" t="s">
        <v>161</v>
      </c>
      <c r="H44" s="1836" t="s">
        <v>162</v>
      </c>
      <c r="J44" s="355"/>
      <c r="K44" s="319"/>
      <c r="L44" s="319"/>
      <c r="M44" s="319"/>
      <c r="N44" s="319"/>
      <c r="O44" s="319"/>
      <c r="P44" s="319"/>
      <c r="Q44" s="319"/>
      <c r="R44" s="414"/>
    </row>
    <row r="45" spans="1:19" ht="13.5" customHeight="1" thickBot="1">
      <c r="B45" s="1867"/>
      <c r="C45" s="1868"/>
      <c r="D45" s="189">
        <f>D16</f>
        <v>2025</v>
      </c>
      <c r="E45" s="189">
        <f>E16</f>
        <v>2026</v>
      </c>
      <c r="F45" s="189">
        <f>F16</f>
        <v>2027</v>
      </c>
      <c r="G45" s="281">
        <f>G16</f>
        <v>2028</v>
      </c>
      <c r="H45" s="1837"/>
      <c r="J45" s="355"/>
      <c r="K45" s="319"/>
      <c r="L45" s="319">
        <v>0</v>
      </c>
      <c r="M45" s="319"/>
      <c r="N45" s="319"/>
      <c r="O45" s="319"/>
      <c r="P45" s="319"/>
      <c r="Q45" s="319"/>
      <c r="R45" s="414"/>
    </row>
    <row r="46" spans="1:19" ht="13.5" customHeight="1">
      <c r="B46" s="1860" t="s">
        <v>177</v>
      </c>
      <c r="C46" s="1861"/>
      <c r="D46" s="279"/>
      <c r="E46" s="279"/>
      <c r="F46" s="279"/>
      <c r="G46" s="280"/>
      <c r="H46" s="601" t="s">
        <v>0</v>
      </c>
      <c r="I46" s="53"/>
      <c r="J46" s="355"/>
      <c r="K46" s="319"/>
      <c r="L46" s="319"/>
      <c r="M46" s="319"/>
      <c r="N46" s="319"/>
      <c r="O46" s="319"/>
      <c r="P46" s="319"/>
      <c r="Q46" s="319"/>
      <c r="R46" s="414"/>
    </row>
    <row r="47" spans="1:19" ht="13.5" customHeight="1">
      <c r="B47" s="602" t="s">
        <v>42</v>
      </c>
      <c r="C47" s="4" t="s">
        <v>178</v>
      </c>
      <c r="D47" s="686"/>
      <c r="E47" s="686"/>
      <c r="F47" s="686"/>
      <c r="G47" s="687"/>
      <c r="H47" s="688"/>
      <c r="I47" s="53"/>
      <c r="J47" s="355"/>
      <c r="K47" s="319"/>
      <c r="L47" s="319"/>
      <c r="M47" s="319"/>
      <c r="N47" s="319"/>
      <c r="O47" s="319"/>
      <c r="P47" s="319"/>
      <c r="Q47" s="319"/>
      <c r="R47" s="414"/>
    </row>
    <row r="48" spans="1:19" ht="13.5" customHeight="1">
      <c r="B48" s="603"/>
      <c r="C48" s="509" t="s">
        <v>179</v>
      </c>
      <c r="D48" s="689">
        <v>0</v>
      </c>
      <c r="E48" s="689">
        <v>0</v>
      </c>
      <c r="F48" s="689">
        <v>0</v>
      </c>
      <c r="G48" s="689">
        <v>0</v>
      </c>
      <c r="H48" s="690">
        <f>SUM(D48:G48)</f>
        <v>0</v>
      </c>
      <c r="I48" s="71"/>
      <c r="J48" s="355"/>
      <c r="K48" s="319"/>
      <c r="L48" s="319"/>
      <c r="M48" s="319"/>
      <c r="N48" s="319"/>
      <c r="O48" s="319"/>
      <c r="P48" s="319"/>
      <c r="Q48" s="319"/>
      <c r="R48" s="414"/>
    </row>
    <row r="49" spans="2:20" ht="13.5" customHeight="1">
      <c r="B49" s="603"/>
      <c r="C49" s="509" t="s">
        <v>180</v>
      </c>
      <c r="D49" s="689">
        <v>0</v>
      </c>
      <c r="E49" s="689">
        <v>0</v>
      </c>
      <c r="F49" s="689">
        <v>0</v>
      </c>
      <c r="G49" s="689">
        <v>0</v>
      </c>
      <c r="H49" s="690">
        <f>SUM(D49:G49)</f>
        <v>0</v>
      </c>
      <c r="I49" s="71"/>
      <c r="J49" s="355">
        <v>0</v>
      </c>
      <c r="K49" s="319"/>
      <c r="L49" s="319"/>
      <c r="M49" s="319"/>
      <c r="N49" s="319"/>
      <c r="O49" s="319"/>
      <c r="P49" s="319"/>
      <c r="Q49" s="319"/>
      <c r="R49" s="414"/>
    </row>
    <row r="50" spans="2:20" ht="13.5" customHeight="1">
      <c r="B50" s="604" t="s">
        <v>141</v>
      </c>
      <c r="C50" s="353" t="s">
        <v>181</v>
      </c>
      <c r="D50" s="691">
        <f>D62-D61-D60-D58-D56-D55-D52-D51-D48-D57-D49-D59</f>
        <v>0</v>
      </c>
      <c r="E50" s="691">
        <f t="shared" ref="E50:G50" si="0">E62-E61-E60-E58-E56-E55-E52-E51-E48-E57-E49-E59</f>
        <v>0</v>
      </c>
      <c r="F50" s="691">
        <f t="shared" si="0"/>
        <v>0</v>
      </c>
      <c r="G50" s="691">
        <f t="shared" si="0"/>
        <v>0</v>
      </c>
      <c r="H50" s="690">
        <f>SUM(D50:G50)</f>
        <v>0</v>
      </c>
      <c r="I50" s="70"/>
      <c r="J50" s="1441" t="str">
        <f>IF(D50&lt;0,"LÄG TILL SIFFRAN PÅ RADEN 9 Ökning av rörelsekapital!",IF(E50&lt;0,"LÄG TILL SIFFRAN PÅ RADEN 9 Ökning av rörelsekapital!",IF(F50&lt;0,"LÄG TILL SIFFRAN PÅ RADEN 9 Ökning av rörelsekapital!",IF(G50&lt;0,"LÄG TILL SIFFRAN PÅ RADEN 9 Ökning av rörelsekapital!",""))))</f>
        <v/>
      </c>
      <c r="K50" s="318"/>
      <c r="L50" s="318"/>
      <c r="M50" s="318"/>
      <c r="N50" s="318"/>
      <c r="O50" s="318"/>
      <c r="P50" s="318"/>
      <c r="Q50" s="318"/>
      <c r="R50" s="543"/>
    </row>
    <row r="51" spans="2:20" ht="13.5" customHeight="1">
      <c r="B51" s="604" t="s">
        <v>43</v>
      </c>
      <c r="C51" s="353" t="s">
        <v>182</v>
      </c>
      <c r="D51" s="689">
        <v>0</v>
      </c>
      <c r="E51" s="689">
        <v>0</v>
      </c>
      <c r="F51" s="689">
        <v>0</v>
      </c>
      <c r="G51" s="689">
        <v>0</v>
      </c>
      <c r="H51" s="690">
        <f>SUM(D51:G51)</f>
        <v>0</v>
      </c>
      <c r="I51" s="72"/>
      <c r="J51" s="1442"/>
      <c r="K51" s="319"/>
      <c r="L51" s="319"/>
      <c r="M51" s="319"/>
      <c r="N51" s="319"/>
      <c r="O51" s="319"/>
      <c r="P51" s="319"/>
      <c r="Q51" s="319"/>
      <c r="R51" s="414"/>
    </row>
    <row r="52" spans="2:20" ht="13.5" customHeight="1">
      <c r="B52" s="604" t="s">
        <v>714</v>
      </c>
      <c r="C52" s="354" t="s">
        <v>183</v>
      </c>
      <c r="D52" s="689">
        <v>0</v>
      </c>
      <c r="E52" s="689">
        <v>0</v>
      </c>
      <c r="F52" s="689">
        <v>0</v>
      </c>
      <c r="G52" s="692">
        <v>0</v>
      </c>
      <c r="H52" s="690">
        <f>SUM(D52:G52)</f>
        <v>0</v>
      </c>
      <c r="I52" s="70"/>
      <c r="J52" s="445" t="str">
        <f>IF(D$52&gt;0,"Om egendom eller placeringar säljes, lägg till beloppet i T3 BALANS/AKTIVA 'Minskning under räkenskapsperioden'!",IF(E52&gt;0,"Om egendom eller placeringar säljes, lägg till beloppet i T3 BALANS/AKTIVA 'Minskning under räkenskapsperioden'!",IF(F52&gt;0,"Om egendom eller placeringar säljes, lägg till beloppet i T3 BALANS/AKTIVA 'Minskning under räkenskapsperioden'!",IF(G52&gt;0,"Om egendom eller placeringar säljes, lägg till beloppet i T3 BALANS/AKTIVA 'Minskning under räkenskapsperioden'!",""))))</f>
        <v/>
      </c>
      <c r="K52" s="160"/>
      <c r="L52" s="160"/>
      <c r="M52" s="160"/>
      <c r="N52" s="160"/>
      <c r="O52" s="160"/>
      <c r="P52" s="160"/>
      <c r="Q52" s="160"/>
      <c r="R52" s="438"/>
    </row>
    <row r="53" spans="2:20" ht="13.5" customHeight="1">
      <c r="B53" s="1858" t="s">
        <v>184</v>
      </c>
      <c r="C53" s="1859"/>
      <c r="D53" s="693"/>
      <c r="E53" s="693"/>
      <c r="F53" s="693"/>
      <c r="G53" s="694"/>
      <c r="H53" s="695"/>
      <c r="J53" s="1841" t="s">
        <v>510</v>
      </c>
      <c r="K53" s="1842"/>
      <c r="L53" s="1443" t="s">
        <v>511</v>
      </c>
      <c r="M53" s="1435" t="s">
        <v>525</v>
      </c>
      <c r="N53" s="1435" t="s">
        <v>512</v>
      </c>
      <c r="O53" s="319"/>
      <c r="P53" s="319"/>
      <c r="Q53" s="319"/>
      <c r="R53" s="414"/>
      <c r="S53" s="178"/>
      <c r="T53" s="178"/>
    </row>
    <row r="54" spans="2:20" ht="13.5" customHeight="1">
      <c r="B54" s="602" t="s">
        <v>0</v>
      </c>
      <c r="C54" s="4" t="s">
        <v>185</v>
      </c>
      <c r="D54" s="686"/>
      <c r="E54" s="686"/>
      <c r="F54" s="686"/>
      <c r="G54" s="687"/>
      <c r="H54" s="688"/>
      <c r="J54" s="1523" t="str">
        <f>C55</f>
        <v xml:space="preserve">Finnvera </v>
      </c>
      <c r="K54" s="621"/>
      <c r="L54" s="622">
        <v>0</v>
      </c>
      <c r="M54" s="638">
        <v>0</v>
      </c>
      <c r="N54" s="1838"/>
      <c r="O54" s="1839"/>
      <c r="P54" s="1839"/>
      <c r="Q54" s="1839"/>
      <c r="R54" s="1840"/>
      <c r="S54" s="178"/>
      <c r="T54" s="178"/>
    </row>
    <row r="55" spans="2:20" ht="13.5" customHeight="1">
      <c r="B55" s="603" t="s">
        <v>45</v>
      </c>
      <c r="C55" s="352" t="s">
        <v>56</v>
      </c>
      <c r="D55" s="689">
        <v>0</v>
      </c>
      <c r="E55" s="689">
        <v>0</v>
      </c>
      <c r="F55" s="689">
        <v>0</v>
      </c>
      <c r="G55" s="692">
        <v>0</v>
      </c>
      <c r="H55" s="690">
        <f t="shared" ref="H55:H62" si="1">SUM(D55:G55)</f>
        <v>0</v>
      </c>
      <c r="I55" s="70"/>
      <c r="J55" s="1523" t="str">
        <f>C56</f>
        <v>Bank</v>
      </c>
      <c r="K55" s="621"/>
      <c r="L55" s="622">
        <v>0</v>
      </c>
      <c r="M55" s="638">
        <v>0</v>
      </c>
      <c r="N55" s="623"/>
      <c r="O55" s="624"/>
      <c r="P55" s="624"/>
      <c r="Q55" s="624"/>
      <c r="R55" s="1444"/>
      <c r="S55" s="178"/>
      <c r="T55" s="178"/>
    </row>
    <row r="56" spans="2:20" ht="13.5" customHeight="1">
      <c r="B56" s="604" t="s">
        <v>46</v>
      </c>
      <c r="C56" s="354" t="s">
        <v>538</v>
      </c>
      <c r="D56" s="689">
        <v>0</v>
      </c>
      <c r="E56" s="689">
        <v>0</v>
      </c>
      <c r="F56" s="689">
        <v>0</v>
      </c>
      <c r="G56" s="692">
        <v>0</v>
      </c>
      <c r="H56" s="690">
        <f t="shared" si="1"/>
        <v>0</v>
      </c>
      <c r="I56" s="70"/>
      <c r="J56" s="1832" t="s">
        <v>513</v>
      </c>
      <c r="K56" s="1833"/>
      <c r="L56" s="622"/>
      <c r="M56" s="638"/>
      <c r="N56" s="623"/>
      <c r="O56" s="624"/>
      <c r="P56" s="624"/>
      <c r="Q56" s="624"/>
      <c r="R56" s="1444"/>
      <c r="S56" s="178"/>
      <c r="T56" s="178"/>
    </row>
    <row r="57" spans="2:20" ht="13.5" customHeight="1">
      <c r="B57" s="604" t="s">
        <v>47</v>
      </c>
      <c r="C57" s="354" t="s">
        <v>499</v>
      </c>
      <c r="D57" s="689">
        <v>0</v>
      </c>
      <c r="E57" s="689">
        <v>0</v>
      </c>
      <c r="F57" s="689">
        <v>0</v>
      </c>
      <c r="G57" s="692">
        <v>0</v>
      </c>
      <c r="H57" s="681">
        <f t="shared" si="1"/>
        <v>0</v>
      </c>
      <c r="I57" s="70"/>
      <c r="J57" s="1832" t="s">
        <v>514</v>
      </c>
      <c r="K57" s="1833"/>
      <c r="L57" s="622">
        <v>0</v>
      </c>
      <c r="M57" s="638"/>
      <c r="N57" s="623"/>
      <c r="O57" s="624"/>
      <c r="P57" s="624"/>
      <c r="Q57" s="624"/>
      <c r="R57" s="1444"/>
      <c r="S57" s="178"/>
      <c r="T57" s="178"/>
    </row>
    <row r="58" spans="2:20" ht="13.5" customHeight="1">
      <c r="B58" s="604" t="s">
        <v>48</v>
      </c>
      <c r="C58" s="611" t="s">
        <v>535</v>
      </c>
      <c r="D58" s="689">
        <v>0</v>
      </c>
      <c r="E58" s="689">
        <v>0</v>
      </c>
      <c r="F58" s="689">
        <v>0</v>
      </c>
      <c r="G58" s="692">
        <v>0</v>
      </c>
      <c r="H58" s="690">
        <f t="shared" si="1"/>
        <v>0</v>
      </c>
      <c r="I58" s="73"/>
      <c r="J58" s="445" t="str">
        <f>IF(D58&gt;0,"TILLÄGG LEASINGKOSTNADERNA I TABELL E1 KOSTANER RAD 63!",IF(E58&gt;0,"TILLÄGG LEASINGKOSTNADERNA  I TABELL E1 KOSTANER RAD 63!",IF(F58&gt;0,"TILLÄGG LEASINGKOSTNADERNA  I TABELL E1 KOSTANER RAD 63!",IF(G58&gt;0,"TILLÄGG LEASINGKOSTNADERNA I TABELL E1 KOSTANER I TABELL  RAD 63!",""))))</f>
        <v/>
      </c>
      <c r="K58" s="160"/>
      <c r="L58" s="160"/>
      <c r="M58" s="160"/>
      <c r="N58" s="160"/>
      <c r="O58" s="160"/>
      <c r="P58" s="160"/>
      <c r="Q58" s="160"/>
      <c r="R58" s="438"/>
    </row>
    <row r="59" spans="2:20" ht="13.5" customHeight="1">
      <c r="B59" s="610" t="s">
        <v>18</v>
      </c>
      <c r="C59" s="611" t="s">
        <v>536</v>
      </c>
      <c r="D59" s="689">
        <v>0</v>
      </c>
      <c r="E59" s="689"/>
      <c r="F59" s="689"/>
      <c r="G59" s="692"/>
      <c r="H59" s="696">
        <f t="shared" ref="H59" si="2">SUM(D59:G59)</f>
        <v>0</v>
      </c>
      <c r="I59" s="73"/>
      <c r="J59" s="445" t="str">
        <f>IF(D59&gt;0,"TILLÄGG LEASINGKOSTNADERNA I TABELL E1 KOSTNADER RAD 125!",IF(E59&gt;0,"TILLÄGG LEASINGKOSTNADERNA I TABELL E1 KOSTNADER RAD 125!",IF(F59&gt;0,"TILLÄGG LEASINGKOSTNADERNA I TABELL E1 KOSTNADER RAD 125!",IF(G59&gt;0,"TILLÄGG LEASINGKOSTNADERNA I TABELL E1 KOSTNADER RAD 125!",""))))</f>
        <v/>
      </c>
      <c r="K59" s="160"/>
      <c r="L59" s="160"/>
      <c r="M59" s="160"/>
      <c r="N59" s="160"/>
      <c r="O59" s="160"/>
      <c r="P59" s="160"/>
      <c r="Q59" s="160"/>
      <c r="R59" s="438"/>
      <c r="S59" s="160"/>
      <c r="T59" s="160"/>
    </row>
    <row r="60" spans="2:20" ht="13.5" customHeight="1">
      <c r="B60" s="604" t="s">
        <v>494</v>
      </c>
      <c r="C60" s="353" t="s">
        <v>186</v>
      </c>
      <c r="D60" s="697">
        <f>'Avustus, alv'!D49</f>
        <v>0</v>
      </c>
      <c r="E60" s="697">
        <f>'Avustus, alv'!E49</f>
        <v>0</v>
      </c>
      <c r="F60" s="697">
        <f>'Avustus, alv'!F49</f>
        <v>0</v>
      </c>
      <c r="G60" s="697">
        <f>'Avustus, alv'!G49</f>
        <v>0</v>
      </c>
      <c r="H60" s="690">
        <f t="shared" si="1"/>
        <v>0</v>
      </c>
      <c r="I60" s="70"/>
      <c r="J60" s="355"/>
      <c r="K60" s="319"/>
      <c r="L60" s="319"/>
      <c r="M60" s="319"/>
      <c r="N60" s="319"/>
      <c r="O60" s="319"/>
      <c r="P60" s="319"/>
      <c r="Q60" s="319"/>
      <c r="R60" s="414"/>
    </row>
    <row r="61" spans="2:20" ht="13.5" customHeight="1">
      <c r="B61" s="604" t="s">
        <v>495</v>
      </c>
      <c r="C61" s="353" t="s">
        <v>502</v>
      </c>
      <c r="D61" s="697">
        <f>'Avustus, alv'!D50</f>
        <v>0</v>
      </c>
      <c r="E61" s="697">
        <f>'Avustus, alv'!E50</f>
        <v>0</v>
      </c>
      <c r="F61" s="697">
        <f>'Avustus, alv'!F50</f>
        <v>0</v>
      </c>
      <c r="G61" s="697">
        <f>'Avustus, alv'!G50</f>
        <v>0</v>
      </c>
      <c r="H61" s="690">
        <f t="shared" si="1"/>
        <v>0</v>
      </c>
      <c r="I61" s="70"/>
      <c r="J61" s="355"/>
      <c r="K61" s="319"/>
      <c r="L61" s="319"/>
      <c r="M61" s="319"/>
      <c r="N61" s="319"/>
      <c r="O61" s="319"/>
      <c r="P61" s="319"/>
      <c r="Q61" s="319"/>
      <c r="R61" s="414"/>
    </row>
    <row r="62" spans="2:20" ht="13.5" customHeight="1">
      <c r="B62" s="1786" t="s">
        <v>518</v>
      </c>
      <c r="C62" s="629" t="s">
        <v>188</v>
      </c>
      <c r="D62" s="223">
        <f>D42</f>
        <v>0</v>
      </c>
      <c r="E62" s="223">
        <f>E42</f>
        <v>0</v>
      </c>
      <c r="F62" s="223">
        <f>F42</f>
        <v>0</v>
      </c>
      <c r="G62" s="223">
        <f>G42</f>
        <v>0</v>
      </c>
      <c r="H62" s="698">
        <f t="shared" si="1"/>
        <v>0</v>
      </c>
      <c r="I62" s="70"/>
      <c r="J62" s="1437"/>
      <c r="K62" s="319"/>
      <c r="L62" s="319"/>
      <c r="M62" s="319"/>
      <c r="N62" s="319"/>
      <c r="O62" s="319"/>
      <c r="P62" s="319"/>
      <c r="Q62" s="319"/>
      <c r="R62" s="414"/>
    </row>
    <row r="63" spans="2:20" ht="15" customHeight="1" thickBot="1">
      <c r="B63" s="1787" t="s">
        <v>519</v>
      </c>
      <c r="C63" s="630" t="s">
        <v>189</v>
      </c>
      <c r="D63" s="684"/>
      <c r="E63" s="684"/>
      <c r="F63" s="684"/>
      <c r="G63" s="684"/>
      <c r="H63" s="685">
        <v>0</v>
      </c>
      <c r="I63" s="70"/>
      <c r="J63" s="446"/>
      <c r="K63" s="416"/>
      <c r="L63" s="416"/>
      <c r="M63" s="416"/>
      <c r="N63" s="416"/>
      <c r="O63" s="416"/>
      <c r="P63" s="416"/>
      <c r="Q63" s="416"/>
      <c r="R63" s="417"/>
    </row>
    <row r="64" spans="2:20" ht="3" customHeight="1"/>
    <row r="65" spans="2:8">
      <c r="C65" s="52"/>
      <c r="D65" s="605" t="str">
        <f>IF(D50&lt;0,"13. INTERNFINANSIERING ÅTMINSTONE 0 EURO!",IF(E50&lt;0,"13. INTERNFINANSIERING ÅTMINSTONE 0 EURO!",IF(F50&lt;0,"13. INTERNFINANSIERING ÅTMINSTONE 0 EURO!",IF(G50&lt;0,"13. INTERNFINANSIERING ÅTMINSTONE 0 EURO!",""))))</f>
        <v/>
      </c>
      <c r="E65" s="52"/>
      <c r="F65" s="52"/>
      <c r="G65" s="52"/>
      <c r="H65" s="87"/>
    </row>
    <row r="66" spans="2:8">
      <c r="B66" s="1856" t="str">
        <f>STARTSIDAN!$G$7</f>
        <v>Tjänsten erbjuds av: Dynamo Närpes och Kristinestads näringslivscentral</v>
      </c>
      <c r="C66" s="1856"/>
      <c r="D66" s="1856"/>
      <c r="E66" s="1856"/>
      <c r="F66" s="1857" t="str">
        <f>STARTSIDAN!$G$26</f>
        <v xml:space="preserve">FT6 Det nya företagets resultatplan </v>
      </c>
      <c r="G66" s="1857"/>
      <c r="H66" s="1857"/>
    </row>
    <row r="67" spans="2:8">
      <c r="B67" s="76"/>
    </row>
    <row r="68" spans="2:8">
      <c r="B68" s="369" t="s">
        <v>190</v>
      </c>
    </row>
    <row r="69" spans="2:8">
      <c r="B69" s="52" t="s">
        <v>191</v>
      </c>
    </row>
    <row r="70" spans="2:8">
      <c r="B70" s="52" t="s">
        <v>192</v>
      </c>
    </row>
    <row r="93" spans="3:3">
      <c r="C93" s="18"/>
    </row>
  </sheetData>
  <sheetProtection algorithmName="SHA-512" hashValue="zZ3q3WG59vjYyyaSLx3I6gfnlOvsG9s/yHjuozWwkQc6yUVSXnM4stS+O4BxfslIYGbla7WBJdegZGto4xmBhA==" saltValue="pJBCTBP8Zr4F6NXpsSx9iQ==" spinCount="100000" sheet="1" objects="1" scenarios="1"/>
  <mergeCells count="26">
    <mergeCell ref="B66:E66"/>
    <mergeCell ref="F66:H66"/>
    <mergeCell ref="B53:C53"/>
    <mergeCell ref="B46:C46"/>
    <mergeCell ref="B9:D9"/>
    <mergeCell ref="B15:C16"/>
    <mergeCell ref="B44:C45"/>
    <mergeCell ref="E12:H12"/>
    <mergeCell ref="E13:H13"/>
    <mergeCell ref="B11:D11"/>
    <mergeCell ref="B12:D12"/>
    <mergeCell ref="B13:D13"/>
    <mergeCell ref="B7:D7"/>
    <mergeCell ref="E7:H7"/>
    <mergeCell ref="E9:H9"/>
    <mergeCell ref="E11:H11"/>
    <mergeCell ref="E10:H10"/>
    <mergeCell ref="J56:K56"/>
    <mergeCell ref="J57:K57"/>
    <mergeCell ref="N4:O4"/>
    <mergeCell ref="E4:F4"/>
    <mergeCell ref="H44:H45"/>
    <mergeCell ref="H15:H16"/>
    <mergeCell ref="N54:R54"/>
    <mergeCell ref="J53:K53"/>
    <mergeCell ref="E5:F5"/>
  </mergeCells>
  <printOptions horizontalCentered="1"/>
  <pageMargins left="0.23622047244094491" right="0.23622047244094491" top="0.74803149606299213" bottom="0.74803149606299213" header="0.31496062992125984" footer="0.31496062992125984"/>
  <pageSetup paperSize="9" scale="90" orientation="portrait" verticalDpi="4" r:id="rId1"/>
  <colBreaks count="1" manualBreakCount="1">
    <brk id="8" min="1" max="6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152A1"/>
  </sheetPr>
  <dimension ref="A1:S55"/>
  <sheetViews>
    <sheetView showGridLines="0" showZeros="0" defaultGridColor="0" colorId="55" zoomScaleNormal="100" workbookViewId="0">
      <selection activeCell="B13" sqref="B13"/>
    </sheetView>
  </sheetViews>
  <sheetFormatPr defaultRowHeight="12.45"/>
  <cols>
    <col min="1" max="1" width="10.53515625" customWidth="1"/>
    <col min="2" max="2" width="24.84375" customWidth="1"/>
    <col min="3" max="3" width="9.53515625" customWidth="1"/>
    <col min="4" max="4" width="6.84375" customWidth="1"/>
    <col min="5" max="5" width="6.07421875" customWidth="1"/>
    <col min="6" max="7" width="9.53515625" customWidth="1"/>
    <col min="8" max="8" width="8.84375" customWidth="1"/>
    <col min="9" max="10" width="9.53515625" customWidth="1"/>
    <col min="11" max="11" width="8.84375" customWidth="1"/>
    <col min="12" max="13" width="9.53515625" customWidth="1"/>
    <col min="14" max="14" width="8.69140625" customWidth="1"/>
    <col min="15" max="16" width="9.53515625" customWidth="1"/>
    <col min="17" max="17" width="8.69140625" customWidth="1"/>
    <col min="18" max="18" width="4.4609375" customWidth="1"/>
  </cols>
  <sheetData>
    <row r="1" spans="1:19">
      <c r="A1" s="366"/>
    </row>
    <row r="2" spans="1:19" ht="14.15">
      <c r="A2" s="367"/>
      <c r="B2" s="83"/>
      <c r="C2" s="1"/>
      <c r="D2" s="1"/>
      <c r="E2" s="99"/>
      <c r="F2" s="98"/>
      <c r="G2" s="98"/>
      <c r="H2" s="1"/>
      <c r="I2" s="1"/>
      <c r="J2" s="1"/>
      <c r="K2" s="1"/>
      <c r="L2" s="1"/>
      <c r="M2" s="1"/>
      <c r="N2" s="62" t="s">
        <v>0</v>
      </c>
      <c r="O2" s="1"/>
      <c r="P2" s="1"/>
      <c r="Q2" s="62" t="s">
        <v>0</v>
      </c>
    </row>
    <row r="3" spans="1:19" ht="14.15">
      <c r="A3" s="367"/>
      <c r="B3" s="99" t="s">
        <v>666</v>
      </c>
      <c r="D3" s="89"/>
      <c r="E3" s="89"/>
      <c r="F3" s="76"/>
      <c r="G3" s="1"/>
      <c r="H3" s="1"/>
      <c r="I3" s="1"/>
      <c r="J3" s="1"/>
      <c r="K3" s="1"/>
      <c r="L3" s="1"/>
      <c r="M3" s="1"/>
      <c r="N3" s="1"/>
      <c r="O3" s="1"/>
      <c r="P3" s="1"/>
      <c r="Q3" s="1"/>
    </row>
    <row r="4" spans="1:19">
      <c r="A4" s="368"/>
      <c r="B4" s="1"/>
      <c r="D4" s="707" t="s">
        <v>0</v>
      </c>
      <c r="E4" s="176"/>
      <c r="F4" s="1729"/>
      <c r="G4" s="1"/>
      <c r="I4" s="1"/>
      <c r="J4" s="1"/>
      <c r="K4" s="1"/>
      <c r="L4" s="1"/>
      <c r="M4" s="1"/>
      <c r="N4" s="1"/>
      <c r="O4" s="1"/>
      <c r="P4" s="1"/>
      <c r="Q4" s="1"/>
    </row>
    <row r="5" spans="1:19" s="52" customFormat="1" ht="16.5" customHeight="1">
      <c r="B5" s="45" t="s">
        <v>151</v>
      </c>
      <c r="D5" s="49"/>
      <c r="E5" s="49"/>
      <c r="F5" s="49"/>
      <c r="G5" s="45"/>
      <c r="I5" s="45" t="s">
        <v>149</v>
      </c>
      <c r="J5" s="49"/>
      <c r="K5" s="45"/>
      <c r="L5" s="45" t="s">
        <v>0</v>
      </c>
      <c r="M5" s="45"/>
      <c r="N5" s="1881"/>
      <c r="O5" s="1881"/>
      <c r="P5" s="1881"/>
      <c r="Q5" s="1881"/>
    </row>
    <row r="6" spans="1:19">
      <c r="B6" s="1880">
        <f>'7. T2 RESULTATB.'!B5:D5</f>
        <v>0</v>
      </c>
      <c r="C6" s="1880"/>
      <c r="D6" s="1880"/>
      <c r="F6" s="1727"/>
      <c r="G6" s="44"/>
      <c r="I6" s="1900">
        <f>'1. T1 INVESTERINGSP.'!E4</f>
        <v>0</v>
      </c>
      <c r="J6" s="1900"/>
      <c r="K6" s="708"/>
      <c r="L6" s="708"/>
      <c r="M6" s="708"/>
      <c r="N6" s="1728"/>
      <c r="O6" s="709"/>
      <c r="P6" s="709"/>
      <c r="Q6" s="709"/>
    </row>
    <row r="7" spans="1:19" ht="9" customHeight="1">
      <c r="B7" s="1"/>
      <c r="C7" s="1"/>
      <c r="D7" s="1"/>
      <c r="E7" s="1"/>
      <c r="F7" s="1"/>
      <c r="G7" s="1"/>
      <c r="H7" s="1"/>
      <c r="I7" s="1"/>
      <c r="J7" s="1"/>
      <c r="K7" s="1"/>
      <c r="L7" s="1"/>
      <c r="M7" s="1"/>
      <c r="N7" s="1"/>
      <c r="O7" s="1"/>
      <c r="P7" s="1"/>
      <c r="Q7" s="1"/>
    </row>
    <row r="8" spans="1:19" s="53" customFormat="1" ht="6" customHeight="1" thickBot="1">
      <c r="A8"/>
      <c r="B8" s="202"/>
      <c r="C8" s="1730"/>
      <c r="D8" s="202"/>
      <c r="E8" s="202"/>
      <c r="F8" s="1731"/>
      <c r="G8" s="1731"/>
      <c r="H8" s="1731"/>
      <c r="I8" s="1731"/>
      <c r="J8" s="1731"/>
      <c r="K8" s="1731"/>
      <c r="L8" s="1731"/>
      <c r="M8" s="1731"/>
      <c r="N8" s="1731"/>
      <c r="O8" s="1731"/>
      <c r="P8" s="1731"/>
      <c r="Q8" s="1731"/>
    </row>
    <row r="9" spans="1:19" s="53" customFormat="1" ht="12.75" customHeight="1">
      <c r="B9" s="1461" t="s">
        <v>561</v>
      </c>
      <c r="C9" s="1887" t="s">
        <v>650</v>
      </c>
      <c r="D9" s="1887" t="s">
        <v>649</v>
      </c>
      <c r="E9" s="1884" t="s">
        <v>357</v>
      </c>
      <c r="F9" s="1878" t="str">
        <f>'1. T1 INVESTERINGSP.'!D15</f>
        <v>Prognos 1</v>
      </c>
      <c r="G9" s="1879"/>
      <c r="H9" s="1879"/>
      <c r="I9" s="1893" t="str">
        <f>'1. T1 INVESTERINGSP.'!E15</f>
        <v>Prognos 2</v>
      </c>
      <c r="J9" s="1879"/>
      <c r="K9" s="1879"/>
      <c r="L9" s="1878" t="str">
        <f>'1. T1 INVESTERINGSP.'!F15</f>
        <v>Prognos 3</v>
      </c>
      <c r="M9" s="1879"/>
      <c r="N9" s="1894"/>
      <c r="O9" s="1895" t="s">
        <v>161</v>
      </c>
      <c r="P9" s="1896"/>
      <c r="Q9" s="1897"/>
    </row>
    <row r="10" spans="1:19" s="53" customFormat="1" ht="12.75" customHeight="1">
      <c r="B10" s="1462" t="s">
        <v>560</v>
      </c>
      <c r="C10" s="1888"/>
      <c r="D10" s="1888"/>
      <c r="E10" s="1885"/>
      <c r="F10" s="1882">
        <f>'1. T1 INVESTERINGSP.'!D16</f>
        <v>2025</v>
      </c>
      <c r="G10" s="1883"/>
      <c r="H10" s="1883"/>
      <c r="I10" s="1882">
        <f>'1. T1 INVESTERINGSP.'!E16</f>
        <v>2026</v>
      </c>
      <c r="J10" s="1883"/>
      <c r="K10" s="1883"/>
      <c r="L10" s="1890">
        <f>'1. T1 INVESTERINGSP.'!F16</f>
        <v>2027</v>
      </c>
      <c r="M10" s="1891"/>
      <c r="N10" s="1892"/>
      <c r="O10" s="1898">
        <f>'1. T1 INVESTERINGSP.'!G16</f>
        <v>2028</v>
      </c>
      <c r="P10" s="1883"/>
      <c r="Q10" s="1899"/>
    </row>
    <row r="11" spans="1:19" s="53" customFormat="1" ht="12.75" customHeight="1" thickBot="1">
      <c r="B11" s="554" t="s">
        <v>185</v>
      </c>
      <c r="C11" s="1889"/>
      <c r="D11" s="1889"/>
      <c r="E11" s="1886"/>
      <c r="F11" s="555" t="s">
        <v>358</v>
      </c>
      <c r="G11" s="556" t="s">
        <v>359</v>
      </c>
      <c r="H11" s="557" t="s">
        <v>354</v>
      </c>
      <c r="I11" s="555" t="s">
        <v>358</v>
      </c>
      <c r="J11" s="556" t="s">
        <v>359</v>
      </c>
      <c r="K11" s="557" t="s">
        <v>354</v>
      </c>
      <c r="L11" s="555" t="s">
        <v>358</v>
      </c>
      <c r="M11" s="556" t="s">
        <v>359</v>
      </c>
      <c r="N11" s="557" t="s">
        <v>354</v>
      </c>
      <c r="O11" s="555" t="s">
        <v>358</v>
      </c>
      <c r="P11" s="556" t="s">
        <v>359</v>
      </c>
      <c r="Q11" s="557" t="s">
        <v>354</v>
      </c>
    </row>
    <row r="12" spans="1:19" s="53" customFormat="1" ht="13.5" customHeight="1">
      <c r="B12" s="701" t="s">
        <v>575</v>
      </c>
      <c r="C12" s="702"/>
      <c r="D12" s="703"/>
      <c r="E12" s="703"/>
      <c r="F12" s="704"/>
      <c r="G12" s="704"/>
      <c r="H12" s="704"/>
      <c r="I12" s="704"/>
      <c r="J12" s="704"/>
      <c r="K12" s="704"/>
      <c r="L12" s="704"/>
      <c r="M12" s="704"/>
      <c r="N12" s="704"/>
      <c r="O12" s="704"/>
      <c r="P12" s="704"/>
      <c r="Q12" s="705"/>
    </row>
    <row r="13" spans="1:19" s="53" customFormat="1" ht="12.75" customHeight="1">
      <c r="B13" s="386" t="s">
        <v>576</v>
      </c>
      <c r="C13" s="689"/>
      <c r="D13" s="387"/>
      <c r="E13" s="1209"/>
      <c r="F13" s="1206">
        <f>C13</f>
        <v>0</v>
      </c>
      <c r="G13" s="1210">
        <v>0</v>
      </c>
      <c r="H13" s="1017">
        <f>'AT2 Lainat, sotum., alv'!O8</f>
        <v>0</v>
      </c>
      <c r="I13" s="1024">
        <v>0</v>
      </c>
      <c r="J13" s="1210">
        <f>G13</f>
        <v>0</v>
      </c>
      <c r="K13" s="1017">
        <f>'AT2 Lainat, sotum., alv'!U8</f>
        <v>0</v>
      </c>
      <c r="L13" s="1024">
        <v>0</v>
      </c>
      <c r="M13" s="1210">
        <f t="shared" ref="M13:M20" si="0">J13</f>
        <v>0</v>
      </c>
      <c r="N13" s="696">
        <f>'AT2 Lainat, sotum., alv'!AA8</f>
        <v>0</v>
      </c>
      <c r="O13" s="1024">
        <v>0</v>
      </c>
      <c r="P13" s="1210">
        <f t="shared" ref="P13:P25" si="1">M13</f>
        <v>0</v>
      </c>
      <c r="Q13" s="696">
        <f>'AT2 Lainat, sotum., alv'!AG8</f>
        <v>0</v>
      </c>
      <c r="S13" s="101"/>
    </row>
    <row r="14" spans="1:19" s="53" customFormat="1" ht="12.75" customHeight="1">
      <c r="B14" s="386" t="s">
        <v>0</v>
      </c>
      <c r="C14" s="689"/>
      <c r="D14" s="387"/>
      <c r="E14" s="1209"/>
      <c r="F14" s="1206">
        <f>C14</f>
        <v>0</v>
      </c>
      <c r="G14" s="1210">
        <v>0</v>
      </c>
      <c r="H14" s="1017">
        <f>'AT2 Lainat, sotum., alv'!O9</f>
        <v>0</v>
      </c>
      <c r="I14" s="1024"/>
      <c r="J14" s="1210">
        <f>G14</f>
        <v>0</v>
      </c>
      <c r="K14" s="1017">
        <f>'AT2 Lainat, sotum., alv'!U9</f>
        <v>0</v>
      </c>
      <c r="L14" s="1024"/>
      <c r="M14" s="1210">
        <f t="shared" si="0"/>
        <v>0</v>
      </c>
      <c r="N14" s="696">
        <f>'AT2 Lainat, sotum., alv'!AA9</f>
        <v>0</v>
      </c>
      <c r="O14" s="1024"/>
      <c r="P14" s="1210">
        <f t="shared" si="1"/>
        <v>0</v>
      </c>
      <c r="Q14" s="696">
        <f>'AT2 Lainat, sotum., alv'!AG9</f>
        <v>0</v>
      </c>
      <c r="S14" s="101"/>
    </row>
    <row r="15" spans="1:19" s="53" customFormat="1" ht="12.75" customHeight="1">
      <c r="B15" s="1708" t="s">
        <v>0</v>
      </c>
      <c r="C15" s="689"/>
      <c r="D15" s="387"/>
      <c r="E15" s="1209"/>
      <c r="F15" s="1206">
        <f>C15</f>
        <v>0</v>
      </c>
      <c r="G15" s="1210">
        <v>0</v>
      </c>
      <c r="H15" s="1017">
        <f>'AT2 Lainat, sotum., alv'!O10</f>
        <v>0</v>
      </c>
      <c r="I15" s="1024"/>
      <c r="J15" s="1210">
        <f>G15</f>
        <v>0</v>
      </c>
      <c r="K15" s="1017">
        <f>'AT2 Lainat, sotum., alv'!U10</f>
        <v>0</v>
      </c>
      <c r="L15" s="1024"/>
      <c r="M15" s="1210">
        <f t="shared" si="0"/>
        <v>0</v>
      </c>
      <c r="N15" s="696">
        <f>'AT2 Lainat, sotum., alv'!AA10</f>
        <v>0</v>
      </c>
      <c r="O15" s="1024"/>
      <c r="P15" s="1210">
        <f t="shared" si="1"/>
        <v>0</v>
      </c>
      <c r="Q15" s="696">
        <f>'AT2 Lainat, sotum., alv'!AG10</f>
        <v>0</v>
      </c>
      <c r="S15" s="101"/>
    </row>
    <row r="16" spans="1:19" s="53" customFormat="1" ht="12.75" customHeight="1" thickBot="1">
      <c r="B16" s="1708" t="s">
        <v>0</v>
      </c>
      <c r="C16" s="689"/>
      <c r="D16" s="387"/>
      <c r="E16" s="1209"/>
      <c r="F16" s="1206">
        <f>C16</f>
        <v>0</v>
      </c>
      <c r="G16" s="1210">
        <v>0</v>
      </c>
      <c r="H16" s="1017">
        <f>'AT2 Lainat, sotum., alv'!O11</f>
        <v>0</v>
      </c>
      <c r="I16" s="1024"/>
      <c r="J16" s="1210">
        <f>G16</f>
        <v>0</v>
      </c>
      <c r="K16" s="1017">
        <f>'AT2 Lainat, sotum., alv'!U11</f>
        <v>0</v>
      </c>
      <c r="L16" s="1024"/>
      <c r="M16" s="1210">
        <f t="shared" si="0"/>
        <v>0</v>
      </c>
      <c r="N16" s="696">
        <f>'AT2 Lainat, sotum., alv'!AA11</f>
        <v>0</v>
      </c>
      <c r="O16" s="1024"/>
      <c r="P16" s="1210">
        <f t="shared" si="1"/>
        <v>0</v>
      </c>
      <c r="Q16" s="696">
        <f>'AT2 Lainat, sotum., alv'!AG11</f>
        <v>0</v>
      </c>
      <c r="S16" s="101"/>
    </row>
    <row r="17" spans="1:19" s="53" customFormat="1" ht="12.75" customHeight="1">
      <c r="A17"/>
      <c r="B17" s="701" t="s">
        <v>577</v>
      </c>
      <c r="C17" s="702"/>
      <c r="D17" s="703"/>
      <c r="E17" s="703"/>
      <c r="F17" s="704"/>
      <c r="G17" s="704"/>
      <c r="H17" s="704"/>
      <c r="I17" s="704"/>
      <c r="J17" s="704"/>
      <c r="K17" s="704"/>
      <c r="L17" s="704"/>
      <c r="M17" s="704"/>
      <c r="N17" s="704"/>
      <c r="O17" s="704"/>
      <c r="P17" s="704"/>
      <c r="Q17" s="705"/>
    </row>
    <row r="18" spans="1:19" s="53" customFormat="1" ht="12.75" customHeight="1">
      <c r="B18" s="386" t="s">
        <v>694</v>
      </c>
      <c r="C18" s="689"/>
      <c r="D18" s="387"/>
      <c r="E18" s="1209"/>
      <c r="F18" s="1024"/>
      <c r="G18" s="1211"/>
      <c r="H18" s="1017"/>
      <c r="I18" s="1206">
        <f>C18</f>
        <v>0</v>
      </c>
      <c r="J18" s="1210">
        <v>0</v>
      </c>
      <c r="K18" s="1017">
        <f>'AT2 Lainat, sotum., alv'!U12</f>
        <v>0</v>
      </c>
      <c r="L18" s="1024"/>
      <c r="M18" s="1210">
        <f t="shared" si="0"/>
        <v>0</v>
      </c>
      <c r="N18" s="696">
        <f>'AT2 Lainat, sotum., alv'!AA12</f>
        <v>0</v>
      </c>
      <c r="O18" s="1024"/>
      <c r="P18" s="1210">
        <f t="shared" si="1"/>
        <v>0</v>
      </c>
      <c r="Q18" s="696">
        <f>'AT2 Lainat, sotum., alv'!AG12</f>
        <v>0</v>
      </c>
      <c r="S18" s="101"/>
    </row>
    <row r="19" spans="1:19" s="53" customFormat="1" ht="12.75" customHeight="1">
      <c r="B19" s="386" t="s">
        <v>0</v>
      </c>
      <c r="C19" s="689"/>
      <c r="D19" s="387"/>
      <c r="E19" s="1209"/>
      <c r="F19" s="1024"/>
      <c r="G19" s="1211"/>
      <c r="H19" s="1017"/>
      <c r="I19" s="1206">
        <f>C19</f>
        <v>0</v>
      </c>
      <c r="J19" s="1210">
        <v>0</v>
      </c>
      <c r="K19" s="1017">
        <f>'AT2 Lainat, sotum., alv'!U13</f>
        <v>0</v>
      </c>
      <c r="L19" s="1024"/>
      <c r="M19" s="1210">
        <f t="shared" si="0"/>
        <v>0</v>
      </c>
      <c r="N19" s="696">
        <f>'AT2 Lainat, sotum., alv'!AA13</f>
        <v>0</v>
      </c>
      <c r="O19" s="1024"/>
      <c r="P19" s="1210">
        <f t="shared" si="1"/>
        <v>0</v>
      </c>
      <c r="Q19" s="696">
        <f>'AT2 Lainat, sotum., alv'!AG13</f>
        <v>0</v>
      </c>
      <c r="S19" s="101"/>
    </row>
    <row r="20" spans="1:19" s="53" customFormat="1" ht="12.75" customHeight="1">
      <c r="B20" s="386" t="s">
        <v>0</v>
      </c>
      <c r="C20" s="689"/>
      <c r="D20" s="387"/>
      <c r="E20" s="1209"/>
      <c r="F20" s="1024"/>
      <c r="G20" s="1211"/>
      <c r="H20" s="1017"/>
      <c r="I20" s="1206">
        <f>C20</f>
        <v>0</v>
      </c>
      <c r="J20" s="1210">
        <v>0</v>
      </c>
      <c r="K20" s="1017">
        <f>'AT2 Lainat, sotum., alv'!U14</f>
        <v>0</v>
      </c>
      <c r="L20" s="1024"/>
      <c r="M20" s="1210">
        <f t="shared" si="0"/>
        <v>0</v>
      </c>
      <c r="N20" s="696">
        <f>'AT2 Lainat, sotum., alv'!AA14</f>
        <v>0</v>
      </c>
      <c r="O20" s="1024"/>
      <c r="P20" s="1210">
        <f t="shared" si="1"/>
        <v>0</v>
      </c>
      <c r="Q20" s="696">
        <f>'AT2 Lainat, sotum., alv'!AG14</f>
        <v>0</v>
      </c>
      <c r="S20" s="101"/>
    </row>
    <row r="21" spans="1:19" s="53" customFormat="1" ht="12.75" customHeight="1" thickBot="1">
      <c r="A21" s="2"/>
      <c r="B21" s="386" t="s">
        <v>0</v>
      </c>
      <c r="C21" s="689"/>
      <c r="D21" s="387"/>
      <c r="E21" s="1209"/>
      <c r="F21" s="1024"/>
      <c r="G21" s="1211"/>
      <c r="H21" s="1017"/>
      <c r="I21" s="1206">
        <f>C21</f>
        <v>0</v>
      </c>
      <c r="J21" s="1210">
        <v>0</v>
      </c>
      <c r="K21" s="1017">
        <f>'AT2 Lainat, sotum., alv'!U15</f>
        <v>0</v>
      </c>
      <c r="L21" s="1024"/>
      <c r="M21" s="1210">
        <f>J21</f>
        <v>0</v>
      </c>
      <c r="N21" s="696">
        <f>'AT2 Lainat, sotum., alv'!AA15</f>
        <v>0</v>
      </c>
      <c r="O21" s="1024"/>
      <c r="P21" s="1210">
        <f>M21</f>
        <v>0</v>
      </c>
      <c r="Q21" s="696">
        <f>'AT2 Lainat, sotum., alv'!AG15</f>
        <v>0</v>
      </c>
      <c r="S21" s="101"/>
    </row>
    <row r="22" spans="1:19" s="53" customFormat="1" ht="12.75" customHeight="1">
      <c r="B22" s="701" t="s">
        <v>578</v>
      </c>
      <c r="C22" s="702"/>
      <c r="D22" s="703"/>
      <c r="E22" s="703"/>
      <c r="F22" s="704"/>
      <c r="G22" s="704"/>
      <c r="H22" s="704"/>
      <c r="I22" s="704"/>
      <c r="J22" s="704"/>
      <c r="K22" s="704"/>
      <c r="L22" s="704"/>
      <c r="M22" s="704"/>
      <c r="N22" s="704"/>
      <c r="O22" s="704"/>
      <c r="P22" s="704"/>
      <c r="Q22" s="705"/>
    </row>
    <row r="23" spans="1:19" s="53" customFormat="1" ht="12.75" customHeight="1">
      <c r="B23" s="386" t="s">
        <v>695</v>
      </c>
      <c r="C23" s="689"/>
      <c r="D23" s="387"/>
      <c r="E23" s="1209"/>
      <c r="F23" s="1024"/>
      <c r="G23" s="1211"/>
      <c r="H23" s="1017"/>
      <c r="I23" s="1024"/>
      <c r="J23" s="1211"/>
      <c r="K23" s="1017"/>
      <c r="L23" s="1206">
        <f>C23</f>
        <v>0</v>
      </c>
      <c r="M23" s="1210">
        <v>0</v>
      </c>
      <c r="N23" s="696">
        <f>'AT2 Lainat, sotum., alv'!AA16</f>
        <v>0</v>
      </c>
      <c r="O23" s="1024"/>
      <c r="P23" s="1210">
        <f t="shared" si="1"/>
        <v>0</v>
      </c>
      <c r="Q23" s="696">
        <f>'AT2 Lainat, sotum., alv'!AG16</f>
        <v>0</v>
      </c>
      <c r="S23" s="101"/>
    </row>
    <row r="24" spans="1:19" s="53" customFormat="1" ht="12.75" customHeight="1">
      <c r="B24" s="386" t="s">
        <v>0</v>
      </c>
      <c r="C24" s="689"/>
      <c r="D24" s="387"/>
      <c r="E24" s="1209"/>
      <c r="F24" s="1024"/>
      <c r="G24" s="1211"/>
      <c r="H24" s="1017"/>
      <c r="I24" s="1024"/>
      <c r="J24" s="1211"/>
      <c r="K24" s="1017"/>
      <c r="L24" s="1206">
        <f>C24</f>
        <v>0</v>
      </c>
      <c r="M24" s="1210">
        <v>0</v>
      </c>
      <c r="N24" s="696">
        <f>'AT2 Lainat, sotum., alv'!AA17</f>
        <v>0</v>
      </c>
      <c r="O24" s="1024"/>
      <c r="P24" s="1210">
        <f t="shared" si="1"/>
        <v>0</v>
      </c>
      <c r="Q24" s="696">
        <f>'AT2 Lainat, sotum., alv'!AG17</f>
        <v>0</v>
      </c>
      <c r="S24" s="101"/>
    </row>
    <row r="25" spans="1:19" s="53" customFormat="1" ht="12.75" customHeight="1">
      <c r="B25" s="1708" t="s">
        <v>0</v>
      </c>
      <c r="C25" s="689"/>
      <c r="D25" s="387"/>
      <c r="E25" s="1209"/>
      <c r="F25" s="1024">
        <v>0</v>
      </c>
      <c r="G25" s="1212"/>
      <c r="H25" s="1213"/>
      <c r="I25" s="1024"/>
      <c r="J25" s="1211"/>
      <c r="K25" s="1017"/>
      <c r="L25" s="1206">
        <f>C25</f>
        <v>0</v>
      </c>
      <c r="M25" s="1210">
        <v>0</v>
      </c>
      <c r="N25" s="696">
        <f>'AT2 Lainat, sotum., alv'!AA18</f>
        <v>0</v>
      </c>
      <c r="O25" s="1024">
        <v>0</v>
      </c>
      <c r="P25" s="1210">
        <f t="shared" si="1"/>
        <v>0</v>
      </c>
      <c r="Q25" s="696">
        <f>'AT2 Lainat, sotum., alv'!AG18</f>
        <v>0</v>
      </c>
      <c r="S25" s="101"/>
    </row>
    <row r="26" spans="1:19" s="53" customFormat="1" ht="12.75" customHeight="1" thickBot="1">
      <c r="B26" s="386" t="s">
        <v>0</v>
      </c>
      <c r="C26" s="689"/>
      <c r="D26" s="387"/>
      <c r="E26" s="1209"/>
      <c r="F26" s="1024"/>
      <c r="G26" s="1212"/>
      <c r="H26" s="1214"/>
      <c r="I26" s="1024"/>
      <c r="J26" s="1211"/>
      <c r="K26" s="1017"/>
      <c r="L26" s="1206">
        <f>C26</f>
        <v>0</v>
      </c>
      <c r="M26" s="1210">
        <v>0</v>
      </c>
      <c r="N26" s="696">
        <f>'AT2 Lainat, sotum., alv'!AA19</f>
        <v>0</v>
      </c>
      <c r="O26" s="1024"/>
      <c r="P26" s="1210">
        <f>M26</f>
        <v>0</v>
      </c>
      <c r="Q26" s="696">
        <f>'AT2 Lainat, sotum., alv'!AG19</f>
        <v>0</v>
      </c>
      <c r="S26" s="101"/>
    </row>
    <row r="27" spans="1:19" s="53" customFormat="1" ht="12.75" customHeight="1">
      <c r="B27" s="701" t="s">
        <v>579</v>
      </c>
      <c r="C27" s="702"/>
      <c r="D27" s="703"/>
      <c r="E27" s="703"/>
      <c r="F27" s="704"/>
      <c r="G27" s="704"/>
      <c r="H27" s="706"/>
      <c r="I27" s="704"/>
      <c r="J27" s="704"/>
      <c r="K27" s="704"/>
      <c r="L27" s="704"/>
      <c r="M27" s="704"/>
      <c r="N27" s="704"/>
      <c r="O27" s="704"/>
      <c r="P27" s="704"/>
      <c r="Q27" s="705"/>
    </row>
    <row r="28" spans="1:19" s="53" customFormat="1" ht="12.75" customHeight="1">
      <c r="B28" s="386" t="s">
        <v>696</v>
      </c>
      <c r="C28" s="680"/>
      <c r="D28" s="380"/>
      <c r="E28" s="1215"/>
      <c r="F28" s="1024">
        <v>0</v>
      </c>
      <c r="G28" s="1212"/>
      <c r="H28" s="1213"/>
      <c r="I28" s="1024">
        <v>0</v>
      </c>
      <c r="J28" s="1212">
        <v>0</v>
      </c>
      <c r="K28" s="1017"/>
      <c r="L28" s="1024">
        <v>0</v>
      </c>
      <c r="M28" s="1211"/>
      <c r="N28" s="696"/>
      <c r="O28" s="1025">
        <f>C28</f>
        <v>0</v>
      </c>
      <c r="P28" s="1210">
        <v>0</v>
      </c>
      <c r="Q28" s="696">
        <f>'AT2 Lainat, sotum., alv'!AG20</f>
        <v>0</v>
      </c>
      <c r="S28" s="101"/>
    </row>
    <row r="29" spans="1:19" s="53" customFormat="1" ht="12.75" customHeight="1">
      <c r="B29" s="386">
        <v>0</v>
      </c>
      <c r="C29" s="689"/>
      <c r="D29" s="387"/>
      <c r="E29" s="1209"/>
      <c r="F29" s="1024"/>
      <c r="G29" s="1212"/>
      <c r="H29" s="1213"/>
      <c r="I29" s="1024"/>
      <c r="J29" s="1212"/>
      <c r="K29" s="1017"/>
      <c r="L29" s="1024"/>
      <c r="M29" s="1211"/>
      <c r="N29" s="696"/>
      <c r="O29" s="1025">
        <f>C29</f>
        <v>0</v>
      </c>
      <c r="P29" s="1210">
        <v>0</v>
      </c>
      <c r="Q29" s="696">
        <f>'AT2 Lainat, sotum., alv'!AG21</f>
        <v>0</v>
      </c>
      <c r="S29" s="101"/>
    </row>
    <row r="30" spans="1:19" s="53" customFormat="1" ht="12.75" customHeight="1">
      <c r="B30" s="386" t="s">
        <v>0</v>
      </c>
      <c r="C30" s="689"/>
      <c r="D30" s="387"/>
      <c r="E30" s="1209"/>
      <c r="F30" s="1216"/>
      <c r="G30" s="197"/>
      <c r="H30" s="1217"/>
      <c r="I30" s="1216"/>
      <c r="J30" s="197"/>
      <c r="K30" s="1218"/>
      <c r="L30" s="1216"/>
      <c r="M30" s="1004"/>
      <c r="N30" s="1219"/>
      <c r="O30" s="1025">
        <f>C30</f>
        <v>0</v>
      </c>
      <c r="P30" s="1220">
        <v>0</v>
      </c>
      <c r="Q30" s="696">
        <f>'AT2 Lainat, sotum., alv'!AG22</f>
        <v>0</v>
      </c>
      <c r="S30" s="101"/>
    </row>
    <row r="31" spans="1:19" s="53" customFormat="1" ht="12.75" customHeight="1" thickBot="1">
      <c r="B31" s="391" t="s">
        <v>0</v>
      </c>
      <c r="C31" s="1221"/>
      <c r="D31" s="388"/>
      <c r="E31" s="1222"/>
      <c r="F31" s="1223">
        <v>0</v>
      </c>
      <c r="G31" s="1224"/>
      <c r="H31" s="1225"/>
      <c r="I31" s="1223">
        <v>0</v>
      </c>
      <c r="J31" s="1224"/>
      <c r="K31" s="1226"/>
      <c r="L31" s="1223">
        <v>0</v>
      </c>
      <c r="M31" s="1224"/>
      <c r="N31" s="1227"/>
      <c r="O31" s="1228">
        <f>C31</f>
        <v>0</v>
      </c>
      <c r="P31" s="1229">
        <v>0</v>
      </c>
      <c r="Q31" s="1227">
        <f>'AT2 Lainat, sotum., alv'!AG23</f>
        <v>0</v>
      </c>
      <c r="S31" s="101"/>
    </row>
    <row r="32" spans="1:19" s="53" customFormat="1" ht="12.75" customHeight="1" thickTop="1" thickBot="1">
      <c r="B32" s="1463" t="s">
        <v>580</v>
      </c>
      <c r="C32" s="1230">
        <f>SUM(C13:C31)</f>
        <v>0</v>
      </c>
      <c r="D32" s="1231"/>
      <c r="E32" s="1231"/>
      <c r="F32" s="1232">
        <f t="shared" ref="F32:Q32" si="2">SUM(F13:F31)</f>
        <v>0</v>
      </c>
      <c r="G32" s="1230">
        <f t="shared" si="2"/>
        <v>0</v>
      </c>
      <c r="H32" s="1233">
        <f t="shared" si="2"/>
        <v>0</v>
      </c>
      <c r="I32" s="1232">
        <f t="shared" si="2"/>
        <v>0</v>
      </c>
      <c r="J32" s="1233">
        <f t="shared" si="2"/>
        <v>0</v>
      </c>
      <c r="K32" s="1234">
        <f t="shared" si="2"/>
        <v>0</v>
      </c>
      <c r="L32" s="1232">
        <f t="shared" si="2"/>
        <v>0</v>
      </c>
      <c r="M32" s="1230">
        <f t="shared" si="2"/>
        <v>0</v>
      </c>
      <c r="N32" s="1235">
        <f t="shared" si="2"/>
        <v>0</v>
      </c>
      <c r="O32" s="1236">
        <f t="shared" si="2"/>
        <v>0</v>
      </c>
      <c r="P32" s="1230">
        <f t="shared" si="2"/>
        <v>0</v>
      </c>
      <c r="Q32" s="1235">
        <f t="shared" si="2"/>
        <v>0</v>
      </c>
    </row>
    <row r="33" spans="1:19" s="53" customFormat="1" ht="12.75" customHeight="1">
      <c r="B33" s="389" t="s">
        <v>581</v>
      </c>
      <c r="C33" s="1237"/>
      <c r="D33" s="390"/>
      <c r="E33" s="1238"/>
      <c r="F33" s="1239">
        <f>C33</f>
        <v>0</v>
      </c>
      <c r="G33" s="1240">
        <f>'AT2 Lainat, sotum., alv'!L32</f>
        <v>0</v>
      </c>
      <c r="H33" s="1241">
        <f>'AT2 Lainat, sotum., alv'!O32</f>
        <v>0</v>
      </c>
      <c r="I33" s="1242"/>
      <c r="J33" s="1243">
        <f>'AT2 Lainat, sotum., alv'!R32</f>
        <v>0</v>
      </c>
      <c r="K33" s="1244">
        <f>'AT2 Lainat, sotum., alv'!U32</f>
        <v>0</v>
      </c>
      <c r="L33" s="1245"/>
      <c r="M33" s="1243">
        <f>'AT2 Lainat, sotum., alv'!X32</f>
        <v>0</v>
      </c>
      <c r="N33" s="1246">
        <f>'AT2 Lainat, sotum., alv'!AA32</f>
        <v>0</v>
      </c>
      <c r="O33" s="1247"/>
      <c r="P33" s="1243">
        <f>'AT2 Lainat, sotum., alv'!AD32</f>
        <v>0</v>
      </c>
      <c r="Q33" s="1246">
        <f>'AT2 Lainat, sotum., alv'!AG32</f>
        <v>0</v>
      </c>
      <c r="S33" s="101"/>
    </row>
    <row r="34" spans="1:19" s="53" customFormat="1" ht="12.75" customHeight="1">
      <c r="A34" s="577"/>
      <c r="B34" s="389" t="s">
        <v>0</v>
      </c>
      <c r="C34" s="680"/>
      <c r="D34" s="380"/>
      <c r="E34" s="1215"/>
      <c r="F34" s="1248"/>
      <c r="G34" s="1249"/>
      <c r="H34" s="1250"/>
      <c r="I34" s="1206">
        <f>C34</f>
        <v>0</v>
      </c>
      <c r="J34" s="1251">
        <f>'AT2 Lainat, sotum., alv'!R35</f>
        <v>0</v>
      </c>
      <c r="K34" s="696">
        <f>'AT2 Lainat, sotum., alv'!U35</f>
        <v>0</v>
      </c>
      <c r="L34" s="1252">
        <v>0</v>
      </c>
      <c r="M34" s="1251">
        <f>'AT2 Lainat, sotum., alv'!X35</f>
        <v>0</v>
      </c>
      <c r="N34" s="696">
        <f>'AT2 Lainat, sotum., alv'!AA35</f>
        <v>0</v>
      </c>
      <c r="O34" s="1253">
        <v>0</v>
      </c>
      <c r="P34" s="1251">
        <f>IF(I34=0,0,'AT2 Lainat, sotum., alv'!AD35)</f>
        <v>0</v>
      </c>
      <c r="Q34" s="696">
        <f>'AT2 Lainat, sotum., alv'!AG35</f>
        <v>0</v>
      </c>
      <c r="S34" s="101"/>
    </row>
    <row r="35" spans="1:19" s="53" customFormat="1" ht="12.75" customHeight="1">
      <c r="B35" s="389" t="s">
        <v>0</v>
      </c>
      <c r="C35" s="680"/>
      <c r="D35" s="380"/>
      <c r="E35" s="1215"/>
      <c r="F35" s="1254"/>
      <c r="G35" s="1255"/>
      <c r="H35" s="1016"/>
      <c r="I35" s="1254"/>
      <c r="J35" s="1256"/>
      <c r="K35" s="1257"/>
      <c r="L35" s="1258">
        <f>C35</f>
        <v>0</v>
      </c>
      <c r="M35" s="1259">
        <f>'AT2 Lainat, sotum., alv'!X38</f>
        <v>0</v>
      </c>
      <c r="N35" s="1020">
        <f>'AT2 Lainat, sotum., alv'!AA38</f>
        <v>0</v>
      </c>
      <c r="O35" s="1260">
        <v>0</v>
      </c>
      <c r="P35" s="1251">
        <f>IF(L35=0,0,'AT2 Lainat, sotum., alv'!AD38)</f>
        <v>0</v>
      </c>
      <c r="Q35" s="696">
        <f>'AT2 Lainat, sotum., alv'!AG38</f>
        <v>0</v>
      </c>
      <c r="S35" s="101"/>
    </row>
    <row r="36" spans="1:19" s="53" customFormat="1" ht="12.75" customHeight="1" thickBot="1">
      <c r="B36" s="391" t="s">
        <v>0</v>
      </c>
      <c r="C36" s="1221"/>
      <c r="D36" s="388"/>
      <c r="E36" s="1222"/>
      <c r="F36" s="1261"/>
      <c r="G36" s="1262"/>
      <c r="H36" s="1263"/>
      <c r="I36" s="1264"/>
      <c r="J36" s="1265"/>
      <c r="K36" s="1266"/>
      <c r="L36" s="1267"/>
      <c r="M36" s="1268"/>
      <c r="N36" s="1227"/>
      <c r="O36" s="1228">
        <f>C36</f>
        <v>0</v>
      </c>
      <c r="P36" s="1268">
        <f>IF(O36=0,0,'AT2 Lainat, sotum., alv'!AD41)</f>
        <v>0</v>
      </c>
      <c r="Q36" s="1227">
        <f>'AT2 Lainat, sotum., alv'!AG41</f>
        <v>0</v>
      </c>
      <c r="S36" s="101"/>
    </row>
    <row r="37" spans="1:19" s="53" customFormat="1" ht="12.75" customHeight="1" thickTop="1" thickBot="1">
      <c r="B37" s="2392" t="s">
        <v>582</v>
      </c>
      <c r="C37" s="1269">
        <f>SUM(C33:C36)</f>
        <v>0</v>
      </c>
      <c r="D37" s="392"/>
      <c r="E37" s="1270"/>
      <c r="F37" s="1271">
        <f t="shared" ref="F37:Q37" si="3">SUM(F33:F36)</f>
        <v>0</v>
      </c>
      <c r="G37" s="1269">
        <f t="shared" si="3"/>
        <v>0</v>
      </c>
      <c r="H37" s="1272">
        <f t="shared" si="3"/>
        <v>0</v>
      </c>
      <c r="I37" s="1271">
        <f t="shared" si="3"/>
        <v>0</v>
      </c>
      <c r="J37" s="1269">
        <f t="shared" si="3"/>
        <v>0</v>
      </c>
      <c r="K37" s="1272">
        <f t="shared" si="3"/>
        <v>0</v>
      </c>
      <c r="L37" s="1271">
        <f t="shared" si="3"/>
        <v>0</v>
      </c>
      <c r="M37" s="1269">
        <f t="shared" si="3"/>
        <v>0</v>
      </c>
      <c r="N37" s="1272">
        <f t="shared" si="3"/>
        <v>0</v>
      </c>
      <c r="O37" s="1271">
        <f t="shared" si="3"/>
        <v>0</v>
      </c>
      <c r="P37" s="1273">
        <f t="shared" si="3"/>
        <v>0</v>
      </c>
      <c r="Q37" s="1274">
        <f t="shared" si="3"/>
        <v>0</v>
      </c>
    </row>
    <row r="38" spans="1:19" s="53" customFormat="1" ht="4.5" customHeight="1" thickBot="1">
      <c r="A38"/>
      <c r="B38" s="2393"/>
      <c r="C38" s="1275"/>
      <c r="D38" s="1276"/>
      <c r="E38" s="1276"/>
      <c r="F38" s="1275"/>
      <c r="G38" s="1275"/>
      <c r="H38" s="1275"/>
      <c r="I38" s="1275"/>
      <c r="J38" s="1275"/>
      <c r="K38" s="1275"/>
      <c r="L38" s="1275"/>
      <c r="M38" s="1275"/>
      <c r="N38" s="1275"/>
      <c r="O38" s="1275"/>
      <c r="P38" s="1275"/>
      <c r="Q38" s="1275"/>
    </row>
    <row r="39" spans="1:19" s="81" customFormat="1" ht="12.75" customHeight="1" thickBot="1">
      <c r="A39"/>
      <c r="B39" s="2394" t="s">
        <v>709</v>
      </c>
      <c r="C39" s="1277">
        <v>0</v>
      </c>
      <c r="D39" s="1278"/>
      <c r="E39" s="1279">
        <v>0</v>
      </c>
      <c r="F39" s="1280"/>
      <c r="G39" s="1281"/>
      <c r="H39" s="1334">
        <f>C39*E39</f>
        <v>0</v>
      </c>
      <c r="I39" s="1280"/>
      <c r="J39" s="1281"/>
      <c r="K39" s="1334">
        <f>E39*'6. T3 BALANS'!H77</f>
        <v>0</v>
      </c>
      <c r="L39" s="1280"/>
      <c r="M39" s="1281"/>
      <c r="N39" s="1334">
        <f>E39*'6. T3 BALANS'!I77</f>
        <v>0</v>
      </c>
      <c r="O39" s="1280"/>
      <c r="P39" s="1281"/>
      <c r="Q39" s="1334">
        <f>E39*'6. T3 BALANS'!J77</f>
        <v>0</v>
      </c>
    </row>
    <row r="40" spans="1:19" s="81" customFormat="1" ht="4.5" customHeight="1" thickBot="1">
      <c r="A40"/>
      <c r="B40" s="2393"/>
      <c r="C40" s="1322"/>
      <c r="D40" s="1276"/>
      <c r="E40" s="1323"/>
      <c r="F40" s="1322"/>
      <c r="G40" s="1322"/>
      <c r="H40" s="1322"/>
      <c r="I40" s="1322"/>
      <c r="J40" s="1322"/>
      <c r="K40" s="1322"/>
      <c r="L40" s="1322"/>
      <c r="M40" s="1322"/>
      <c r="N40" s="1322"/>
      <c r="O40" s="1322"/>
      <c r="P40" s="1322"/>
      <c r="Q40" s="1322"/>
    </row>
    <row r="41" spans="1:19" s="81" customFormat="1" ht="12.75" customHeight="1" thickBot="1">
      <c r="A41"/>
      <c r="B41" s="2394" t="s">
        <v>583</v>
      </c>
      <c r="C41" s="1321">
        <f>'1. T1 INVESTERINGSP.'!D51</f>
        <v>0</v>
      </c>
      <c r="D41" s="1278"/>
      <c r="E41" s="1279">
        <v>0</v>
      </c>
      <c r="F41" s="1280"/>
      <c r="G41" s="1281"/>
      <c r="H41" s="1769">
        <f>C41*E41</f>
        <v>0</v>
      </c>
      <c r="I41" s="1280"/>
      <c r="J41" s="1281"/>
      <c r="K41" s="1769">
        <f>E41*'6. T3 BALANS'!H69</f>
        <v>0</v>
      </c>
      <c r="L41" s="1280"/>
      <c r="M41" s="1281"/>
      <c r="N41" s="1769">
        <f>E41*'6. T3 BALANS'!I69</f>
        <v>0</v>
      </c>
      <c r="O41" s="1280"/>
      <c r="P41" s="1281"/>
      <c r="Q41" s="1769">
        <f>E41*'6. T3 BALANS'!J69</f>
        <v>0</v>
      </c>
    </row>
    <row r="42" spans="1:19" s="81" customFormat="1" ht="4.5" customHeight="1" thickBot="1">
      <c r="A42"/>
      <c r="B42" s="225" t="s">
        <v>0</v>
      </c>
      <c r="C42" s="1322"/>
      <c r="D42" s="1276"/>
      <c r="E42" s="1323"/>
      <c r="F42" s="1322"/>
      <c r="G42" s="1322"/>
      <c r="H42" s="1322"/>
      <c r="I42" s="1322"/>
      <c r="J42" s="1322"/>
      <c r="K42" s="1322"/>
      <c r="L42" s="1322"/>
      <c r="M42" s="1322"/>
      <c r="N42" s="1322"/>
      <c r="O42" s="1322"/>
      <c r="P42" s="1322"/>
      <c r="Q42" s="1322"/>
    </row>
    <row r="43" spans="1:19" s="577" customFormat="1" ht="24.75" customHeight="1" thickBot="1">
      <c r="A43"/>
      <c r="B43" s="2391" t="s">
        <v>706</v>
      </c>
      <c r="C43" s="1277">
        <v>0</v>
      </c>
      <c r="D43" s="1324"/>
      <c r="E43" s="1279">
        <v>0</v>
      </c>
      <c r="F43" s="1325"/>
      <c r="G43" s="1210">
        <v>0</v>
      </c>
      <c r="H43" s="1788">
        <f>C43*E43/2+(C43-G43/2)*E43/2</f>
        <v>0</v>
      </c>
      <c r="I43" s="1280"/>
      <c r="J43" s="1210">
        <f>G43</f>
        <v>0</v>
      </c>
      <c r="K43" s="1334">
        <f>$E43/2*(C43-G43)+(C43-G43-J43/2)*E43/2</f>
        <v>0</v>
      </c>
      <c r="L43" s="1280"/>
      <c r="M43" s="1210">
        <f>J43</f>
        <v>0</v>
      </c>
      <c r="N43" s="1334">
        <f>$E43/2*(C43-G43-J43)+(C43-G43-J43-M43/2)*E43/2</f>
        <v>0</v>
      </c>
      <c r="O43" s="1280"/>
      <c r="P43" s="1210">
        <f>M43</f>
        <v>0</v>
      </c>
      <c r="Q43" s="1334">
        <f>$E43/2*(C43-G43-J43-M43)+(C43-G43-J43-M43-P43/2)*E43/2</f>
        <v>0</v>
      </c>
      <c r="R43" s="1770" t="str">
        <f>IF(P43&gt;'6. T3 BALANS'!I73,"SISTA ANKORTNING FÖR STOR!"," ")</f>
        <v xml:space="preserve"> </v>
      </c>
    </row>
    <row r="44" spans="1:19" s="81" customFormat="1" ht="4.5" customHeight="1" thickBot="1">
      <c r="A44"/>
      <c r="B44" s="225"/>
      <c r="C44" s="226"/>
      <c r="D44" s="224"/>
      <c r="E44" s="225"/>
      <c r="F44" s="226"/>
      <c r="G44" s="226"/>
      <c r="H44" s="226"/>
      <c r="I44" s="226"/>
      <c r="J44" s="226"/>
      <c r="K44" s="226"/>
      <c r="L44" s="226"/>
      <c r="M44" s="226"/>
      <c r="N44" s="226"/>
      <c r="O44" s="226"/>
      <c r="P44" s="226"/>
      <c r="Q44" s="226"/>
    </row>
    <row r="45" spans="1:19" s="81" customFormat="1" ht="12.75" customHeight="1" thickBot="1">
      <c r="A45"/>
      <c r="B45" s="2394" t="s">
        <v>710</v>
      </c>
      <c r="C45" s="1757"/>
      <c r="D45" s="1771"/>
      <c r="E45" s="1772"/>
      <c r="F45" s="1773"/>
      <c r="G45" s="1281"/>
      <c r="H45" s="1282">
        <v>0</v>
      </c>
      <c r="I45" s="1280"/>
      <c r="J45" s="1281"/>
      <c r="K45" s="1282">
        <v>0</v>
      </c>
      <c r="L45" s="1280"/>
      <c r="M45" s="1281"/>
      <c r="N45" s="1282">
        <v>0</v>
      </c>
      <c r="O45" s="1280"/>
      <c r="P45" s="1281"/>
      <c r="Q45" s="1282">
        <v>0</v>
      </c>
    </row>
    <row r="46" spans="1:19" s="81" customFormat="1" ht="4.5" customHeight="1" thickBot="1">
      <c r="A46"/>
      <c r="B46" s="225"/>
      <c r="C46" s="1275"/>
      <c r="D46" s="1276"/>
      <c r="E46" s="1276"/>
      <c r="F46" s="1322"/>
      <c r="G46" s="1322"/>
      <c r="H46" s="1322"/>
      <c r="I46" s="1322"/>
      <c r="J46" s="1322"/>
      <c r="K46" s="1322"/>
      <c r="L46" s="1322"/>
      <c r="M46" s="1322"/>
      <c r="N46" s="1322"/>
      <c r="O46" s="1322"/>
      <c r="P46" s="1322"/>
      <c r="Q46" s="1322"/>
    </row>
    <row r="47" spans="1:19" s="53" customFormat="1" ht="12.75" customHeight="1" thickBot="1">
      <c r="A47"/>
      <c r="B47" s="1464" t="s">
        <v>584</v>
      </c>
      <c r="C47" s="1321">
        <f>C32+C37+C39+C43+C41</f>
        <v>0</v>
      </c>
      <c r="D47" s="1326"/>
      <c r="E47" s="1327"/>
      <c r="F47" s="1321">
        <f>F32+F37</f>
        <v>0</v>
      </c>
      <c r="G47" s="1321">
        <f>G32+G37+G39+G43+G41+G45</f>
        <v>0</v>
      </c>
      <c r="H47" s="1321">
        <f>H32+H37+H39+H43+H41+H45</f>
        <v>0</v>
      </c>
      <c r="I47" s="1321">
        <f t="shared" ref="I47:Q47" si="4">I32+I37+I39+I43+I41+I45</f>
        <v>0</v>
      </c>
      <c r="J47" s="1321">
        <f t="shared" si="4"/>
        <v>0</v>
      </c>
      <c r="K47" s="1321">
        <f t="shared" si="4"/>
        <v>0</v>
      </c>
      <c r="L47" s="1321">
        <f t="shared" si="4"/>
        <v>0</v>
      </c>
      <c r="M47" s="1321">
        <f t="shared" si="4"/>
        <v>0</v>
      </c>
      <c r="N47" s="1321">
        <f t="shared" si="4"/>
        <v>0</v>
      </c>
      <c r="O47" s="1321">
        <f t="shared" si="4"/>
        <v>0</v>
      </c>
      <c r="P47" s="1321">
        <f t="shared" si="4"/>
        <v>0</v>
      </c>
      <c r="Q47" s="1334">
        <f t="shared" si="4"/>
        <v>0</v>
      </c>
    </row>
    <row r="48" spans="1:19" ht="6" customHeight="1">
      <c r="B48" s="1"/>
      <c r="C48" s="1"/>
      <c r="D48" s="1"/>
      <c r="E48" s="1"/>
      <c r="F48" s="1"/>
      <c r="G48" s="1"/>
      <c r="H48" s="1"/>
      <c r="I48" s="1"/>
      <c r="J48" s="1"/>
      <c r="K48" s="1"/>
      <c r="L48" s="1"/>
      <c r="M48" s="1"/>
      <c r="N48" s="1"/>
      <c r="O48" s="1"/>
      <c r="P48" s="1"/>
      <c r="Q48" s="1"/>
    </row>
    <row r="49" spans="2:17">
      <c r="C49" s="1"/>
      <c r="D49" s="4"/>
      <c r="E49" s="82"/>
      <c r="F49" s="82"/>
      <c r="G49" s="82"/>
      <c r="H49" s="82"/>
      <c r="I49" s="82"/>
      <c r="J49" s="82"/>
      <c r="K49" s="1"/>
      <c r="L49" s="1"/>
      <c r="M49" s="1"/>
      <c r="O49" s="1"/>
      <c r="P49" s="1"/>
      <c r="Q49" s="161">
        <f>'1. T1 INVESTERINGSP.'!H65</f>
        <v>0</v>
      </c>
    </row>
    <row r="50" spans="2:17">
      <c r="B50" s="76" t="str">
        <f>'1. T1 INVESTERINGSP.'!B66</f>
        <v>Tjänsten erbjuds av: Dynamo Närpes och Kristinestads näringslivscentral</v>
      </c>
      <c r="C50" s="4"/>
      <c r="D50" s="4"/>
      <c r="E50" s="4"/>
      <c r="F50" s="60"/>
      <c r="G50" s="60"/>
      <c r="H50" s="4"/>
      <c r="I50" s="60"/>
      <c r="J50" s="60"/>
      <c r="K50" s="4"/>
      <c r="L50" s="60"/>
      <c r="M50" s="60"/>
      <c r="O50" s="60"/>
      <c r="P50" s="60"/>
      <c r="Q50" s="424">
        <f>'1. T1 INVESTERINGSP.'!H66</f>
        <v>0</v>
      </c>
    </row>
    <row r="53" spans="2:17">
      <c r="B53" s="369" t="s">
        <v>190</v>
      </c>
    </row>
    <row r="54" spans="2:17">
      <c r="B54" s="52" t="s">
        <v>191</v>
      </c>
    </row>
    <row r="55" spans="2:17">
      <c r="B55" s="52" t="s">
        <v>192</v>
      </c>
    </row>
  </sheetData>
  <sheetProtection algorithmName="SHA-512" hashValue="0nUa8tPXGbegtDuprTCpj6c35jnKodB+3zZmgytdzyrGtiUJC+yoDfPEQJEUPUwPsOwExmXF1Gsj3YaVC+hbXw==" saltValue="u8HRszjN2Bgd/w4qF9pr6Q==" spinCount="100000" sheet="1" objects="1" scenarios="1" selectLockedCells="1"/>
  <mergeCells count="14">
    <mergeCell ref="F9:H9"/>
    <mergeCell ref="B6:D6"/>
    <mergeCell ref="N5:Q5"/>
    <mergeCell ref="I10:K10"/>
    <mergeCell ref="E9:E11"/>
    <mergeCell ref="C9:C11"/>
    <mergeCell ref="D9:D11"/>
    <mergeCell ref="F10:H10"/>
    <mergeCell ref="L10:N10"/>
    <mergeCell ref="I9:K9"/>
    <mergeCell ref="L9:N9"/>
    <mergeCell ref="O9:Q9"/>
    <mergeCell ref="O10:Q10"/>
    <mergeCell ref="I6:J6"/>
  </mergeCells>
  <printOptions horizontalCentered="1"/>
  <pageMargins left="0.23622047244094491" right="0.23622047244094491" top="0.74803149606299213" bottom="0.74803149606299213" header="0.31496062992125984" footer="0.31496062992125984"/>
  <pageSetup paperSize="9" scale="80" orientation="landscape" verticalDpi="4"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3">
    <tabColor rgb="FF0152A1"/>
  </sheetPr>
  <dimension ref="A2:W168"/>
  <sheetViews>
    <sheetView showGridLines="0" showZeros="0" defaultGridColor="0" colorId="22" zoomScaleNormal="100" zoomScaleSheetLayoutView="85" workbookViewId="0">
      <pane ySplit="10" topLeftCell="A11" activePane="bottomLeft" state="frozen"/>
      <selection pane="bottomLeft" activeCell="D13" sqref="D13"/>
    </sheetView>
  </sheetViews>
  <sheetFormatPr defaultRowHeight="12.45"/>
  <cols>
    <col min="1" max="1" width="12" customWidth="1"/>
    <col min="2" max="2" width="2.84375" customWidth="1"/>
    <col min="3" max="3" width="40.3046875" customWidth="1"/>
    <col min="4" max="4" width="11.3046875" customWidth="1"/>
    <col min="5" max="5" width="6" customWidth="1"/>
    <col min="6" max="6" width="11.3046875" customWidth="1"/>
    <col min="7" max="7" width="6" customWidth="1"/>
    <col min="8" max="8" width="11.3046875" customWidth="1"/>
    <col min="9" max="9" width="6" customWidth="1"/>
    <col min="10" max="10" width="11.3046875" customWidth="1"/>
    <col min="11" max="11" width="6" customWidth="1"/>
    <col min="12" max="12" width="2.53515625" customWidth="1"/>
    <col min="13" max="23" width="9.53515625" customWidth="1"/>
  </cols>
  <sheetData>
    <row r="2" spans="1:23" ht="14.25" customHeight="1">
      <c r="B2" s="25" t="s">
        <v>361</v>
      </c>
      <c r="D2" s="49"/>
      <c r="M2" s="1"/>
      <c r="S2" s="25" t="s">
        <v>361</v>
      </c>
    </row>
    <row r="3" spans="1:23" ht="12.75" customHeight="1">
      <c r="D3" s="1734"/>
      <c r="E3" s="1735"/>
    </row>
    <row r="4" spans="1:23" ht="12.75" customHeight="1">
      <c r="B4" s="49" t="s">
        <v>151</v>
      </c>
      <c r="C4" s="45"/>
      <c r="D4" s="45" t="s">
        <v>149</v>
      </c>
      <c r="E4" s="59"/>
      <c r="F4" s="41"/>
      <c r="G4" s="59" t="s">
        <v>0</v>
      </c>
      <c r="H4" s="49" t="s">
        <v>153</v>
      </c>
      <c r="I4" s="47"/>
      <c r="J4" s="47" t="s">
        <v>0</v>
      </c>
      <c r="K4" s="47"/>
      <c r="L4" s="19"/>
    </row>
    <row r="5" spans="1:23" ht="12.75" customHeight="1">
      <c r="B5" s="1880">
        <f>'7. T2 RESULTATB.'!B5:D5</f>
        <v>0</v>
      </c>
      <c r="C5" s="1880"/>
      <c r="D5" s="1900">
        <f>'1. T1 INVESTERINGSP.'!E4</f>
        <v>0</v>
      </c>
      <c r="E5" s="1880"/>
      <c r="F5" s="1880"/>
      <c r="G5" s="1880"/>
      <c r="H5" s="1732">
        <f>'7. T2 RESULTATB.'!I5</f>
        <v>0</v>
      </c>
      <c r="I5" s="81"/>
      <c r="J5" s="81"/>
      <c r="K5" s="81"/>
      <c r="L5" s="81"/>
      <c r="M5" s="1834"/>
      <c r="N5" s="1834"/>
      <c r="O5" s="1834"/>
      <c r="U5" s="8"/>
      <c r="V5" s="8"/>
    </row>
    <row r="6" spans="1:23" ht="4.5" customHeight="1" thickBot="1">
      <c r="D6" s="18"/>
      <c r="M6" s="1"/>
      <c r="N6" s="1"/>
      <c r="O6" s="1"/>
      <c r="P6" s="1"/>
      <c r="Q6" s="1"/>
      <c r="R6" s="1"/>
      <c r="S6" s="1"/>
      <c r="T6" s="1"/>
      <c r="U6" s="8"/>
      <c r="V6" s="8"/>
    </row>
    <row r="7" spans="1:23" ht="12" customHeight="1">
      <c r="B7" s="1906" t="s">
        <v>651</v>
      </c>
      <c r="C7" s="1907"/>
      <c r="D7" s="1902" t="str">
        <f>'1. T1 INVESTERINGSP.'!D15</f>
        <v>Prognos 1</v>
      </c>
      <c r="E7" s="1903"/>
      <c r="F7" s="1902" t="s">
        <v>159</v>
      </c>
      <c r="G7" s="1903"/>
      <c r="H7" s="1902" t="s">
        <v>160</v>
      </c>
      <c r="I7" s="1903"/>
      <c r="J7" s="1902" t="s">
        <v>161</v>
      </c>
      <c r="K7" s="1903"/>
      <c r="L7" s="26"/>
      <c r="M7" s="1"/>
      <c r="N7" s="1"/>
      <c r="O7" s="296"/>
      <c r="P7" s="1454"/>
      <c r="Q7" s="1454"/>
      <c r="R7" s="1454"/>
      <c r="S7" s="1454"/>
      <c r="T7" s="178"/>
      <c r="U7" s="1455"/>
      <c r="V7" s="1455"/>
      <c r="W7" s="178"/>
    </row>
    <row r="8" spans="1:23" ht="12.75" customHeight="1">
      <c r="B8" s="1908"/>
      <c r="C8" s="1909"/>
      <c r="D8" s="1904">
        <f>'7. T2 RESULTATB.'!G8</f>
        <v>2025</v>
      </c>
      <c r="E8" s="1905"/>
      <c r="F8" s="1904">
        <f>'7. T2 RESULTATB.'!I8</f>
        <v>2026</v>
      </c>
      <c r="G8" s="1905"/>
      <c r="H8" s="1904">
        <f>'7. T2 RESULTATB.'!K8</f>
        <v>2027</v>
      </c>
      <c r="I8" s="1905"/>
      <c r="J8" s="1904">
        <f>'1. T1 INVESTERINGSP.'!G16</f>
        <v>2028</v>
      </c>
      <c r="K8" s="1905"/>
      <c r="L8" s="27"/>
      <c r="M8" s="1456"/>
      <c r="N8" s="1456"/>
      <c r="O8" s="1456"/>
      <c r="P8" s="178"/>
      <c r="Q8" s="178"/>
      <c r="R8" s="178"/>
      <c r="S8" s="178"/>
      <c r="T8" s="178"/>
      <c r="U8" s="1455"/>
      <c r="V8" s="1455"/>
      <c r="W8" s="178"/>
    </row>
    <row r="9" spans="1:23" ht="10.5" customHeight="1" thickBot="1">
      <c r="B9" s="1910"/>
      <c r="C9" s="1911"/>
      <c r="D9" s="1465" t="s">
        <v>195</v>
      </c>
      <c r="E9" s="1466" t="s">
        <v>13</v>
      </c>
      <c r="F9" s="1465" t="s">
        <v>195</v>
      </c>
      <c r="G9" s="1466" t="s">
        <v>13</v>
      </c>
      <c r="H9" s="1465" t="s">
        <v>195</v>
      </c>
      <c r="I9" s="1466" t="s">
        <v>13</v>
      </c>
      <c r="J9" s="1465" t="s">
        <v>195</v>
      </c>
      <c r="K9" s="1466" t="s">
        <v>13</v>
      </c>
      <c r="L9" s="27"/>
      <c r="M9" s="1456"/>
      <c r="N9" s="1456"/>
      <c r="O9" s="1456"/>
      <c r="P9" s="178"/>
      <c r="Q9" s="178"/>
      <c r="R9" s="178"/>
      <c r="S9" s="178"/>
      <c r="T9" s="178"/>
      <c r="U9" s="1455"/>
      <c r="V9" s="1455"/>
      <c r="W9" s="178"/>
    </row>
    <row r="10" spans="1:23" ht="12.75" customHeight="1" thickBot="1">
      <c r="B10" s="758"/>
      <c r="C10" s="1467" t="s">
        <v>194</v>
      </c>
      <c r="D10" s="1912">
        <v>12</v>
      </c>
      <c r="E10" s="1912"/>
      <c r="F10" s="1901" t="str">
        <f>'7. T2 RESULTATB.'!I10</f>
        <v>12</v>
      </c>
      <c r="G10" s="1901"/>
      <c r="H10" s="1901" t="str">
        <f>'7. T2 RESULTATB.'!K10</f>
        <v>12</v>
      </c>
      <c r="I10" s="1901"/>
      <c r="J10" s="1901" t="str">
        <f>'7. T2 RESULTATB.'!M10</f>
        <v>12</v>
      </c>
      <c r="K10" s="1901"/>
      <c r="L10" s="27"/>
      <c r="M10" s="509"/>
      <c r="N10" s="509"/>
      <c r="O10" s="509"/>
      <c r="P10" s="196"/>
      <c r="Q10" s="196"/>
      <c r="R10" s="196"/>
      <c r="S10" s="196"/>
      <c r="T10" s="196"/>
      <c r="U10" s="1457"/>
      <c r="V10" s="1457"/>
      <c r="W10" s="196"/>
    </row>
    <row r="11" spans="1:23" s="1" customFormat="1" ht="13.5" customHeight="1">
      <c r="A11" s="53"/>
      <c r="B11" s="756" t="s">
        <v>2</v>
      </c>
      <c r="C11" s="757" t="s">
        <v>362</v>
      </c>
      <c r="D11" s="1153">
        <f>D12+D17+D24-D30</f>
        <v>0</v>
      </c>
      <c r="E11" s="1154">
        <f>IF(D$44=0,0,D11/D$44*100)</f>
        <v>0</v>
      </c>
      <c r="F11" s="1153">
        <f>F12+F17+F24-F30</f>
        <v>0</v>
      </c>
      <c r="G11" s="1154">
        <f>IF(F$44=0,0,F11/F$44*100)</f>
        <v>0</v>
      </c>
      <c r="H11" s="1153">
        <f>H12+H17+H24-H30</f>
        <v>0</v>
      </c>
      <c r="I11" s="1154">
        <f>IF(H$44=0,0,H11/H$44*100)</f>
        <v>0</v>
      </c>
      <c r="J11" s="1153">
        <f>J12+J17+J24-J30</f>
        <v>0</v>
      </c>
      <c r="K11" s="1154">
        <f>IF(J$44=0,0,J11/J$44*100)</f>
        <v>0</v>
      </c>
      <c r="L11" s="3"/>
      <c r="M11" s="1913"/>
      <c r="N11" s="1914"/>
      <c r="O11" s="1914"/>
      <c r="P11" s="319"/>
      <c r="Q11" s="319"/>
      <c r="R11" s="319"/>
      <c r="S11" s="319"/>
      <c r="T11" s="319"/>
      <c r="U11" s="413"/>
      <c r="V11" s="413"/>
      <c r="W11" s="414"/>
    </row>
    <row r="12" spans="1:23" s="4" customFormat="1" ht="12.65" customHeight="1">
      <c r="A12"/>
      <c r="B12" s="232"/>
      <c r="C12" s="242" t="s">
        <v>363</v>
      </c>
      <c r="D12" s="1155">
        <f>(D13*D15)</f>
        <v>0</v>
      </c>
      <c r="E12" s="1156"/>
      <c r="F12" s="1155">
        <f>(F13*F15)</f>
        <v>0</v>
      </c>
      <c r="G12" s="1156"/>
      <c r="H12" s="1155">
        <f>(H13*H15)</f>
        <v>0</v>
      </c>
      <c r="I12" s="1156"/>
      <c r="J12" s="1155">
        <f>(J13*J15)</f>
        <v>0</v>
      </c>
      <c r="K12" s="1156"/>
      <c r="L12" s="31"/>
      <c r="M12" s="294">
        <f>F$8</f>
        <v>2026</v>
      </c>
      <c r="N12" s="294">
        <f>H8</f>
        <v>2027</v>
      </c>
      <c r="O12" s="294">
        <f>J$8</f>
        <v>2028</v>
      </c>
      <c r="P12" s="319"/>
      <c r="Q12" s="319"/>
      <c r="R12" s="319"/>
      <c r="S12" s="319"/>
      <c r="T12" s="319"/>
      <c r="U12" s="413"/>
      <c r="V12" s="413"/>
      <c r="W12" s="414"/>
    </row>
    <row r="13" spans="1:23" s="52" customFormat="1" ht="12.65" customHeight="1">
      <c r="A13" s="53"/>
      <c r="B13" s="233"/>
      <c r="C13" s="234" t="s">
        <v>364</v>
      </c>
      <c r="D13" s="1157">
        <v>0</v>
      </c>
      <c r="E13" s="1158"/>
      <c r="F13" s="1157">
        <f>D13+D13*M13</f>
        <v>0</v>
      </c>
      <c r="G13" s="1158"/>
      <c r="H13" s="1157">
        <f>F13+F13*N13</f>
        <v>0</v>
      </c>
      <c r="I13" s="1158"/>
      <c r="J13" s="1157">
        <f>H13+H13*O13</f>
        <v>0</v>
      </c>
      <c r="K13" s="1158"/>
      <c r="L13" s="57"/>
      <c r="M13" s="358">
        <v>0.03</v>
      </c>
      <c r="N13" s="358">
        <f>M13</f>
        <v>0.03</v>
      </c>
      <c r="O13" s="358">
        <f>N13</f>
        <v>0.03</v>
      </c>
      <c r="P13" s="319" t="s">
        <v>0</v>
      </c>
      <c r="Q13" s="319"/>
      <c r="R13" s="319"/>
      <c r="S13" s="319"/>
      <c r="T13" s="319"/>
      <c r="U13" s="413"/>
      <c r="V13" s="413"/>
      <c r="W13" s="414"/>
    </row>
    <row r="14" spans="1:23" s="52" customFormat="1" ht="12.65" customHeight="1">
      <c r="A14" s="2"/>
      <c r="B14" s="233"/>
      <c r="C14" s="234" t="s">
        <v>365</v>
      </c>
      <c r="D14" s="1157">
        <v>0</v>
      </c>
      <c r="E14" s="1158"/>
      <c r="F14" s="1157">
        <f>D14+D14*M14</f>
        <v>0</v>
      </c>
      <c r="G14" s="1158"/>
      <c r="H14" s="1157">
        <f>F14+F14*N14</f>
        <v>0</v>
      </c>
      <c r="I14" s="1158"/>
      <c r="J14" s="1157">
        <f>H14+H14*O14</f>
        <v>0</v>
      </c>
      <c r="K14" s="1158"/>
      <c r="L14" s="57"/>
      <c r="M14" s="358">
        <v>0.03</v>
      </c>
      <c r="N14" s="358">
        <f>M14</f>
        <v>0.03</v>
      </c>
      <c r="O14" s="358">
        <f>N14</f>
        <v>0.03</v>
      </c>
      <c r="P14" s="319"/>
      <c r="Q14" s="319"/>
      <c r="R14" s="319"/>
      <c r="S14" s="319"/>
      <c r="T14" s="319"/>
      <c r="U14" s="413"/>
      <c r="V14" s="413"/>
      <c r="W14" s="414"/>
    </row>
    <row r="15" spans="1:23" s="52" customFormat="1" ht="12.65" customHeight="1">
      <c r="A15" s="53"/>
      <c r="B15" s="233"/>
      <c r="C15" s="234" t="s">
        <v>366</v>
      </c>
      <c r="D15" s="1159">
        <v>12</v>
      </c>
      <c r="E15" s="1158"/>
      <c r="F15" s="1159">
        <v>12.5</v>
      </c>
      <c r="G15" s="1158"/>
      <c r="H15" s="1159">
        <f>F15</f>
        <v>12.5</v>
      </c>
      <c r="I15" s="1158"/>
      <c r="J15" s="1159">
        <f>H15</f>
        <v>12.5</v>
      </c>
      <c r="K15" s="1158"/>
      <c r="L15" s="57"/>
      <c r="M15" s="355"/>
      <c r="N15" s="319"/>
      <c r="O15" s="319"/>
      <c r="P15" s="319"/>
      <c r="Q15" s="319"/>
      <c r="R15" s="319"/>
      <c r="S15" s="319"/>
      <c r="T15" s="319"/>
      <c r="U15" s="413"/>
      <c r="V15" s="413"/>
      <c r="W15" s="414"/>
    </row>
    <row r="16" spans="1:23" s="52" customFormat="1" ht="12.65" customHeight="1">
      <c r="A16" s="53"/>
      <c r="B16" s="233"/>
      <c r="C16" s="234" t="s">
        <v>615</v>
      </c>
      <c r="D16" s="1196">
        <v>0.3</v>
      </c>
      <c r="E16" s="1158"/>
      <c r="F16" s="1196">
        <f>D16</f>
        <v>0.3</v>
      </c>
      <c r="G16" s="1171"/>
      <c r="H16" s="1196">
        <f>F16</f>
        <v>0.3</v>
      </c>
      <c r="I16" s="1171"/>
      <c r="J16" s="1196">
        <f>H16</f>
        <v>0.3</v>
      </c>
      <c r="K16" s="1158"/>
      <c r="L16" s="57"/>
      <c r="M16" s="355"/>
      <c r="N16" s="319"/>
      <c r="O16" s="319"/>
      <c r="P16" s="319"/>
      <c r="Q16" s="319"/>
      <c r="R16" s="319"/>
      <c r="S16" s="319"/>
      <c r="T16" s="319"/>
      <c r="U16" s="413"/>
      <c r="V16" s="413"/>
      <c r="W16" s="414"/>
    </row>
    <row r="17" spans="1:23" s="4" customFormat="1">
      <c r="A17"/>
      <c r="B17" s="232"/>
      <c r="C17" s="2395" t="s">
        <v>367</v>
      </c>
      <c r="D17" s="1027">
        <f>D18*D19*D20*D21</f>
        <v>0</v>
      </c>
      <c r="E17" s="1156"/>
      <c r="F17" s="1027">
        <f>F18*F19*F20*F21</f>
        <v>0</v>
      </c>
      <c r="G17" s="1156"/>
      <c r="H17" s="1027">
        <f>H18*H19*H20*H21</f>
        <v>0</v>
      </c>
      <c r="I17" s="1156"/>
      <c r="J17" s="1027">
        <f>J18*J19*J20*J21</f>
        <v>0</v>
      </c>
      <c r="K17" s="1156"/>
      <c r="L17" s="31"/>
      <c r="M17" s="294">
        <f>F$8</f>
        <v>2026</v>
      </c>
      <c r="N17" s="294">
        <f>H$8</f>
        <v>2027</v>
      </c>
      <c r="O17" s="294">
        <f>J$8</f>
        <v>2028</v>
      </c>
      <c r="P17" s="319"/>
      <c r="Q17" s="319"/>
      <c r="R17" s="319"/>
      <c r="S17" s="319"/>
      <c r="T17" s="319"/>
      <c r="U17" s="413"/>
      <c r="V17" s="413"/>
      <c r="W17" s="414"/>
    </row>
    <row r="18" spans="1:23" s="52" customFormat="1" ht="12.65" customHeight="1">
      <c r="A18" s="53"/>
      <c r="B18" s="233"/>
      <c r="C18" s="234" t="s">
        <v>368</v>
      </c>
      <c r="D18" s="1160">
        <v>0</v>
      </c>
      <c r="E18" s="1161"/>
      <c r="F18" s="1160">
        <f>D18+D18*M18</f>
        <v>0</v>
      </c>
      <c r="G18" s="1161"/>
      <c r="H18" s="1160">
        <f>F18+F18*N18</f>
        <v>0</v>
      </c>
      <c r="I18" s="1161"/>
      <c r="J18" s="1160">
        <f>H18+H18*O18</f>
        <v>0</v>
      </c>
      <c r="K18" s="1158"/>
      <c r="L18" s="55"/>
      <c r="M18" s="358">
        <v>0.03</v>
      </c>
      <c r="N18" s="358">
        <f>M18</f>
        <v>0.03</v>
      </c>
      <c r="O18" s="358">
        <f>N18</f>
        <v>0.03</v>
      </c>
      <c r="P18" s="319" t="s">
        <v>0</v>
      </c>
      <c r="Q18" s="319"/>
      <c r="R18" s="319"/>
      <c r="S18" s="319"/>
      <c r="T18" s="319"/>
      <c r="U18" s="413"/>
      <c r="V18" s="413"/>
      <c r="W18" s="414"/>
    </row>
    <row r="19" spans="1:23" s="52" customFormat="1" ht="12.65" customHeight="1">
      <c r="A19"/>
      <c r="B19" s="233"/>
      <c r="C19" s="234" t="s">
        <v>369</v>
      </c>
      <c r="D19" s="1157">
        <v>0</v>
      </c>
      <c r="E19" s="1158"/>
      <c r="F19" s="1157">
        <f>D19</f>
        <v>0</v>
      </c>
      <c r="G19" s="1158"/>
      <c r="H19" s="1157">
        <f>F19</f>
        <v>0</v>
      </c>
      <c r="I19" s="1158"/>
      <c r="J19" s="1157">
        <f>H19</f>
        <v>0</v>
      </c>
      <c r="K19" s="1158"/>
      <c r="L19" s="55"/>
      <c r="M19" s="370"/>
      <c r="N19" s="1372"/>
      <c r="O19" s="1372"/>
      <c r="P19" s="319"/>
      <c r="Q19" s="319"/>
      <c r="R19" s="319"/>
      <c r="S19" s="319"/>
      <c r="T19" s="319"/>
      <c r="U19" s="413"/>
      <c r="V19" s="413"/>
      <c r="W19" s="414"/>
    </row>
    <row r="20" spans="1:23" s="52" customFormat="1" ht="12.65" customHeight="1">
      <c r="A20" s="53"/>
      <c r="B20" s="233"/>
      <c r="C20" s="234" t="s">
        <v>370</v>
      </c>
      <c r="D20" s="1159">
        <v>0</v>
      </c>
      <c r="E20" s="1158"/>
      <c r="F20" s="1159">
        <f>D20</f>
        <v>0</v>
      </c>
      <c r="G20" s="1158"/>
      <c r="H20" s="1159">
        <f>F20</f>
        <v>0</v>
      </c>
      <c r="I20" s="1158"/>
      <c r="J20" s="1159">
        <f>H20</f>
        <v>0</v>
      </c>
      <c r="K20" s="1158"/>
      <c r="L20" s="55"/>
      <c r="M20" s="335"/>
      <c r="N20" s="199"/>
      <c r="O20" s="199"/>
      <c r="P20" s="319"/>
      <c r="Q20" s="319"/>
      <c r="R20" s="319"/>
      <c r="S20" s="319"/>
      <c r="T20" s="319"/>
      <c r="U20" s="413"/>
      <c r="V20" s="413"/>
      <c r="W20" s="414"/>
    </row>
    <row r="21" spans="1:23" s="52" customFormat="1" ht="12.65" customHeight="1">
      <c r="A21" s="2"/>
      <c r="B21" s="233"/>
      <c r="C21" s="234" t="s">
        <v>371</v>
      </c>
      <c r="D21" s="1159">
        <v>12</v>
      </c>
      <c r="E21" s="1158"/>
      <c r="F21" s="1159">
        <v>12.5</v>
      </c>
      <c r="G21" s="1158"/>
      <c r="H21" s="1159">
        <f>F21</f>
        <v>12.5</v>
      </c>
      <c r="I21" s="1158"/>
      <c r="J21" s="1159">
        <f>H21</f>
        <v>12.5</v>
      </c>
      <c r="K21" s="1158"/>
      <c r="L21" s="55"/>
      <c r="M21" s="294">
        <f>F$8</f>
        <v>2026</v>
      </c>
      <c r="N21" s="294">
        <f>H$8</f>
        <v>2027</v>
      </c>
      <c r="O21" s="294">
        <f>J$8</f>
        <v>2028</v>
      </c>
      <c r="P21" s="418"/>
      <c r="Q21" s="319"/>
      <c r="R21" s="319"/>
      <c r="S21" s="319"/>
      <c r="T21" s="319"/>
      <c r="U21" s="413"/>
      <c r="V21" s="413"/>
      <c r="W21" s="414"/>
    </row>
    <row r="22" spans="1:23" s="52" customFormat="1" ht="12.65" customHeight="1">
      <c r="A22"/>
      <c r="B22" s="233"/>
      <c r="C22" s="234" t="s">
        <v>372</v>
      </c>
      <c r="D22" s="1157">
        <v>0</v>
      </c>
      <c r="E22" s="1162"/>
      <c r="F22" s="1157">
        <f>D22+D22*M22</f>
        <v>0</v>
      </c>
      <c r="G22" s="1158"/>
      <c r="H22" s="1157">
        <f>F22+F22*N22</f>
        <v>0</v>
      </c>
      <c r="I22" s="1158"/>
      <c r="J22" s="1157">
        <f>H22+H22*O22</f>
        <v>0</v>
      </c>
      <c r="K22" s="1158"/>
      <c r="L22" s="55"/>
      <c r="M22" s="358">
        <v>0.03</v>
      </c>
      <c r="N22" s="358">
        <f>M22</f>
        <v>0.03</v>
      </c>
      <c r="O22" s="358">
        <f>N22</f>
        <v>0.03</v>
      </c>
      <c r="P22" s="319"/>
      <c r="Q22" s="319"/>
      <c r="R22" s="319"/>
      <c r="S22" s="319"/>
      <c r="T22" s="319"/>
      <c r="U22" s="413"/>
      <c r="V22" s="413"/>
      <c r="W22" s="414"/>
    </row>
    <row r="23" spans="1:23" s="52" customFormat="1" ht="12.65" customHeight="1">
      <c r="A23"/>
      <c r="B23" s="233"/>
      <c r="C23" s="234" t="s">
        <v>616</v>
      </c>
      <c r="D23" s="1196">
        <v>0.25</v>
      </c>
      <c r="E23" s="1158"/>
      <c r="F23" s="1196">
        <f>D23</f>
        <v>0.25</v>
      </c>
      <c r="G23" s="1171"/>
      <c r="H23" s="1196">
        <f>F23</f>
        <v>0.25</v>
      </c>
      <c r="I23" s="1171"/>
      <c r="J23" s="1196">
        <f>H23</f>
        <v>0.25</v>
      </c>
      <c r="K23" s="1158"/>
      <c r="L23" s="55"/>
      <c r="M23" s="355"/>
      <c r="N23" s="319"/>
      <c r="O23" s="319"/>
      <c r="P23" s="319"/>
      <c r="Q23" s="319"/>
      <c r="R23" s="319"/>
      <c r="S23" s="319"/>
      <c r="T23" s="319"/>
      <c r="U23" s="413"/>
      <c r="V23" s="413"/>
      <c r="W23" s="414"/>
    </row>
    <row r="24" spans="1:23" s="4" customFormat="1">
      <c r="A24"/>
      <c r="B24" s="232"/>
      <c r="C24" s="2395" t="s">
        <v>373</v>
      </c>
      <c r="D24" s="1027">
        <f>D25*D26*D27</f>
        <v>0</v>
      </c>
      <c r="E24" s="1156"/>
      <c r="F24" s="1027">
        <f>F25*F26*F27</f>
        <v>0</v>
      </c>
      <c r="G24" s="1156"/>
      <c r="H24" s="1027">
        <f>H25*H26*H27</f>
        <v>0</v>
      </c>
      <c r="I24" s="1156"/>
      <c r="J24" s="1027">
        <f>J25*J26*J27</f>
        <v>0</v>
      </c>
      <c r="K24" s="1156"/>
      <c r="L24" s="31"/>
      <c r="M24" s="294">
        <f>F$8</f>
        <v>2026</v>
      </c>
      <c r="N24" s="294">
        <f>H$8</f>
        <v>2027</v>
      </c>
      <c r="O24" s="294">
        <f>J$8</f>
        <v>2028</v>
      </c>
      <c r="P24" s="319"/>
      <c r="Q24" s="319"/>
      <c r="R24" s="319"/>
      <c r="S24" s="319"/>
      <c r="T24" s="319"/>
      <c r="U24" s="413"/>
      <c r="V24" s="413"/>
      <c r="W24" s="414"/>
    </row>
    <row r="25" spans="1:23" s="52" customFormat="1" ht="12.65" customHeight="1">
      <c r="A25"/>
      <c r="B25" s="233"/>
      <c r="C25" s="234" t="s">
        <v>374</v>
      </c>
      <c r="D25" s="1157">
        <v>0</v>
      </c>
      <c r="E25" s="1158"/>
      <c r="F25" s="1157">
        <f>D25+D25*M25</f>
        <v>0</v>
      </c>
      <c r="G25" s="1158"/>
      <c r="H25" s="1157">
        <f>F25+F25*N25</f>
        <v>0</v>
      </c>
      <c r="I25" s="1158"/>
      <c r="J25" s="1157">
        <f>H25+H25*O25</f>
        <v>0</v>
      </c>
      <c r="K25" s="1158"/>
      <c r="L25" s="55"/>
      <c r="M25" s="358">
        <v>0.03</v>
      </c>
      <c r="N25" s="358">
        <f>M25</f>
        <v>0.03</v>
      </c>
      <c r="O25" s="358">
        <f>N25</f>
        <v>0.03</v>
      </c>
      <c r="P25" s="319"/>
      <c r="Q25" s="319"/>
      <c r="R25" s="319"/>
      <c r="S25" s="319"/>
      <c r="T25" s="319"/>
      <c r="U25" s="413"/>
      <c r="V25" s="413"/>
      <c r="W25" s="414"/>
    </row>
    <row r="26" spans="1:23" s="52" customFormat="1" ht="12.65" customHeight="1">
      <c r="A26"/>
      <c r="B26" s="233"/>
      <c r="C26" s="234" t="s">
        <v>375</v>
      </c>
      <c r="D26" s="1159">
        <v>0</v>
      </c>
      <c r="E26" s="1158"/>
      <c r="F26" s="1159">
        <f>D26</f>
        <v>0</v>
      </c>
      <c r="G26" s="1158"/>
      <c r="H26" s="1159">
        <f>F26</f>
        <v>0</v>
      </c>
      <c r="I26" s="1158"/>
      <c r="J26" s="1159">
        <f>H26</f>
        <v>0</v>
      </c>
      <c r="K26" s="1158"/>
      <c r="L26" s="55"/>
      <c r="M26" s="355"/>
      <c r="N26" s="319"/>
      <c r="O26" s="319"/>
      <c r="P26" s="319"/>
      <c r="Q26" s="319"/>
      <c r="R26" s="319"/>
      <c r="S26" s="319"/>
      <c r="T26" s="319"/>
      <c r="U26" s="413"/>
      <c r="V26" s="413"/>
      <c r="W26" s="414"/>
    </row>
    <row r="27" spans="1:23" s="52" customFormat="1" ht="12.65" customHeight="1">
      <c r="B27" s="233"/>
      <c r="C27" s="234" t="s">
        <v>371</v>
      </c>
      <c r="D27" s="1159">
        <v>12</v>
      </c>
      <c r="E27" s="1158"/>
      <c r="F27" s="1159">
        <v>12.5</v>
      </c>
      <c r="G27" s="1158"/>
      <c r="H27" s="1159">
        <f>F27</f>
        <v>12.5</v>
      </c>
      <c r="I27" s="1158"/>
      <c r="J27" s="1159">
        <f>H27</f>
        <v>12.5</v>
      </c>
      <c r="K27" s="1158"/>
      <c r="L27" s="55"/>
      <c r="M27" s="294">
        <f>F$8</f>
        <v>2026</v>
      </c>
      <c r="N27" s="294">
        <f>H$8</f>
        <v>2027</v>
      </c>
      <c r="O27" s="294">
        <f>J$8</f>
        <v>2028</v>
      </c>
      <c r="P27" s="418"/>
      <c r="Q27" s="319"/>
      <c r="R27" s="319"/>
      <c r="S27" s="319"/>
      <c r="T27" s="319"/>
      <c r="U27" s="413"/>
      <c r="V27" s="413"/>
      <c r="W27" s="414"/>
    </row>
    <row r="28" spans="1:23" s="52" customFormat="1" ht="12.65" customHeight="1">
      <c r="A28"/>
      <c r="B28" s="233"/>
      <c r="C28" s="234" t="s">
        <v>372</v>
      </c>
      <c r="D28" s="1157">
        <v>0</v>
      </c>
      <c r="E28" s="1162"/>
      <c r="F28" s="1157">
        <f>D28+D28*M28</f>
        <v>0</v>
      </c>
      <c r="G28" s="1158"/>
      <c r="H28" s="1157">
        <f>F28+F28*N28</f>
        <v>0</v>
      </c>
      <c r="I28" s="1158"/>
      <c r="J28" s="1157">
        <f>H28+H28*O28</f>
        <v>0</v>
      </c>
      <c r="K28" s="1158"/>
      <c r="L28" s="55"/>
      <c r="M28" s="358">
        <v>0.03</v>
      </c>
      <c r="N28" s="358">
        <f>M28</f>
        <v>0.03</v>
      </c>
      <c r="O28" s="358">
        <f>N28</f>
        <v>0.03</v>
      </c>
      <c r="P28" s="319"/>
      <c r="Q28" s="319"/>
      <c r="R28" s="319"/>
      <c r="S28" s="319"/>
      <c r="T28" s="319"/>
      <c r="U28" s="413"/>
      <c r="V28" s="413"/>
      <c r="W28" s="414"/>
    </row>
    <row r="29" spans="1:23" s="52" customFormat="1" ht="12.65" customHeight="1">
      <c r="A29"/>
      <c r="B29" s="233"/>
      <c r="C29" s="234" t="s">
        <v>617</v>
      </c>
      <c r="D29" s="1196">
        <v>0.27</v>
      </c>
      <c r="E29" s="1158"/>
      <c r="F29" s="1196">
        <f>D29</f>
        <v>0.27</v>
      </c>
      <c r="G29" s="1171"/>
      <c r="H29" s="1196">
        <f>F29</f>
        <v>0.27</v>
      </c>
      <c r="I29" s="1171"/>
      <c r="J29" s="1196">
        <f>H29</f>
        <v>0.27</v>
      </c>
      <c r="K29" s="1158"/>
      <c r="L29" s="55"/>
      <c r="M29" s="355"/>
      <c r="N29" s="319"/>
      <c r="O29" s="319"/>
      <c r="P29" s="319"/>
      <c r="Q29" s="319"/>
      <c r="R29" s="319"/>
      <c r="S29" s="319"/>
      <c r="T29" s="319"/>
      <c r="U29" s="413"/>
      <c r="V29" s="413"/>
      <c r="W29" s="414"/>
    </row>
    <row r="30" spans="1:23" s="52" customFormat="1" ht="12.65" customHeight="1" thickBot="1">
      <c r="A30"/>
      <c r="B30" s="233"/>
      <c r="C30" s="394" t="s">
        <v>376</v>
      </c>
      <c r="D30" s="1163">
        <v>0</v>
      </c>
      <c r="E30" s="1164"/>
      <c r="F30" s="1163"/>
      <c r="G30" s="1165"/>
      <c r="H30" s="1163"/>
      <c r="I30" s="1165"/>
      <c r="J30" s="1163"/>
      <c r="K30" s="1166"/>
      <c r="L30" s="55"/>
      <c r="M30" s="335"/>
      <c r="N30" s="199"/>
      <c r="O30" s="199"/>
      <c r="P30" s="319"/>
      <c r="Q30" s="319"/>
      <c r="R30" s="319"/>
      <c r="S30" s="319"/>
      <c r="T30" s="319"/>
      <c r="U30" s="413"/>
      <c r="V30" s="413"/>
      <c r="W30" s="414"/>
    </row>
    <row r="31" spans="1:23" s="1" customFormat="1" ht="13.5" customHeight="1">
      <c r="A31" s="53"/>
      <c r="B31" s="231" t="s">
        <v>3</v>
      </c>
      <c r="C31" s="236" t="s">
        <v>377</v>
      </c>
      <c r="D31" s="1167">
        <f>D32+D39+D41+D43+D42</f>
        <v>0</v>
      </c>
      <c r="E31" s="1168">
        <f>IF(D$44=0,0,D31/D$44*100)</f>
        <v>0</v>
      </c>
      <c r="F31" s="1167">
        <f>F32+F39+F41+F43+F42</f>
        <v>0</v>
      </c>
      <c r="G31" s="1168">
        <f>IF(F$44=0,0,F31/F$44*100)</f>
        <v>0</v>
      </c>
      <c r="H31" s="1167">
        <f>H32+H39+H41+H43+H42</f>
        <v>0</v>
      </c>
      <c r="I31" s="1168">
        <f>IF(H$44=0,0,H31/H$44*100)</f>
        <v>0</v>
      </c>
      <c r="J31" s="1167">
        <f>J32+J39+J41+J43+J42</f>
        <v>0</v>
      </c>
      <c r="K31" s="1168">
        <f>IF(J$44=0,0,J31/J$44*100)</f>
        <v>0</v>
      </c>
      <c r="L31" s="3"/>
      <c r="M31" s="335"/>
      <c r="N31" s="199"/>
      <c r="O31" s="199"/>
      <c r="P31" s="319"/>
      <c r="Q31" s="319"/>
      <c r="R31" s="319"/>
      <c r="S31" s="319"/>
      <c r="T31" s="319"/>
      <c r="U31" s="413"/>
      <c r="V31" s="413"/>
      <c r="W31" s="414"/>
    </row>
    <row r="32" spans="1:23" s="4" customFormat="1" ht="12.65" customHeight="1">
      <c r="A32" s="53"/>
      <c r="B32" s="232"/>
      <c r="C32" s="2396" t="s">
        <v>378</v>
      </c>
      <c r="D32" s="1027">
        <f>D34+D37+D38</f>
        <v>0</v>
      </c>
      <c r="E32" s="1169"/>
      <c r="F32" s="1027">
        <f>F34+F37+F38</f>
        <v>0</v>
      </c>
      <c r="G32" s="1169"/>
      <c r="H32" s="1027">
        <f>H34+H37+H38</f>
        <v>0</v>
      </c>
      <c r="I32" s="1169"/>
      <c r="J32" s="1027">
        <f>J34+J37+J38</f>
        <v>0</v>
      </c>
      <c r="K32" s="1169"/>
      <c r="L32" s="32"/>
      <c r="M32" s="335"/>
      <c r="N32" s="199"/>
      <c r="O32" s="199"/>
      <c r="P32" s="319"/>
      <c r="Q32" s="319"/>
      <c r="R32" s="319"/>
      <c r="S32" s="319"/>
      <c r="T32" s="319"/>
      <c r="U32" s="413"/>
      <c r="V32" s="413"/>
      <c r="W32" s="414"/>
    </row>
    <row r="33" spans="1:23" s="52" customFormat="1" ht="12.65" customHeight="1">
      <c r="A33" s="2"/>
      <c r="B33" s="233"/>
      <c r="C33" s="234" t="s">
        <v>379</v>
      </c>
      <c r="D33" s="1170">
        <v>0.1734</v>
      </c>
      <c r="E33" s="1171"/>
      <c r="F33" s="1172">
        <f>D33</f>
        <v>0.1734</v>
      </c>
      <c r="G33" s="1173"/>
      <c r="H33" s="1172">
        <f>F33</f>
        <v>0.1734</v>
      </c>
      <c r="I33" s="1171"/>
      <c r="J33" s="1172">
        <f>H33</f>
        <v>0.1734</v>
      </c>
      <c r="K33" s="1171"/>
      <c r="L33" s="55"/>
      <c r="M33" s="335"/>
      <c r="N33" s="199"/>
      <c r="O33" s="199"/>
      <c r="P33" s="319"/>
      <c r="Q33" s="319"/>
      <c r="R33" s="319"/>
      <c r="S33" s="319"/>
      <c r="T33" s="319"/>
      <c r="U33" s="413"/>
      <c r="V33" s="413"/>
      <c r="W33" s="414"/>
    </row>
    <row r="34" spans="1:23" s="52" customFormat="1" ht="12.65" customHeight="1">
      <c r="A34" s="53"/>
      <c r="B34" s="233"/>
      <c r="C34" s="234" t="s">
        <v>380</v>
      </c>
      <c r="D34" s="1174">
        <f>(D33)*(D17+D24+D22+D28)</f>
        <v>0</v>
      </c>
      <c r="E34" s="1158"/>
      <c r="F34" s="1174">
        <f>(F33)*(F17+F24+F22+F28)</f>
        <v>0</v>
      </c>
      <c r="G34" s="1175"/>
      <c r="H34" s="1174">
        <f>(H33)*(H17+H24+H22+H28)</f>
        <v>0</v>
      </c>
      <c r="I34" s="1158"/>
      <c r="J34" s="1174">
        <f>(J33)*(J17+J24+J22+J28)</f>
        <v>0</v>
      </c>
      <c r="K34" s="1158"/>
      <c r="L34" s="55"/>
      <c r="M34" s="294">
        <f>F$8</f>
        <v>2026</v>
      </c>
      <c r="N34" s="294">
        <f>H$8</f>
        <v>2027</v>
      </c>
      <c r="O34" s="294">
        <f>J$8</f>
        <v>2028</v>
      </c>
      <c r="P34" s="319"/>
      <c r="Q34" s="319"/>
      <c r="R34" s="319"/>
      <c r="S34" s="319"/>
      <c r="T34" s="319"/>
      <c r="U34" s="413"/>
      <c r="V34" s="413"/>
      <c r="W34" s="414"/>
    </row>
    <row r="35" spans="1:23" s="52" customFormat="1" ht="12.65" customHeight="1">
      <c r="A35"/>
      <c r="B35" s="233"/>
      <c r="C35" s="234" t="s">
        <v>636</v>
      </c>
      <c r="D35" s="1176">
        <f>D12+D14*D15</f>
        <v>0</v>
      </c>
      <c r="E35" s="1158"/>
      <c r="F35" s="1157">
        <f>D35+D35*M35</f>
        <v>0</v>
      </c>
      <c r="G35" s="1177"/>
      <c r="H35" s="1176">
        <f>F35+F35*N35</f>
        <v>0</v>
      </c>
      <c r="I35" s="1178"/>
      <c r="J35" s="1176">
        <f>H35+H35*O35</f>
        <v>0</v>
      </c>
      <c r="K35" s="1158"/>
      <c r="L35" s="55"/>
      <c r="M35" s="358">
        <v>0.03</v>
      </c>
      <c r="N35" s="358">
        <f>M35</f>
        <v>0.03</v>
      </c>
      <c r="O35" s="358">
        <f>N35</f>
        <v>0.03</v>
      </c>
      <c r="P35" s="319"/>
      <c r="Q35" s="319"/>
      <c r="R35" s="319"/>
      <c r="S35" s="319"/>
      <c r="T35" s="319"/>
      <c r="U35" s="413"/>
      <c r="V35" s="413"/>
      <c r="W35" s="414"/>
    </row>
    <row r="36" spans="1:23" s="52" customFormat="1" ht="12.65" customHeight="1">
      <c r="A36" s="53"/>
      <c r="B36" s="233"/>
      <c r="C36" s="234" t="s">
        <v>381</v>
      </c>
      <c r="D36" s="1170">
        <v>0.188</v>
      </c>
      <c r="E36" s="1171"/>
      <c r="F36" s="1170">
        <f>D36</f>
        <v>0.188</v>
      </c>
      <c r="G36" s="1173"/>
      <c r="H36" s="1170">
        <f>F36</f>
        <v>0.188</v>
      </c>
      <c r="I36" s="1171"/>
      <c r="J36" s="1170">
        <f>H36</f>
        <v>0.188</v>
      </c>
      <c r="K36" s="1171"/>
      <c r="L36" s="55"/>
      <c r="M36" s="335"/>
      <c r="N36" s="199"/>
      <c r="O36" s="199"/>
      <c r="P36" s="319"/>
      <c r="Q36" s="319"/>
      <c r="R36" s="319"/>
      <c r="S36" s="319"/>
      <c r="T36" s="319"/>
      <c r="U36" s="413"/>
      <c r="V36" s="413"/>
      <c r="W36" s="414"/>
    </row>
    <row r="37" spans="1:23" s="52" customFormat="1" ht="12.65" customHeight="1">
      <c r="A37"/>
      <c r="B37" s="233"/>
      <c r="C37" s="234" t="s">
        <v>382</v>
      </c>
      <c r="D37" s="1174">
        <f>IF(D35&gt;0,D35*D36,(D13+D14)*D15*D36)</f>
        <v>0</v>
      </c>
      <c r="E37" s="1158"/>
      <c r="F37" s="1174">
        <f>IF(F35&gt;0,F35*F36,(F13+F14)*F15*F36)</f>
        <v>0</v>
      </c>
      <c r="G37" s="1175"/>
      <c r="H37" s="1174">
        <f>IF(H35&gt;0,H35*H36,(H13+H14)*H15*H36)</f>
        <v>0</v>
      </c>
      <c r="I37" s="1158"/>
      <c r="J37" s="1174">
        <f>IF(J35&gt;0,J35*J36,(J13+J14)*J15*J36)</f>
        <v>0</v>
      </c>
      <c r="K37" s="1158"/>
      <c r="L37" s="55"/>
      <c r="M37" s="335"/>
      <c r="N37" s="199"/>
      <c r="O37" s="199"/>
      <c r="P37" s="319"/>
      <c r="Q37" s="319"/>
      <c r="R37" s="319"/>
      <c r="S37" s="319"/>
      <c r="T37" s="319"/>
      <c r="U37" s="413"/>
      <c r="V37" s="413"/>
      <c r="W37" s="414"/>
    </row>
    <row r="38" spans="1:23" s="52" customFormat="1" ht="12.65" customHeight="1">
      <c r="A38" s="53"/>
      <c r="B38" s="233"/>
      <c r="C38" s="234" t="s">
        <v>383</v>
      </c>
      <c r="D38" s="1157">
        <v>0</v>
      </c>
      <c r="E38" s="1158"/>
      <c r="F38" s="1157">
        <f>D38</f>
        <v>0</v>
      </c>
      <c r="G38" s="1175"/>
      <c r="H38" s="1157">
        <f>F38</f>
        <v>0</v>
      </c>
      <c r="I38" s="1158"/>
      <c r="J38" s="1157">
        <f>H38</f>
        <v>0</v>
      </c>
      <c r="K38" s="1158"/>
      <c r="L38" s="55"/>
      <c r="M38" s="335"/>
      <c r="N38" s="199"/>
      <c r="O38" s="199"/>
      <c r="P38" s="319"/>
      <c r="Q38" s="319"/>
      <c r="R38" s="319"/>
      <c r="S38" s="319"/>
      <c r="T38" s="319"/>
      <c r="U38" s="413"/>
      <c r="V38" s="413"/>
      <c r="W38" s="414"/>
    </row>
    <row r="39" spans="1:23" s="4" customFormat="1">
      <c r="A39" s="2"/>
      <c r="B39" s="232"/>
      <c r="C39" s="2396" t="s">
        <v>384</v>
      </c>
      <c r="D39" s="1174">
        <f>(D40)*(D17+D24+D22+D28)</f>
        <v>0</v>
      </c>
      <c r="E39" s="1169"/>
      <c r="F39" s="1174">
        <f>(F40)*(F17+F24+F22+F28)</f>
        <v>0</v>
      </c>
      <c r="G39" s="1179"/>
      <c r="H39" s="1174">
        <f>(H40)*(H17+H24+H22+H28)</f>
        <v>0</v>
      </c>
      <c r="I39" s="1169"/>
      <c r="J39" s="1174">
        <f>(J40)*(J17+J24+J22+J28)</f>
        <v>0</v>
      </c>
      <c r="K39" s="1169"/>
      <c r="L39" s="32"/>
      <c r="M39" s="335">
        <v>0</v>
      </c>
      <c r="N39" s="199"/>
      <c r="O39" s="199"/>
      <c r="P39" s="319"/>
      <c r="Q39" s="319"/>
      <c r="R39" s="319"/>
      <c r="S39" s="319"/>
      <c r="T39" s="319"/>
      <c r="U39" s="413"/>
      <c r="V39" s="413"/>
      <c r="W39" s="414"/>
    </row>
    <row r="40" spans="1:23" s="52" customFormat="1" ht="24" customHeight="1">
      <c r="A40" s="53"/>
      <c r="B40" s="233"/>
      <c r="C40" s="1369" t="s">
        <v>614</v>
      </c>
      <c r="D40" s="1170">
        <v>2.06E-2</v>
      </c>
      <c r="E40" s="1171"/>
      <c r="F40" s="1172">
        <f>D40</f>
        <v>2.06E-2</v>
      </c>
      <c r="G40" s="1173"/>
      <c r="H40" s="1172">
        <f>F40</f>
        <v>2.06E-2</v>
      </c>
      <c r="I40" s="1171"/>
      <c r="J40" s="1172">
        <f>H40</f>
        <v>2.06E-2</v>
      </c>
      <c r="K40" s="1171"/>
      <c r="L40" s="55"/>
      <c r="M40" s="355"/>
      <c r="N40" s="319"/>
      <c r="O40" s="319"/>
      <c r="P40" s="319"/>
      <c r="Q40" s="319"/>
      <c r="R40" s="319"/>
      <c r="S40" s="319"/>
      <c r="T40" s="319"/>
      <c r="U40" s="413"/>
      <c r="V40" s="413"/>
      <c r="W40" s="414"/>
    </row>
    <row r="41" spans="1:23" s="52" customFormat="1" ht="12.65" customHeight="1">
      <c r="A41"/>
      <c r="B41" s="233"/>
      <c r="C41" s="2397" t="s">
        <v>385</v>
      </c>
      <c r="D41" s="1027">
        <f>1.7%*D35+1.16%*(D12+D14*D15)</f>
        <v>0</v>
      </c>
      <c r="E41" s="1169"/>
      <c r="F41" s="1027">
        <f>1.7%*F35+1.16%*(F12+F14*F15)</f>
        <v>0</v>
      </c>
      <c r="G41" s="1180"/>
      <c r="H41" s="1027">
        <f>1.7%*H35+1.16%*(H12+H14*H15)</f>
        <v>0</v>
      </c>
      <c r="I41" s="1169"/>
      <c r="J41" s="1027">
        <f>1.7%*J35+1.16%*(J12+J14*J15)</f>
        <v>0</v>
      </c>
      <c r="K41" s="1169"/>
      <c r="L41" s="55"/>
      <c r="M41" s="294">
        <f>F$8</f>
        <v>2026</v>
      </c>
      <c r="N41" s="294">
        <f>H$8</f>
        <v>2027</v>
      </c>
      <c r="O41" s="294">
        <f>J$8</f>
        <v>2028</v>
      </c>
      <c r="P41" s="319"/>
      <c r="Q41" s="319"/>
      <c r="R41" s="319"/>
      <c r="S41" s="319"/>
      <c r="T41" s="319"/>
      <c r="U41" s="413"/>
      <c r="V41" s="413"/>
      <c r="W41" s="414"/>
    </row>
    <row r="42" spans="1:23" s="52" customFormat="1" ht="12.65" customHeight="1">
      <c r="A42"/>
      <c r="B42" s="233"/>
      <c r="C42" s="2397" t="s">
        <v>386</v>
      </c>
      <c r="D42" s="1181">
        <f>'2. T7 LÅN'!F32*0.008</f>
        <v>0</v>
      </c>
      <c r="E42" s="1169"/>
      <c r="F42" s="1181">
        <f>D42+D42*M42</f>
        <v>0</v>
      </c>
      <c r="G42" s="1180"/>
      <c r="H42" s="1181">
        <f>F42+F42*N42</f>
        <v>0</v>
      </c>
      <c r="I42" s="1169"/>
      <c r="J42" s="1181">
        <f>H42+H42*O42</f>
        <v>0</v>
      </c>
      <c r="K42" s="1169"/>
      <c r="L42" s="55"/>
      <c r="M42" s="358">
        <v>0.03</v>
      </c>
      <c r="N42" s="358">
        <f>M42</f>
        <v>0.03</v>
      </c>
      <c r="O42" s="358">
        <f>N42</f>
        <v>0.03</v>
      </c>
      <c r="P42" s="319"/>
      <c r="Q42" s="319"/>
      <c r="R42" s="319"/>
      <c r="S42" s="319"/>
      <c r="T42" s="319"/>
      <c r="U42" s="413"/>
      <c r="V42" s="413"/>
      <c r="W42" s="414"/>
    </row>
    <row r="43" spans="1:23" s="52" customFormat="1" ht="12.65" customHeight="1">
      <c r="A43" s="53"/>
      <c r="B43" s="233"/>
      <c r="C43" s="2396" t="s">
        <v>387</v>
      </c>
      <c r="D43" s="1025">
        <v>0</v>
      </c>
      <c r="E43" s="1169"/>
      <c r="F43" s="1025">
        <f>D43+D43*M43</f>
        <v>0</v>
      </c>
      <c r="G43" s="1169"/>
      <c r="H43" s="1025">
        <f>F43+F43*N43</f>
        <v>0</v>
      </c>
      <c r="I43" s="1169"/>
      <c r="J43" s="1025">
        <f>H43+H43*O43</f>
        <v>0</v>
      </c>
      <c r="K43" s="1169"/>
      <c r="L43" s="55"/>
      <c r="M43" s="358">
        <v>0.03</v>
      </c>
      <c r="N43" s="358">
        <f>M43</f>
        <v>0.03</v>
      </c>
      <c r="O43" s="358">
        <f>N43</f>
        <v>0.03</v>
      </c>
      <c r="P43" s="319"/>
      <c r="Q43" s="319"/>
      <c r="R43" s="319"/>
      <c r="S43" s="319"/>
      <c r="T43" s="319"/>
      <c r="U43" s="413"/>
      <c r="V43" s="413"/>
      <c r="W43" s="414"/>
    </row>
    <row r="44" spans="1:23" s="52" customFormat="1" ht="12.65" customHeight="1" thickBot="1">
      <c r="A44" s="2"/>
      <c r="B44" s="235"/>
      <c r="C44" s="237" t="s">
        <v>388</v>
      </c>
      <c r="D44" s="1182">
        <f>D31+D11</f>
        <v>0</v>
      </c>
      <c r="E44" s="1183">
        <v>100</v>
      </c>
      <c r="F44" s="1182">
        <f>F31+F11</f>
        <v>0</v>
      </c>
      <c r="G44" s="1183">
        <v>100</v>
      </c>
      <c r="H44" s="1182">
        <f>H31+H11</f>
        <v>0</v>
      </c>
      <c r="I44" s="1183">
        <v>100</v>
      </c>
      <c r="J44" s="1182">
        <f>J31+J11</f>
        <v>0</v>
      </c>
      <c r="K44" s="1183">
        <v>100</v>
      </c>
      <c r="L44" s="55"/>
      <c r="M44" s="335"/>
      <c r="N44" s="199"/>
      <c r="O44" s="199"/>
      <c r="P44" s="319"/>
      <c r="Q44" s="319"/>
      <c r="R44" s="319"/>
      <c r="S44" s="319"/>
      <c r="T44" s="319"/>
      <c r="U44" s="413"/>
      <c r="V44" s="413"/>
      <c r="W44" s="414"/>
    </row>
    <row r="45" spans="1:23" s="1" customFormat="1" ht="12.9" thickBot="1">
      <c r="A45" s="53"/>
      <c r="B45" s="231" t="s">
        <v>4</v>
      </c>
      <c r="C45" s="238" t="s">
        <v>523</v>
      </c>
      <c r="D45" s="1184">
        <f>D46+D52+D65+D72+D77+D83+D87+D91+D94+D95+D96+D102+D107+D112+D115+D120+D124+D125+D126+D127+D128+D130+D131+D129</f>
        <v>0</v>
      </c>
      <c r="E45" s="1185">
        <v>100</v>
      </c>
      <c r="F45" s="1184">
        <f>F46+F52+F65+F72+F77+F83+F87+F91+F94+F95+F96+F102+F107+F112+F115+F120+F124+F125+F126+F127+F128+F130+F131+F129</f>
        <v>0</v>
      </c>
      <c r="G45" s="1185">
        <v>100</v>
      </c>
      <c r="H45" s="1184">
        <f>H46+H52+H65+H72+H77+H83+H87+H91+H94+H95+H96+H102+H107+H112+H115+H120+H124+H125+H126+H127+H128+H130+H131+H129</f>
        <v>0</v>
      </c>
      <c r="I45" s="1185">
        <v>100</v>
      </c>
      <c r="J45" s="1184">
        <f>J46+J52+J65+J72+J77+J83+J87+J91+J94+J95+J96+J102+J107+J112+J115+J120+J124+J125+J126+J127+J128+J130+J131+J129</f>
        <v>0</v>
      </c>
      <c r="K45" s="1185">
        <v>100</v>
      </c>
      <c r="L45" s="3"/>
      <c r="M45" s="333"/>
      <c r="N45" s="334"/>
      <c r="O45" s="334"/>
      <c r="P45" s="319"/>
      <c r="Q45" s="319"/>
      <c r="R45" s="319"/>
      <c r="S45" s="319"/>
      <c r="T45" s="319"/>
      <c r="U45" s="413"/>
      <c r="V45" s="413"/>
      <c r="W45" s="414"/>
    </row>
    <row r="46" spans="1:23" s="4" customFormat="1" ht="12.75" customHeight="1">
      <c r="A46"/>
      <c r="B46" s="232" t="s">
        <v>0</v>
      </c>
      <c r="C46" s="239" t="s">
        <v>389</v>
      </c>
      <c r="D46" s="1186">
        <f>SUM(D47:D51)</f>
        <v>0</v>
      </c>
      <c r="E46" s="1187">
        <f>IF(D$45=0,0,100*D46/D$45)</f>
        <v>0</v>
      </c>
      <c r="F46" s="1186">
        <f>SUM(F47:F51)</f>
        <v>0</v>
      </c>
      <c r="G46" s="1187">
        <f>IF(F$45=0,0,100*F46/F$45)</f>
        <v>0</v>
      </c>
      <c r="H46" s="1186">
        <f>SUM(H47:H51)</f>
        <v>0</v>
      </c>
      <c r="I46" s="1187">
        <f>IF(H$45=0,0,100*H46/H$45)</f>
        <v>0</v>
      </c>
      <c r="J46" s="1186">
        <f>SUM(J47:J51)</f>
        <v>0</v>
      </c>
      <c r="K46" s="1187">
        <f>IF(J$45=0,0,100*J46/J$45)</f>
        <v>0</v>
      </c>
      <c r="L46" s="51"/>
      <c r="M46" s="294">
        <f>F$8</f>
        <v>2026</v>
      </c>
      <c r="N46" s="294">
        <f>H$8</f>
        <v>2027</v>
      </c>
      <c r="O46" s="294">
        <f>J$8</f>
        <v>2028</v>
      </c>
      <c r="P46" s="319"/>
      <c r="Q46" s="319"/>
      <c r="R46" s="319"/>
      <c r="S46" s="319"/>
      <c r="T46" s="319"/>
      <c r="U46" s="413"/>
      <c r="V46" s="413"/>
      <c r="W46" s="414"/>
    </row>
    <row r="47" spans="1:23" s="52" customFormat="1" ht="12.65" customHeight="1">
      <c r="A47" s="53"/>
      <c r="B47" s="233"/>
      <c r="C47" s="234" t="s">
        <v>390</v>
      </c>
      <c r="D47" s="1157">
        <v>0</v>
      </c>
      <c r="E47" s="1158"/>
      <c r="F47" s="1157">
        <f>D47+D47*M47</f>
        <v>0</v>
      </c>
      <c r="G47" s="1158"/>
      <c r="H47" s="1157">
        <f>F47+F47*N47</f>
        <v>0</v>
      </c>
      <c r="I47" s="1158"/>
      <c r="J47" s="1157">
        <f>H47+H47*O47</f>
        <v>0</v>
      </c>
      <c r="K47" s="1158"/>
      <c r="L47" s="56"/>
      <c r="M47" s="358">
        <v>0.03</v>
      </c>
      <c r="N47" s="358">
        <f t="shared" ref="N47:O51" si="0">M47</f>
        <v>0.03</v>
      </c>
      <c r="O47" s="358">
        <f t="shared" si="0"/>
        <v>0.03</v>
      </c>
      <c r="P47" s="319"/>
      <c r="Q47" s="319"/>
      <c r="R47" s="319"/>
      <c r="S47" s="319"/>
      <c r="T47" s="319"/>
      <c r="U47" s="413"/>
      <c r="V47" s="413"/>
      <c r="W47" s="414"/>
    </row>
    <row r="48" spans="1:23" s="52" customFormat="1" ht="12.65" customHeight="1">
      <c r="A48" s="2"/>
      <c r="B48" s="233"/>
      <c r="C48" s="234" t="s">
        <v>391</v>
      </c>
      <c r="D48" s="1157">
        <v>0</v>
      </c>
      <c r="E48" s="1158"/>
      <c r="F48" s="1157">
        <f>D48+D48*M48</f>
        <v>0</v>
      </c>
      <c r="G48" s="1158"/>
      <c r="H48" s="1157">
        <f>F48+F48*N48</f>
        <v>0</v>
      </c>
      <c r="I48" s="1158"/>
      <c r="J48" s="1157">
        <f>H48+H48*O48</f>
        <v>0</v>
      </c>
      <c r="K48" s="1158"/>
      <c r="L48" s="55"/>
      <c r="M48" s="358">
        <v>0.03</v>
      </c>
      <c r="N48" s="358">
        <f t="shared" si="0"/>
        <v>0.03</v>
      </c>
      <c r="O48" s="358">
        <f t="shared" si="0"/>
        <v>0.03</v>
      </c>
      <c r="P48" s="319"/>
      <c r="Q48" s="319"/>
      <c r="R48" s="319"/>
      <c r="S48" s="319"/>
      <c r="T48" s="319"/>
      <c r="U48" s="413"/>
      <c r="V48" s="413"/>
      <c r="W48" s="414"/>
    </row>
    <row r="49" spans="1:23" s="52" customFormat="1" ht="12.65" customHeight="1">
      <c r="A49" s="53"/>
      <c r="B49" s="233"/>
      <c r="C49" s="234" t="s">
        <v>392</v>
      </c>
      <c r="D49" s="1157">
        <v>0</v>
      </c>
      <c r="E49" s="1158"/>
      <c r="F49" s="1157">
        <f>D49+D49*M49</f>
        <v>0</v>
      </c>
      <c r="G49" s="1158"/>
      <c r="H49" s="1157">
        <f>F49+F49*N49</f>
        <v>0</v>
      </c>
      <c r="I49" s="1158"/>
      <c r="J49" s="1157">
        <f>H49+H49*O49</f>
        <v>0</v>
      </c>
      <c r="K49" s="1158"/>
      <c r="L49" s="55"/>
      <c r="M49" s="358">
        <v>0.03</v>
      </c>
      <c r="N49" s="358">
        <f t="shared" si="0"/>
        <v>0.03</v>
      </c>
      <c r="O49" s="358">
        <f t="shared" si="0"/>
        <v>0.03</v>
      </c>
      <c r="P49" s="319"/>
      <c r="Q49" s="319"/>
      <c r="R49" s="319"/>
      <c r="S49" s="319"/>
      <c r="T49" s="319"/>
      <c r="U49" s="413"/>
      <c r="V49" s="413"/>
      <c r="W49" s="414"/>
    </row>
    <row r="50" spans="1:23" s="52" customFormat="1" ht="12.65" customHeight="1">
      <c r="B50" s="233"/>
      <c r="C50" s="234" t="s">
        <v>393</v>
      </c>
      <c r="D50" s="1157">
        <v>0</v>
      </c>
      <c r="E50" s="1158"/>
      <c r="F50" s="1157">
        <f>D50+D50*M50</f>
        <v>0</v>
      </c>
      <c r="G50" s="1158"/>
      <c r="H50" s="1157">
        <f>F50+F50*N50</f>
        <v>0</v>
      </c>
      <c r="I50" s="1158"/>
      <c r="J50" s="1157">
        <f>H50+H50*O50</f>
        <v>0</v>
      </c>
      <c r="K50" s="1158"/>
      <c r="L50" s="55"/>
      <c r="M50" s="358">
        <v>0.03</v>
      </c>
      <c r="N50" s="358">
        <f t="shared" si="0"/>
        <v>0.03</v>
      </c>
      <c r="O50" s="358">
        <f t="shared" si="0"/>
        <v>0.03</v>
      </c>
      <c r="P50" s="319"/>
      <c r="Q50" s="319"/>
      <c r="R50" s="319"/>
      <c r="S50" s="319"/>
      <c r="T50" s="319"/>
      <c r="U50" s="413"/>
      <c r="V50" s="413"/>
      <c r="W50" s="414"/>
    </row>
    <row r="51" spans="1:23" s="52" customFormat="1" ht="12.65" customHeight="1" thickBot="1">
      <c r="A51" s="53"/>
      <c r="B51" s="233"/>
      <c r="C51" s="243" t="s">
        <v>394</v>
      </c>
      <c r="D51" s="1157">
        <v>0</v>
      </c>
      <c r="E51" s="1188"/>
      <c r="F51" s="1157">
        <f>D51+D51*M51</f>
        <v>0</v>
      </c>
      <c r="G51" s="1189"/>
      <c r="H51" s="1190">
        <f>F51+F51*N51</f>
        <v>0</v>
      </c>
      <c r="I51" s="1188"/>
      <c r="J51" s="1190">
        <f>H51+H51*O51</f>
        <v>0</v>
      </c>
      <c r="K51" s="1188"/>
      <c r="L51" s="55"/>
      <c r="M51" s="358">
        <v>0.03</v>
      </c>
      <c r="N51" s="358">
        <f t="shared" si="0"/>
        <v>0.03</v>
      </c>
      <c r="O51" s="358">
        <f t="shared" si="0"/>
        <v>0.03</v>
      </c>
      <c r="P51" s="319"/>
      <c r="Q51" s="319"/>
      <c r="R51" s="319"/>
      <c r="S51" s="319"/>
      <c r="T51" s="319"/>
      <c r="U51" s="413"/>
      <c r="V51" s="413"/>
      <c r="W51" s="414"/>
    </row>
    <row r="52" spans="1:23" s="4" customFormat="1" ht="12.75" customHeight="1">
      <c r="B52" s="337" t="s">
        <v>0</v>
      </c>
      <c r="C52" s="338" t="s">
        <v>687</v>
      </c>
      <c r="D52" s="1186">
        <f>D53+D56+D57+D58+D59+D60+D61+D62+D63*0.003+D64</f>
        <v>0</v>
      </c>
      <c r="E52" s="1187">
        <f>IF(D$45=0,0,100*D52/D$45)</f>
        <v>0</v>
      </c>
      <c r="F52" s="1186">
        <f>F53+F56+F57+F58+F59+F60+F61+F62+F63*0.003+F64</f>
        <v>0</v>
      </c>
      <c r="G52" s="1187">
        <f>IF(F$45=0,0,100*F52/F$45)</f>
        <v>0</v>
      </c>
      <c r="H52" s="1186">
        <f>H53+H56+H57+H58+H59+H60+H61+H62+H63*0.003+H64</f>
        <v>0</v>
      </c>
      <c r="I52" s="1187">
        <f>IF(H$45=0,0,100*H52/H$45)</f>
        <v>0</v>
      </c>
      <c r="J52" s="1186">
        <f>J53+J56+J57+J58+J59+J60+J61+J62+J63*0.003+J64</f>
        <v>0</v>
      </c>
      <c r="K52" s="1187">
        <f>IF(J$45=0,0,100*J52/J$45)</f>
        <v>0</v>
      </c>
      <c r="L52" s="51"/>
      <c r="M52" s="294">
        <f>F$8</f>
        <v>2026</v>
      </c>
      <c r="N52" s="294">
        <f>H$8</f>
        <v>2027</v>
      </c>
      <c r="O52" s="294">
        <f>J$8</f>
        <v>2028</v>
      </c>
      <c r="P52" s="319"/>
      <c r="Q52" s="319"/>
      <c r="R52" s="319" t="s">
        <v>0</v>
      </c>
      <c r="S52" s="319"/>
      <c r="T52" s="319"/>
      <c r="U52" s="413"/>
      <c r="V52" s="413"/>
      <c r="W52" s="414"/>
    </row>
    <row r="53" spans="1:23" s="52" customFormat="1" ht="12.65" customHeight="1">
      <c r="A53" s="53"/>
      <c r="B53" s="240"/>
      <c r="C53" s="234" t="s">
        <v>646</v>
      </c>
      <c r="D53" s="1174">
        <f>D54*D55</f>
        <v>0</v>
      </c>
      <c r="E53" s="1158"/>
      <c r="F53" s="1174">
        <f>F54*F55</f>
        <v>0</v>
      </c>
      <c r="G53" s="1158"/>
      <c r="H53" s="1174">
        <f>H54*H55</f>
        <v>0</v>
      </c>
      <c r="I53" s="1158"/>
      <c r="J53" s="1174">
        <f>J54*J55</f>
        <v>0</v>
      </c>
      <c r="K53" s="1158"/>
      <c r="L53" s="56"/>
      <c r="M53" s="358">
        <v>0.03</v>
      </c>
      <c r="N53" s="358">
        <f t="shared" ref="N53:O64" si="1">M53</f>
        <v>0.03</v>
      </c>
      <c r="O53" s="358">
        <f t="shared" si="1"/>
        <v>0.03</v>
      </c>
      <c r="P53" s="319"/>
      <c r="Q53" s="319"/>
      <c r="R53" s="319"/>
      <c r="S53" s="319"/>
      <c r="T53" s="319"/>
      <c r="U53" s="413"/>
      <c r="V53" s="413"/>
      <c r="W53" s="414"/>
    </row>
    <row r="54" spans="1:23" s="52" customFormat="1" ht="12.65" customHeight="1">
      <c r="A54" s="53"/>
      <c r="B54" s="240"/>
      <c r="C54" s="234" t="s">
        <v>399</v>
      </c>
      <c r="D54" s="1157">
        <v>0</v>
      </c>
      <c r="E54" s="1158"/>
      <c r="F54" s="1157">
        <f>D54+D54*M54</f>
        <v>0</v>
      </c>
      <c r="G54" s="1158"/>
      <c r="H54" s="1157">
        <f>F54+F54*N54</f>
        <v>0</v>
      </c>
      <c r="I54" s="1158"/>
      <c r="J54" s="1157">
        <f>H54+H54*O54</f>
        <v>0</v>
      </c>
      <c r="K54" s="1158"/>
      <c r="L54" s="56"/>
      <c r="M54" s="358">
        <v>0.03</v>
      </c>
      <c r="N54" s="358">
        <f t="shared" si="1"/>
        <v>0.03</v>
      </c>
      <c r="O54" s="358">
        <f t="shared" si="1"/>
        <v>0.03</v>
      </c>
      <c r="P54" s="319"/>
      <c r="Q54" s="319"/>
      <c r="R54" s="319"/>
      <c r="S54" s="319"/>
      <c r="T54" s="319"/>
      <c r="U54" s="413"/>
      <c r="V54" s="413"/>
      <c r="W54" s="414"/>
    </row>
    <row r="55" spans="1:23" s="52" customFormat="1" ht="12.65" customHeight="1">
      <c r="A55" s="53"/>
      <c r="B55" s="240"/>
      <c r="C55" s="234" t="s">
        <v>400</v>
      </c>
      <c r="D55" s="1157">
        <f>D10</f>
        <v>12</v>
      </c>
      <c r="E55" s="1158"/>
      <c r="F55" s="1157">
        <f>D55</f>
        <v>12</v>
      </c>
      <c r="G55" s="1158"/>
      <c r="H55" s="1157">
        <f>F55</f>
        <v>12</v>
      </c>
      <c r="I55" s="1158"/>
      <c r="J55" s="1157">
        <f>H55</f>
        <v>12</v>
      </c>
      <c r="K55" s="1158"/>
      <c r="L55" s="56"/>
      <c r="M55" s="294">
        <f>F$8</f>
        <v>2026</v>
      </c>
      <c r="N55" s="294">
        <f>H$8</f>
        <v>2027</v>
      </c>
      <c r="O55" s="294">
        <f>J$8</f>
        <v>2028</v>
      </c>
      <c r="P55" s="319"/>
      <c r="Q55" s="319"/>
      <c r="R55" s="319"/>
      <c r="S55" s="319"/>
      <c r="T55" s="319"/>
      <c r="U55" s="413"/>
      <c r="V55" s="413"/>
      <c r="W55" s="414"/>
    </row>
    <row r="56" spans="1:23" s="52" customFormat="1" ht="12.65" customHeight="1">
      <c r="A56"/>
      <c r="B56" s="233"/>
      <c r="C56" s="234" t="s">
        <v>395</v>
      </c>
      <c r="D56" s="1157">
        <v>0</v>
      </c>
      <c r="E56" s="1158"/>
      <c r="F56" s="1157">
        <f t="shared" ref="F56:F64" si="2">D56+D56*M56</f>
        <v>0</v>
      </c>
      <c r="G56" s="1158"/>
      <c r="H56" s="1157">
        <f t="shared" ref="H56:H64" si="3">F56+F56*N56</f>
        <v>0</v>
      </c>
      <c r="I56" s="1158"/>
      <c r="J56" s="1157">
        <f t="shared" ref="J56:J64" si="4">H56+H56*O56</f>
        <v>0</v>
      </c>
      <c r="K56" s="1158"/>
      <c r="L56" s="57"/>
      <c r="M56" s="358">
        <v>0.03</v>
      </c>
      <c r="N56" s="358">
        <f t="shared" si="1"/>
        <v>0.03</v>
      </c>
      <c r="O56" s="358">
        <f t="shared" si="1"/>
        <v>0.03</v>
      </c>
      <c r="P56" s="319"/>
      <c r="Q56" s="319"/>
      <c r="R56" s="319"/>
      <c r="S56" s="319"/>
      <c r="T56" s="319"/>
      <c r="U56" s="413"/>
      <c r="V56" s="413"/>
      <c r="W56" s="414"/>
    </row>
    <row r="57" spans="1:23" s="52" customFormat="1" ht="12.65" customHeight="1">
      <c r="A57" s="53"/>
      <c r="B57" s="233"/>
      <c r="C57" s="234" t="s">
        <v>396</v>
      </c>
      <c r="D57" s="1157">
        <v>0</v>
      </c>
      <c r="E57" s="1158"/>
      <c r="F57" s="1157">
        <f t="shared" si="2"/>
        <v>0</v>
      </c>
      <c r="G57" s="1158"/>
      <c r="H57" s="1157">
        <f t="shared" si="3"/>
        <v>0</v>
      </c>
      <c r="I57" s="1158"/>
      <c r="J57" s="1157">
        <f t="shared" si="4"/>
        <v>0</v>
      </c>
      <c r="K57" s="1158"/>
      <c r="L57" s="57"/>
      <c r="M57" s="358">
        <v>0.03</v>
      </c>
      <c r="N57" s="358">
        <f t="shared" si="1"/>
        <v>0.03</v>
      </c>
      <c r="O57" s="358">
        <f t="shared" si="1"/>
        <v>0.03</v>
      </c>
      <c r="P57" s="319"/>
      <c r="Q57" s="319"/>
      <c r="R57" s="319"/>
      <c r="S57" s="319"/>
      <c r="T57" s="319"/>
      <c r="U57" s="413"/>
      <c r="V57" s="413"/>
      <c r="W57" s="414"/>
    </row>
    <row r="58" spans="1:23" s="52" customFormat="1" ht="12.65" customHeight="1">
      <c r="A58" s="2"/>
      <c r="B58" s="233"/>
      <c r="C58" s="234" t="s">
        <v>397</v>
      </c>
      <c r="D58" s="1157">
        <v>0</v>
      </c>
      <c r="E58" s="1158"/>
      <c r="F58" s="1157">
        <f t="shared" si="2"/>
        <v>0</v>
      </c>
      <c r="G58" s="1158"/>
      <c r="H58" s="1157">
        <f t="shared" si="3"/>
        <v>0</v>
      </c>
      <c r="I58" s="1158"/>
      <c r="J58" s="1157">
        <f t="shared" si="4"/>
        <v>0</v>
      </c>
      <c r="K58" s="1158"/>
      <c r="L58" s="57"/>
      <c r="M58" s="358">
        <v>0.03</v>
      </c>
      <c r="N58" s="358">
        <f t="shared" si="1"/>
        <v>0.03</v>
      </c>
      <c r="O58" s="358">
        <f t="shared" si="1"/>
        <v>0.03</v>
      </c>
      <c r="P58" s="319"/>
      <c r="Q58" s="319"/>
      <c r="R58" s="319"/>
      <c r="S58" s="319"/>
      <c r="T58" s="319"/>
      <c r="U58" s="413"/>
      <c r="V58" s="413"/>
      <c r="W58" s="414"/>
    </row>
    <row r="59" spans="1:23" s="52" customFormat="1" ht="12.65" customHeight="1">
      <c r="A59" s="53"/>
      <c r="B59" s="233"/>
      <c r="C59" s="234" t="s">
        <v>524</v>
      </c>
      <c r="D59" s="1157">
        <v>0</v>
      </c>
      <c r="E59" s="1158"/>
      <c r="F59" s="1157">
        <f t="shared" si="2"/>
        <v>0</v>
      </c>
      <c r="G59" s="1158"/>
      <c r="H59" s="1157">
        <f t="shared" si="3"/>
        <v>0</v>
      </c>
      <c r="I59" s="1158"/>
      <c r="J59" s="1157">
        <f t="shared" si="4"/>
        <v>0</v>
      </c>
      <c r="K59" s="1158"/>
      <c r="L59" s="57"/>
      <c r="M59" s="358">
        <v>0.03</v>
      </c>
      <c r="N59" s="358">
        <f t="shared" si="1"/>
        <v>0.03</v>
      </c>
      <c r="O59" s="358">
        <f t="shared" si="1"/>
        <v>0.03</v>
      </c>
      <c r="P59" s="319"/>
      <c r="Q59" s="319"/>
      <c r="R59" s="319"/>
      <c r="S59" s="319"/>
      <c r="T59" s="319"/>
      <c r="U59" s="413"/>
      <c r="V59" s="413"/>
      <c r="W59" s="414"/>
    </row>
    <row r="60" spans="1:23" s="52" customFormat="1" ht="12.65" customHeight="1">
      <c r="A60"/>
      <c r="B60" s="233"/>
      <c r="C60" s="234" t="s">
        <v>401</v>
      </c>
      <c r="D60" s="1157">
        <v>0</v>
      </c>
      <c r="E60" s="1158"/>
      <c r="F60" s="1157">
        <f t="shared" si="2"/>
        <v>0</v>
      </c>
      <c r="G60" s="1158"/>
      <c r="H60" s="1157">
        <f t="shared" si="3"/>
        <v>0</v>
      </c>
      <c r="I60" s="1158"/>
      <c r="J60" s="1157">
        <f t="shared" si="4"/>
        <v>0</v>
      </c>
      <c r="K60" s="1158"/>
      <c r="L60" s="57"/>
      <c r="M60" s="358">
        <v>0.03</v>
      </c>
      <c r="N60" s="358">
        <f t="shared" si="1"/>
        <v>0.03</v>
      </c>
      <c r="O60" s="358">
        <f t="shared" si="1"/>
        <v>0.03</v>
      </c>
      <c r="P60" s="319"/>
      <c r="Q60" s="319"/>
      <c r="R60" s="319"/>
      <c r="S60" s="319"/>
      <c r="T60" s="319"/>
      <c r="U60" s="413"/>
      <c r="V60" s="413"/>
      <c r="W60" s="414"/>
    </row>
    <row r="61" spans="1:23" s="52" customFormat="1" ht="12.65" customHeight="1">
      <c r="A61" s="53"/>
      <c r="B61" s="233"/>
      <c r="C61" s="234" t="s">
        <v>398</v>
      </c>
      <c r="D61" s="1157">
        <v>0</v>
      </c>
      <c r="E61" s="1158"/>
      <c r="F61" s="1157">
        <f t="shared" si="2"/>
        <v>0</v>
      </c>
      <c r="G61" s="1158"/>
      <c r="H61" s="1157">
        <f t="shared" si="3"/>
        <v>0</v>
      </c>
      <c r="I61" s="1158"/>
      <c r="J61" s="1157">
        <f t="shared" si="4"/>
        <v>0</v>
      </c>
      <c r="K61" s="1158"/>
      <c r="L61" s="57"/>
      <c r="M61" s="358">
        <v>0.03</v>
      </c>
      <c r="N61" s="358">
        <f t="shared" si="1"/>
        <v>0.03</v>
      </c>
      <c r="O61" s="358">
        <f t="shared" si="1"/>
        <v>0.03</v>
      </c>
      <c r="P61" s="319"/>
      <c r="Q61" s="319"/>
      <c r="R61" s="319"/>
      <c r="S61" s="319"/>
      <c r="T61" s="319"/>
      <c r="U61" s="413"/>
      <c r="V61" s="413"/>
      <c r="W61" s="414"/>
    </row>
    <row r="62" spans="1:23" s="52" customFormat="1" ht="12.65" customHeight="1">
      <c r="A62" s="2"/>
      <c r="B62" s="233"/>
      <c r="C62" s="234" t="s">
        <v>402</v>
      </c>
      <c r="D62" s="1157">
        <v>0</v>
      </c>
      <c r="E62" s="1158"/>
      <c r="F62" s="1157">
        <f t="shared" si="2"/>
        <v>0</v>
      </c>
      <c r="G62" s="1158"/>
      <c r="H62" s="1157">
        <f t="shared" si="3"/>
        <v>0</v>
      </c>
      <c r="I62" s="1158"/>
      <c r="J62" s="1157">
        <f t="shared" si="4"/>
        <v>0</v>
      </c>
      <c r="K62" s="1158"/>
      <c r="L62" s="57"/>
      <c r="M62" s="358">
        <v>0.03</v>
      </c>
      <c r="N62" s="358">
        <f t="shared" si="1"/>
        <v>0.03</v>
      </c>
      <c r="O62" s="358">
        <f t="shared" si="1"/>
        <v>0.03</v>
      </c>
      <c r="P62" s="319"/>
      <c r="Q62" s="319"/>
      <c r="R62" s="319"/>
      <c r="S62" s="319"/>
      <c r="T62" s="319"/>
      <c r="U62" s="413"/>
      <c r="V62" s="413"/>
      <c r="W62" s="414"/>
    </row>
    <row r="63" spans="1:23" s="52" customFormat="1" ht="12.65" customHeight="1">
      <c r="A63" s="53"/>
      <c r="B63" s="233"/>
      <c r="C63" s="234" t="s">
        <v>403</v>
      </c>
      <c r="D63" s="1157">
        <v>0</v>
      </c>
      <c r="E63" s="1158"/>
      <c r="F63" s="1157">
        <f t="shared" si="2"/>
        <v>0</v>
      </c>
      <c r="G63" s="1158">
        <v>0</v>
      </c>
      <c r="H63" s="1157">
        <f t="shared" si="3"/>
        <v>0</v>
      </c>
      <c r="I63" s="1158"/>
      <c r="J63" s="1157">
        <f t="shared" si="4"/>
        <v>0</v>
      </c>
      <c r="K63" s="1158"/>
      <c r="L63" s="57"/>
      <c r="M63" s="358">
        <v>0.03</v>
      </c>
      <c r="N63" s="358">
        <f t="shared" si="1"/>
        <v>0.03</v>
      </c>
      <c r="O63" s="358">
        <f t="shared" si="1"/>
        <v>0.03</v>
      </c>
      <c r="P63" s="319"/>
      <c r="Q63" s="319"/>
      <c r="R63" s="319"/>
      <c r="S63" s="319"/>
      <c r="T63" s="319"/>
      <c r="U63" s="413"/>
      <c r="V63" s="413"/>
      <c r="W63" s="414"/>
    </row>
    <row r="64" spans="1:23" s="52" customFormat="1" ht="12.65" customHeight="1" thickBot="1">
      <c r="A64"/>
      <c r="B64" s="233"/>
      <c r="C64" s="241" t="s">
        <v>404</v>
      </c>
      <c r="D64" s="1157">
        <v>0</v>
      </c>
      <c r="E64" s="1191"/>
      <c r="F64" s="1157">
        <f t="shared" si="2"/>
        <v>0</v>
      </c>
      <c r="G64" s="1191"/>
      <c r="H64" s="1157">
        <f t="shared" si="3"/>
        <v>0</v>
      </c>
      <c r="I64" s="1191"/>
      <c r="J64" s="1157">
        <f t="shared" si="4"/>
        <v>0</v>
      </c>
      <c r="K64" s="1191"/>
      <c r="L64" s="57"/>
      <c r="M64" s="358">
        <v>0.03</v>
      </c>
      <c r="N64" s="358">
        <f t="shared" si="1"/>
        <v>0.03</v>
      </c>
      <c r="O64" s="358">
        <f t="shared" si="1"/>
        <v>0.03</v>
      </c>
      <c r="P64" s="319"/>
      <c r="Q64" s="319"/>
      <c r="R64" s="319"/>
      <c r="S64" s="319"/>
      <c r="T64" s="319"/>
      <c r="U64" s="413"/>
      <c r="V64" s="413"/>
      <c r="W64" s="414"/>
    </row>
    <row r="65" spans="1:23" s="4" customFormat="1" ht="12.75" customHeight="1">
      <c r="A65" s="53"/>
      <c r="B65" s="232"/>
      <c r="C65" s="239" t="s">
        <v>692</v>
      </c>
      <c r="D65" s="1186">
        <f>IF(D69=0,0,PMT(D69/12,D68,(-D67+D71)*D66))+D71*(D69+3%)+IF(D69=0,0,20*D66)</f>
        <v>0</v>
      </c>
      <c r="E65" s="1187">
        <f>IF(D$45=0,0,100*D65/D$45)</f>
        <v>0</v>
      </c>
      <c r="F65" s="1186">
        <f>IF(F69=0,0,PMT(F69/12,F68,(-F67+F71)*F66))+F71*(F69+3%)+IF(F69=0,0,20*F66)</f>
        <v>0</v>
      </c>
      <c r="G65" s="1187">
        <f>IF(F$45=0,0,100*F65/F$45)</f>
        <v>0</v>
      </c>
      <c r="H65" s="1186">
        <f>IF(H69=0,0,PMT(H69/12,H68,(-H67+H71)*H66))+H71*(H69+3%)+IF(H69=0,0,20*H66)</f>
        <v>0</v>
      </c>
      <c r="I65" s="1187">
        <f>IF(H$45=0,0,100*H65/H$45)</f>
        <v>0</v>
      </c>
      <c r="J65" s="1186">
        <f>IF(J69=0,0,PMT(J69/12,J68,(-J67+J71)*J66))+J71*(J69+3%)+IF(J69=0,0,20*J66)</f>
        <v>0</v>
      </c>
      <c r="K65" s="1187">
        <f>IF(J$45=0,0,100*J65/J$45)</f>
        <v>0</v>
      </c>
      <c r="L65" s="32"/>
      <c r="M65" s="615"/>
      <c r="N65" s="383"/>
      <c r="O65" s="383"/>
      <c r="P65" s="319"/>
      <c r="Q65" s="319"/>
      <c r="R65" s="319"/>
      <c r="S65" s="319"/>
      <c r="T65" s="319"/>
      <c r="U65" s="413"/>
      <c r="V65" s="413"/>
      <c r="W65" s="414"/>
    </row>
    <row r="66" spans="1:23" s="4" customFormat="1" ht="12.75" customHeight="1">
      <c r="A66"/>
      <c r="B66" s="232"/>
      <c r="C66" s="234" t="s">
        <v>405</v>
      </c>
      <c r="D66" s="1192">
        <v>12</v>
      </c>
      <c r="E66" s="1193"/>
      <c r="F66" s="1192">
        <v>12</v>
      </c>
      <c r="G66" s="1193"/>
      <c r="H66" s="1192">
        <v>12</v>
      </c>
      <c r="I66" s="1193">
        <v>0</v>
      </c>
      <c r="J66" s="1192">
        <v>12</v>
      </c>
      <c r="K66" s="1158"/>
      <c r="L66" s="32"/>
      <c r="M66" s="1370"/>
      <c r="N66" s="618"/>
      <c r="O66" s="618"/>
      <c r="P66" s="178"/>
      <c r="Q66" s="319"/>
      <c r="R66" s="319"/>
      <c r="S66" s="319"/>
      <c r="T66" s="319"/>
      <c r="U66" s="413"/>
      <c r="V66" s="413"/>
      <c r="W66" s="414"/>
    </row>
    <row r="67" spans="1:23" s="4" customFormat="1" ht="12.75" customHeight="1">
      <c r="A67"/>
      <c r="B67" s="232"/>
      <c r="C67" s="381" t="s">
        <v>406</v>
      </c>
      <c r="D67" s="1194">
        <v>0</v>
      </c>
      <c r="E67" s="1166"/>
      <c r="F67" s="1194">
        <v>0</v>
      </c>
      <c r="G67" s="1166"/>
      <c r="H67" s="1194">
        <v>0</v>
      </c>
      <c r="I67" s="1166"/>
      <c r="J67" s="1194">
        <v>0</v>
      </c>
      <c r="K67" s="1166"/>
      <c r="L67" s="32"/>
      <c r="M67" s="616"/>
      <c r="N67" s="382"/>
      <c r="O67" s="382"/>
      <c r="P67" s="319"/>
      <c r="Q67" s="319"/>
      <c r="R67" s="319"/>
      <c r="S67" s="319"/>
      <c r="T67" s="319"/>
      <c r="U67" s="413"/>
      <c r="V67" s="413"/>
      <c r="W67" s="414"/>
    </row>
    <row r="68" spans="1:23" s="4" customFormat="1" ht="12.75" customHeight="1">
      <c r="A68" s="53"/>
      <c r="B68" s="232"/>
      <c r="C68" s="381" t="s">
        <v>407</v>
      </c>
      <c r="D68" s="1157">
        <v>0</v>
      </c>
      <c r="E68" s="1158"/>
      <c r="F68" s="1157">
        <v>0</v>
      </c>
      <c r="G68" s="1158"/>
      <c r="H68" s="1157">
        <v>0</v>
      </c>
      <c r="I68" s="1158"/>
      <c r="J68" s="1157">
        <v>0</v>
      </c>
      <c r="K68" s="1158"/>
      <c r="L68" s="32"/>
      <c r="M68" s="616"/>
      <c r="N68" s="382"/>
      <c r="O68" s="382"/>
      <c r="P68" s="319"/>
      <c r="Q68" s="319"/>
      <c r="R68" s="319"/>
      <c r="S68" s="319"/>
      <c r="T68" s="319"/>
      <c r="U68" s="413"/>
      <c r="V68" s="413"/>
      <c r="W68" s="414"/>
    </row>
    <row r="69" spans="1:23" s="4" customFormat="1" ht="12.75" customHeight="1">
      <c r="A69" s="2"/>
      <c r="B69" s="232"/>
      <c r="C69" s="381" t="s">
        <v>408</v>
      </c>
      <c r="D69" s="1195">
        <v>0</v>
      </c>
      <c r="E69" s="1158"/>
      <c r="F69" s="1196">
        <v>0</v>
      </c>
      <c r="G69" s="1158"/>
      <c r="H69" s="1196">
        <v>0</v>
      </c>
      <c r="I69" s="1158"/>
      <c r="J69" s="1196">
        <v>0</v>
      </c>
      <c r="K69" s="1158"/>
      <c r="L69" s="32"/>
      <c r="M69" s="617"/>
      <c r="P69" s="319"/>
      <c r="Q69" s="319"/>
      <c r="R69" s="319"/>
      <c r="S69" s="319"/>
      <c r="T69" s="319"/>
      <c r="U69" s="413"/>
      <c r="V69" s="413"/>
      <c r="W69" s="414"/>
    </row>
    <row r="70" spans="1:23" s="4" customFormat="1" ht="12.75" customHeight="1">
      <c r="A70" s="2"/>
      <c r="B70" s="232"/>
      <c r="C70" s="381" t="s">
        <v>508</v>
      </c>
      <c r="D70" s="1195">
        <v>0.3</v>
      </c>
      <c r="E70" s="1166"/>
      <c r="F70" s="1195">
        <f>D70</f>
        <v>0.3</v>
      </c>
      <c r="G70" s="1166"/>
      <c r="H70" s="1195">
        <f>F70</f>
        <v>0.3</v>
      </c>
      <c r="I70" s="1166"/>
      <c r="J70" s="1195">
        <f>H70</f>
        <v>0.3</v>
      </c>
      <c r="K70" s="1166"/>
      <c r="L70" s="32"/>
      <c r="M70" s="617"/>
      <c r="P70" s="319"/>
      <c r="Q70" s="319"/>
      <c r="R70" s="319"/>
      <c r="S70" s="319"/>
      <c r="T70" s="319"/>
      <c r="U70" s="413"/>
      <c r="V70" s="413"/>
      <c r="W70" s="414"/>
    </row>
    <row r="71" spans="1:23" s="4" customFormat="1" ht="12.75" customHeight="1" thickBot="1">
      <c r="A71" s="2"/>
      <c r="B71" s="232"/>
      <c r="C71" s="381" t="s">
        <v>690</v>
      </c>
      <c r="D71" s="1197">
        <f>D70*D67</f>
        <v>0</v>
      </c>
      <c r="E71" s="1166"/>
      <c r="F71" s="1197">
        <f>F70*F67</f>
        <v>0</v>
      </c>
      <c r="G71" s="1166"/>
      <c r="H71" s="1197">
        <f>H70*H67</f>
        <v>0</v>
      </c>
      <c r="I71" s="1166"/>
      <c r="J71" s="1197">
        <f>J70*J67</f>
        <v>0</v>
      </c>
      <c r="K71" s="1166"/>
      <c r="L71" s="32"/>
      <c r="M71" s="1446"/>
      <c r="N71" s="1447"/>
      <c r="O71" s="1447"/>
      <c r="P71" s="416"/>
      <c r="Q71" s="416"/>
      <c r="R71" s="416"/>
      <c r="S71" s="416"/>
      <c r="T71" s="416"/>
      <c r="U71" s="1445"/>
      <c r="V71" s="1445"/>
      <c r="W71" s="417"/>
    </row>
    <row r="72" spans="1:23" s="4" customFormat="1" ht="12.75" customHeight="1">
      <c r="A72"/>
      <c r="B72" s="232"/>
      <c r="C72" s="239" t="s">
        <v>693</v>
      </c>
      <c r="D72" s="1186">
        <f>SUM(D73:D76)</f>
        <v>0</v>
      </c>
      <c r="E72" s="1187">
        <f>IF(D$45=0,0,100*D72/D$45)</f>
        <v>0</v>
      </c>
      <c r="F72" s="1186">
        <f>SUM(F73:F76)</f>
        <v>0</v>
      </c>
      <c r="G72" s="1187">
        <f>IF(F$45=0,0,100*F72/F$45)</f>
        <v>0</v>
      </c>
      <c r="H72" s="1186">
        <f>SUM(H73:H76)</f>
        <v>0</v>
      </c>
      <c r="I72" s="1187">
        <f>IF(H$45=0,0,100*H72/H$45)</f>
        <v>0</v>
      </c>
      <c r="J72" s="1186">
        <f>SUM(J73:J76)</f>
        <v>0</v>
      </c>
      <c r="K72" s="1187">
        <f>IF(J$45=0,0,100*J72/J$45)</f>
        <v>0</v>
      </c>
      <c r="L72" s="32"/>
      <c r="M72" s="294">
        <f>F$8</f>
        <v>2026</v>
      </c>
      <c r="N72" s="294">
        <f>H$8</f>
        <v>2027</v>
      </c>
      <c r="O72" s="294">
        <f>J$8</f>
        <v>2028</v>
      </c>
      <c r="P72" s="410"/>
      <c r="Q72" s="410"/>
      <c r="R72" s="410"/>
      <c r="S72" s="410"/>
      <c r="T72" s="410"/>
      <c r="U72" s="411"/>
      <c r="V72" s="411"/>
      <c r="W72" s="412"/>
    </row>
    <row r="73" spans="1:23" s="52" customFormat="1" ht="12.65" customHeight="1">
      <c r="A73"/>
      <c r="B73" s="233"/>
      <c r="C73" s="234" t="s">
        <v>683</v>
      </c>
      <c r="D73" s="1157">
        <v>0</v>
      </c>
      <c r="E73" s="1158"/>
      <c r="F73" s="1157">
        <f>D73+D73*M73</f>
        <v>0</v>
      </c>
      <c r="G73" s="1158"/>
      <c r="H73" s="1157">
        <f>F73+F73*N73</f>
        <v>0</v>
      </c>
      <c r="I73" s="1158"/>
      <c r="J73" s="1157">
        <f>H73+H73*O73</f>
        <v>0</v>
      </c>
      <c r="K73" s="1158"/>
      <c r="L73" s="55"/>
      <c r="M73" s="358">
        <v>0.03</v>
      </c>
      <c r="N73" s="358">
        <f t="shared" ref="N73:O76" si="5">M73</f>
        <v>0.03</v>
      </c>
      <c r="O73" s="358">
        <f t="shared" si="5"/>
        <v>0.03</v>
      </c>
      <c r="P73" s="319"/>
      <c r="Q73" s="319"/>
      <c r="R73" s="319"/>
      <c r="S73" s="319"/>
      <c r="T73" s="319"/>
      <c r="U73" s="413"/>
      <c r="V73" s="413"/>
      <c r="W73" s="414"/>
    </row>
    <row r="74" spans="1:23" s="52" customFormat="1" ht="12.65" customHeight="1">
      <c r="A74"/>
      <c r="B74" s="233"/>
      <c r="C74" s="234" t="s">
        <v>409</v>
      </c>
      <c r="D74" s="1157">
        <v>0</v>
      </c>
      <c r="E74" s="1158"/>
      <c r="F74" s="1157">
        <f>D74+D74*M74</f>
        <v>0</v>
      </c>
      <c r="G74" s="1158"/>
      <c r="H74" s="1157">
        <f>F74+F74*N74</f>
        <v>0</v>
      </c>
      <c r="I74" s="1158"/>
      <c r="J74" s="1157">
        <f>H74+H74*O74</f>
        <v>0</v>
      </c>
      <c r="K74" s="1158"/>
      <c r="L74" s="55"/>
      <c r="M74" s="358">
        <v>0.03</v>
      </c>
      <c r="N74" s="358">
        <f t="shared" si="5"/>
        <v>0.03</v>
      </c>
      <c r="O74" s="358">
        <f t="shared" si="5"/>
        <v>0.03</v>
      </c>
      <c r="P74" s="319"/>
      <c r="Q74" s="319"/>
      <c r="R74" s="319"/>
      <c r="S74" s="319"/>
      <c r="T74" s="319"/>
      <c r="U74" s="413"/>
      <c r="V74" s="413"/>
      <c r="W74" s="414"/>
    </row>
    <row r="75" spans="1:23" s="52" customFormat="1" ht="12.65" customHeight="1">
      <c r="A75"/>
      <c r="B75" s="233"/>
      <c r="C75" s="234" t="s">
        <v>684</v>
      </c>
      <c r="D75" s="1157">
        <v>0</v>
      </c>
      <c r="E75" s="1158"/>
      <c r="F75" s="1157">
        <f>D75+D75*M75</f>
        <v>0</v>
      </c>
      <c r="G75" s="1158"/>
      <c r="H75" s="1157">
        <f>F75+F75*N75</f>
        <v>0</v>
      </c>
      <c r="I75" s="1158"/>
      <c r="J75" s="1157">
        <f>H75+H75*O75</f>
        <v>0</v>
      </c>
      <c r="K75" s="1158"/>
      <c r="L75" s="55"/>
      <c r="M75" s="358">
        <v>0.03</v>
      </c>
      <c r="N75" s="358">
        <f t="shared" si="5"/>
        <v>0.03</v>
      </c>
      <c r="O75" s="358">
        <f t="shared" si="5"/>
        <v>0.03</v>
      </c>
      <c r="P75" s="319"/>
      <c r="Q75" s="319"/>
      <c r="R75" s="319"/>
      <c r="S75" s="319"/>
      <c r="T75" s="319"/>
      <c r="U75" s="413"/>
      <c r="V75" s="413"/>
      <c r="W75" s="414"/>
    </row>
    <row r="76" spans="1:23" s="52" customFormat="1" ht="12.65" customHeight="1" thickBot="1">
      <c r="A76"/>
      <c r="B76" s="233"/>
      <c r="C76" s="241" t="s">
        <v>685</v>
      </c>
      <c r="D76" s="1198">
        <v>0</v>
      </c>
      <c r="E76" s="1191"/>
      <c r="F76" s="1198">
        <f>D76+D76*M76</f>
        <v>0</v>
      </c>
      <c r="G76" s="1191"/>
      <c r="H76" s="1198">
        <f>F76+F76*N76</f>
        <v>0</v>
      </c>
      <c r="I76" s="1191"/>
      <c r="J76" s="1198">
        <f>H76+H76*O76</f>
        <v>0</v>
      </c>
      <c r="K76" s="1191"/>
      <c r="L76" s="55"/>
      <c r="M76" s="358">
        <v>0.03</v>
      </c>
      <c r="N76" s="358">
        <f t="shared" si="5"/>
        <v>0.03</v>
      </c>
      <c r="O76" s="358">
        <f t="shared" si="5"/>
        <v>0.03</v>
      </c>
      <c r="P76" s="319"/>
      <c r="Q76" s="319"/>
      <c r="R76" s="319"/>
      <c r="S76" s="319"/>
      <c r="T76" s="319"/>
      <c r="U76" s="413"/>
      <c r="V76" s="413"/>
      <c r="W76" s="414"/>
    </row>
    <row r="77" spans="1:23" s="4" customFormat="1" ht="12.75" customHeight="1">
      <c r="A77"/>
      <c r="B77" s="232"/>
      <c r="C77" s="239" t="s">
        <v>410</v>
      </c>
      <c r="D77" s="1024">
        <f>SUM(D78:D82)</f>
        <v>0</v>
      </c>
      <c r="E77" s="1187">
        <f>IF(D$45=0,0,100*D77/D$45)</f>
        <v>0</v>
      </c>
      <c r="F77" s="1024">
        <f>SUM(F78:F82)</f>
        <v>0</v>
      </c>
      <c r="G77" s="1187">
        <f>IF(F$45=0,0,100*F77/F$45)</f>
        <v>0</v>
      </c>
      <c r="H77" s="1024">
        <f>SUM(H78:H82)</f>
        <v>0</v>
      </c>
      <c r="I77" s="1187">
        <f>IF(H$45=0,0,100*H77/H$45)</f>
        <v>0</v>
      </c>
      <c r="J77" s="1024">
        <f>SUM(J78:J82)</f>
        <v>0</v>
      </c>
      <c r="K77" s="1187">
        <f>IF(J$45=0,0,100*J77/J$45)</f>
        <v>0</v>
      </c>
      <c r="L77" s="32"/>
      <c r="M77" s="294">
        <f>F$8</f>
        <v>2026</v>
      </c>
      <c r="N77" s="294">
        <f>H$8</f>
        <v>2027</v>
      </c>
      <c r="O77" s="294">
        <f>J$8</f>
        <v>2028</v>
      </c>
      <c r="P77" s="319"/>
      <c r="Q77" s="319"/>
      <c r="R77" s="319"/>
      <c r="S77" s="319"/>
      <c r="T77" s="319"/>
      <c r="U77" s="413"/>
      <c r="V77" s="413"/>
      <c r="W77" s="414"/>
    </row>
    <row r="78" spans="1:23" s="52" customFormat="1" ht="12.65" customHeight="1">
      <c r="A78"/>
      <c r="B78" s="233"/>
      <c r="C78" s="234" t="s">
        <v>507</v>
      </c>
      <c r="D78" s="1157">
        <v>0</v>
      </c>
      <c r="E78" s="1158"/>
      <c r="F78" s="1157">
        <f>D78+D78*M78</f>
        <v>0</v>
      </c>
      <c r="G78" s="1158"/>
      <c r="H78" s="1157">
        <f>F78+F78*N78</f>
        <v>0</v>
      </c>
      <c r="I78" s="1158"/>
      <c r="J78" s="1157">
        <f>H78+H78*O78</f>
        <v>0</v>
      </c>
      <c r="K78" s="1158"/>
      <c r="L78" s="55"/>
      <c r="M78" s="358">
        <v>0.03</v>
      </c>
      <c r="N78" s="358">
        <f t="shared" ref="N78:O82" si="6">M78</f>
        <v>0.03</v>
      </c>
      <c r="O78" s="358">
        <f t="shared" si="6"/>
        <v>0.03</v>
      </c>
      <c r="P78" s="319"/>
      <c r="Q78" s="319"/>
      <c r="R78" s="319"/>
      <c r="S78" s="319"/>
      <c r="T78" s="319"/>
      <c r="U78" s="413"/>
      <c r="V78" s="413"/>
      <c r="W78" s="414"/>
    </row>
    <row r="79" spans="1:23" s="52" customFormat="1" ht="12.65" customHeight="1">
      <c r="A79"/>
      <c r="B79" s="233"/>
      <c r="C79" s="234" t="s">
        <v>411</v>
      </c>
      <c r="D79" s="1157">
        <v>0</v>
      </c>
      <c r="E79" s="1158"/>
      <c r="F79" s="1157">
        <f>D79+D79*M79</f>
        <v>0</v>
      </c>
      <c r="G79" s="1158"/>
      <c r="H79" s="1157">
        <f>F79+F79*N79</f>
        <v>0</v>
      </c>
      <c r="I79" s="1158"/>
      <c r="J79" s="1157">
        <f>H79+H79*O79</f>
        <v>0</v>
      </c>
      <c r="K79" s="1158"/>
      <c r="L79" s="55"/>
      <c r="M79" s="358">
        <v>0.03</v>
      </c>
      <c r="N79" s="358">
        <f t="shared" si="6"/>
        <v>0.03</v>
      </c>
      <c r="O79" s="358">
        <f t="shared" si="6"/>
        <v>0.03</v>
      </c>
      <c r="P79" s="319"/>
      <c r="Q79" s="319"/>
      <c r="R79" s="319"/>
      <c r="S79" s="319"/>
      <c r="T79" s="319"/>
      <c r="U79" s="413"/>
      <c r="V79" s="413"/>
      <c r="W79" s="414"/>
    </row>
    <row r="80" spans="1:23" s="52" customFormat="1" ht="12.65" customHeight="1">
      <c r="A80"/>
      <c r="B80" s="233"/>
      <c r="C80" s="234" t="s">
        <v>412</v>
      </c>
      <c r="D80" s="1157">
        <v>0</v>
      </c>
      <c r="E80" s="1158"/>
      <c r="F80" s="1157">
        <f>D80+D80*M80</f>
        <v>0</v>
      </c>
      <c r="G80" s="1158"/>
      <c r="H80" s="1157">
        <f>F80+F80*N80</f>
        <v>0</v>
      </c>
      <c r="I80" s="1158"/>
      <c r="J80" s="1157">
        <f>H80+H80*O80</f>
        <v>0</v>
      </c>
      <c r="K80" s="1158"/>
      <c r="L80" s="55"/>
      <c r="M80" s="358">
        <v>0.03</v>
      </c>
      <c r="N80" s="358">
        <f t="shared" si="6"/>
        <v>0.03</v>
      </c>
      <c r="O80" s="358">
        <f t="shared" si="6"/>
        <v>0.03</v>
      </c>
      <c r="P80" s="319"/>
      <c r="Q80" s="319"/>
      <c r="R80" s="319"/>
      <c r="S80" s="319"/>
      <c r="T80" s="319"/>
      <c r="U80" s="413"/>
      <c r="V80" s="413"/>
      <c r="W80" s="414"/>
    </row>
    <row r="81" spans="1:23" s="52" customFormat="1" ht="12.65" customHeight="1">
      <c r="A81"/>
      <c r="B81" s="233"/>
      <c r="C81" s="234" t="s">
        <v>413</v>
      </c>
      <c r="D81" s="1157">
        <v>0</v>
      </c>
      <c r="E81" s="1158"/>
      <c r="F81" s="1157">
        <f>D81+D81*M81</f>
        <v>0</v>
      </c>
      <c r="G81" s="1158"/>
      <c r="H81" s="1157">
        <f>F81+F81*N81</f>
        <v>0</v>
      </c>
      <c r="I81" s="1158"/>
      <c r="J81" s="1157">
        <f>H81+H81*O81</f>
        <v>0</v>
      </c>
      <c r="K81" s="1158"/>
      <c r="L81" s="55"/>
      <c r="M81" s="358">
        <v>0.03</v>
      </c>
      <c r="N81" s="358">
        <f t="shared" si="6"/>
        <v>0.03</v>
      </c>
      <c r="O81" s="358">
        <f t="shared" si="6"/>
        <v>0.03</v>
      </c>
      <c r="P81" s="319"/>
      <c r="Q81" s="319"/>
      <c r="R81" s="319"/>
      <c r="S81" s="319"/>
      <c r="T81" s="319"/>
      <c r="U81" s="413"/>
      <c r="V81" s="413"/>
      <c r="W81" s="414"/>
    </row>
    <row r="82" spans="1:23" s="52" customFormat="1" ht="12.65" customHeight="1" thickBot="1">
      <c r="A82"/>
      <c r="B82" s="233"/>
      <c r="C82" s="241" t="s">
        <v>414</v>
      </c>
      <c r="D82" s="1157">
        <v>0</v>
      </c>
      <c r="E82" s="1191"/>
      <c r="F82" s="1157">
        <f>D82+D82*M82</f>
        <v>0</v>
      </c>
      <c r="G82" s="1191"/>
      <c r="H82" s="1157">
        <f>F82+F82*N82</f>
        <v>0</v>
      </c>
      <c r="I82" s="1191"/>
      <c r="J82" s="1157">
        <f>H82+H82*O82</f>
        <v>0</v>
      </c>
      <c r="K82" s="1191"/>
      <c r="L82" s="55"/>
      <c r="M82" s="358">
        <v>0.03</v>
      </c>
      <c r="N82" s="358">
        <f t="shared" si="6"/>
        <v>0.03</v>
      </c>
      <c r="O82" s="358">
        <f t="shared" si="6"/>
        <v>0.03</v>
      </c>
      <c r="P82" s="319"/>
      <c r="Q82" s="319"/>
      <c r="R82" s="319"/>
      <c r="S82" s="319"/>
      <c r="T82" s="319"/>
      <c r="U82" s="413"/>
      <c r="V82" s="413"/>
      <c r="W82" s="414"/>
    </row>
    <row r="83" spans="1:23" s="4" customFormat="1" ht="12.75" customHeight="1">
      <c r="A83"/>
      <c r="B83" s="232"/>
      <c r="C83" s="242" t="s">
        <v>686</v>
      </c>
      <c r="D83" s="1186">
        <f>SUM(D84:D86)</f>
        <v>0</v>
      </c>
      <c r="E83" s="1187">
        <f>IF(D$45=0,0,100*D83/D$45)</f>
        <v>0</v>
      </c>
      <c r="F83" s="1186">
        <f>SUM(F84:F86)</f>
        <v>0</v>
      </c>
      <c r="G83" s="1187">
        <f>IF(F$45=0,0,100*F83/F$45)</f>
        <v>0</v>
      </c>
      <c r="H83" s="1186">
        <f>SUM(H84:H86)</f>
        <v>0</v>
      </c>
      <c r="I83" s="1187">
        <f>IF(H$45=0,0,100*H83/H$45)</f>
        <v>0</v>
      </c>
      <c r="J83" s="1199">
        <f>SUM(J84:J86)</f>
        <v>0</v>
      </c>
      <c r="K83" s="1187">
        <f>IF(J$45=0,0,100*J83/J$45)</f>
        <v>0</v>
      </c>
      <c r="L83" s="32"/>
      <c r="M83" s="294">
        <f>F$8</f>
        <v>2026</v>
      </c>
      <c r="N83" s="294">
        <f>H$8</f>
        <v>2027</v>
      </c>
      <c r="O83" s="294">
        <f>J$8</f>
        <v>2028</v>
      </c>
      <c r="P83" s="319"/>
      <c r="Q83" s="319"/>
      <c r="R83" s="319"/>
      <c r="S83" s="319"/>
      <c r="T83" s="319"/>
      <c r="U83" s="413"/>
      <c r="V83" s="413"/>
      <c r="W83" s="414"/>
    </row>
    <row r="84" spans="1:23" s="52" customFormat="1" ht="12.65" customHeight="1">
      <c r="A84"/>
      <c r="B84" s="233"/>
      <c r="C84" s="234" t="s">
        <v>412</v>
      </c>
      <c r="D84" s="1157">
        <v>0</v>
      </c>
      <c r="E84" s="1158"/>
      <c r="F84" s="1157">
        <f>D84+D84*M84</f>
        <v>0</v>
      </c>
      <c r="G84" s="1158"/>
      <c r="H84" s="1157">
        <f>F84+F84*N84</f>
        <v>0</v>
      </c>
      <c r="I84" s="1158"/>
      <c r="J84" s="1157">
        <f>H84+H84*O84</f>
        <v>0</v>
      </c>
      <c r="K84" s="1158"/>
      <c r="L84" s="55"/>
      <c r="M84" s="358">
        <v>0.03</v>
      </c>
      <c r="N84" s="358">
        <f t="shared" ref="N84:O86" si="7">M84</f>
        <v>0.03</v>
      </c>
      <c r="O84" s="358">
        <f t="shared" si="7"/>
        <v>0.03</v>
      </c>
      <c r="P84" s="319"/>
      <c r="Q84" s="319">
        <v>0</v>
      </c>
      <c r="R84" s="319"/>
      <c r="S84" s="319"/>
      <c r="T84" s="319"/>
      <c r="U84" s="413"/>
      <c r="V84" s="413"/>
      <c r="W84" s="414"/>
    </row>
    <row r="85" spans="1:23" s="52" customFormat="1" ht="12.65" customHeight="1">
      <c r="A85"/>
      <c r="B85" s="233"/>
      <c r="C85" s="234" t="s">
        <v>415</v>
      </c>
      <c r="D85" s="1157">
        <v>0</v>
      </c>
      <c r="E85" s="1158"/>
      <c r="F85" s="1157">
        <f>D85+D85*M85</f>
        <v>0</v>
      </c>
      <c r="G85" s="1158"/>
      <c r="H85" s="1157">
        <f>F85+F85*N85</f>
        <v>0</v>
      </c>
      <c r="I85" s="1158"/>
      <c r="J85" s="1157">
        <f>H85+H85*O85</f>
        <v>0</v>
      </c>
      <c r="K85" s="1158"/>
      <c r="L85" s="55"/>
      <c r="M85" s="358">
        <v>0.03</v>
      </c>
      <c r="N85" s="358">
        <f t="shared" si="7"/>
        <v>0.03</v>
      </c>
      <c r="O85" s="358">
        <f t="shared" si="7"/>
        <v>0.03</v>
      </c>
      <c r="P85" s="319"/>
      <c r="Q85" s="319"/>
      <c r="R85" s="319"/>
      <c r="S85" s="319"/>
      <c r="T85" s="319"/>
      <c r="U85" s="413"/>
      <c r="V85" s="413"/>
      <c r="W85" s="414"/>
    </row>
    <row r="86" spans="1:23" s="52" customFormat="1" ht="12.65" customHeight="1" thickBot="1">
      <c r="A86"/>
      <c r="B86" s="233"/>
      <c r="C86" s="241" t="s">
        <v>416</v>
      </c>
      <c r="D86" s="1157">
        <v>0</v>
      </c>
      <c r="E86" s="1191"/>
      <c r="F86" s="1157">
        <f>D86+D86*M86</f>
        <v>0</v>
      </c>
      <c r="G86" s="1191"/>
      <c r="H86" s="1157">
        <f>F86+F86*N86</f>
        <v>0</v>
      </c>
      <c r="I86" s="1191"/>
      <c r="J86" s="1157">
        <f>H86+H86*O86</f>
        <v>0</v>
      </c>
      <c r="K86" s="1191"/>
      <c r="L86" s="55"/>
      <c r="M86" s="358">
        <v>0.03</v>
      </c>
      <c r="N86" s="358">
        <f t="shared" si="7"/>
        <v>0.03</v>
      </c>
      <c r="O86" s="358">
        <f t="shared" si="7"/>
        <v>0.03</v>
      </c>
      <c r="P86" s="319"/>
      <c r="Q86" s="319"/>
      <c r="R86" s="319"/>
      <c r="S86" s="319"/>
      <c r="T86" s="319"/>
      <c r="U86" s="413"/>
      <c r="V86" s="413"/>
      <c r="W86" s="414"/>
    </row>
    <row r="87" spans="1:23" s="4" customFormat="1" ht="12.75" customHeight="1">
      <c r="A87"/>
      <c r="B87" s="232"/>
      <c r="C87" s="239" t="s">
        <v>417</v>
      </c>
      <c r="D87" s="1186">
        <f>SUM(D88:D90)</f>
        <v>0</v>
      </c>
      <c r="E87" s="1187">
        <f>IF(D$45=0,0,100*D87/D$45)</f>
        <v>0</v>
      </c>
      <c r="F87" s="1186">
        <f>SUM(F88:F90)</f>
        <v>0</v>
      </c>
      <c r="G87" s="1187">
        <f>IF(F$45=0,0,100*F87/F$45)</f>
        <v>0</v>
      </c>
      <c r="H87" s="1186">
        <f>SUM(H88:H90)</f>
        <v>0</v>
      </c>
      <c r="I87" s="1187">
        <f>IF(H$45=0,0,100*H87/H$45)</f>
        <v>0</v>
      </c>
      <c r="J87" s="1186">
        <f>SUM(J88:J90)</f>
        <v>0</v>
      </c>
      <c r="K87" s="1187">
        <f>IF(J$45=0,0,100*J87/J$45)</f>
        <v>0</v>
      </c>
      <c r="L87" s="32"/>
      <c r="M87" s="294">
        <f>F$8</f>
        <v>2026</v>
      </c>
      <c r="N87" s="294">
        <f>H$8</f>
        <v>2027</v>
      </c>
      <c r="O87" s="294">
        <f>J$8</f>
        <v>2028</v>
      </c>
      <c r="P87" s="319"/>
      <c r="Q87" s="319"/>
      <c r="R87" s="319"/>
      <c r="S87" s="319"/>
      <c r="T87" s="319"/>
      <c r="U87" s="413"/>
      <c r="V87" s="413"/>
      <c r="W87" s="414"/>
    </row>
    <row r="88" spans="1:23" s="52" customFormat="1" ht="12.65" customHeight="1">
      <c r="A88"/>
      <c r="B88" s="233"/>
      <c r="C88" s="234" t="s">
        <v>418</v>
      </c>
      <c r="D88" s="1157">
        <v>0</v>
      </c>
      <c r="E88" s="1158"/>
      <c r="F88" s="1157">
        <f>D88+D88*M88</f>
        <v>0</v>
      </c>
      <c r="G88" s="1158"/>
      <c r="H88" s="1157">
        <f>F88+F88*N88</f>
        <v>0</v>
      </c>
      <c r="I88" s="1158"/>
      <c r="J88" s="1157">
        <f>H88+H88*O88</f>
        <v>0</v>
      </c>
      <c r="K88" s="1158"/>
      <c r="L88" s="55"/>
      <c r="M88" s="358">
        <v>0.03</v>
      </c>
      <c r="N88" s="358">
        <f t="shared" ref="N88:O90" si="8">M88</f>
        <v>0.03</v>
      </c>
      <c r="O88" s="358">
        <f t="shared" si="8"/>
        <v>0.03</v>
      </c>
      <c r="P88" s="319"/>
      <c r="Q88" s="319"/>
      <c r="R88" s="319"/>
      <c r="S88" s="319"/>
      <c r="T88" s="319"/>
      <c r="U88" s="413"/>
      <c r="V88" s="413"/>
      <c r="W88" s="414"/>
    </row>
    <row r="89" spans="1:23" s="52" customFormat="1" ht="12.65" customHeight="1">
      <c r="A89"/>
      <c r="B89" s="233"/>
      <c r="C89" s="234" t="s">
        <v>419</v>
      </c>
      <c r="D89" s="1157">
        <v>0</v>
      </c>
      <c r="E89" s="1158"/>
      <c r="F89" s="1157">
        <f>D89+D89*M89</f>
        <v>0</v>
      </c>
      <c r="G89" s="1158"/>
      <c r="H89" s="1157">
        <f>F89+F89*N89</f>
        <v>0</v>
      </c>
      <c r="I89" s="1158"/>
      <c r="J89" s="1157">
        <f>H89+H89*O89</f>
        <v>0</v>
      </c>
      <c r="K89" s="1158"/>
      <c r="L89" s="55"/>
      <c r="M89" s="358">
        <v>0.03</v>
      </c>
      <c r="N89" s="358">
        <f t="shared" si="8"/>
        <v>0.03</v>
      </c>
      <c r="O89" s="358">
        <f t="shared" si="8"/>
        <v>0.03</v>
      </c>
      <c r="P89" s="319"/>
      <c r="Q89" s="319"/>
      <c r="R89" s="319"/>
      <c r="S89" s="319"/>
      <c r="T89" s="319"/>
      <c r="U89" s="413"/>
      <c r="V89" s="413"/>
      <c r="W89" s="414"/>
    </row>
    <row r="90" spans="1:23" s="52" customFormat="1" ht="12.65" customHeight="1" thickBot="1">
      <c r="A90"/>
      <c r="B90" s="233"/>
      <c r="C90" s="241" t="s">
        <v>420</v>
      </c>
      <c r="D90" s="1198">
        <v>0</v>
      </c>
      <c r="E90" s="1191"/>
      <c r="F90" s="1157">
        <f>D90+D90*M90</f>
        <v>0</v>
      </c>
      <c r="G90" s="1191"/>
      <c r="H90" s="1157">
        <f>F90+F90*N90</f>
        <v>0</v>
      </c>
      <c r="I90" s="1191"/>
      <c r="J90" s="1157">
        <f>H90+H90*O90</f>
        <v>0</v>
      </c>
      <c r="K90" s="1191"/>
      <c r="L90" s="55"/>
      <c r="M90" s="358">
        <v>0.03</v>
      </c>
      <c r="N90" s="358">
        <f t="shared" si="8"/>
        <v>0.03</v>
      </c>
      <c r="O90" s="358">
        <f t="shared" si="8"/>
        <v>0.03</v>
      </c>
      <c r="P90" s="319"/>
      <c r="Q90" s="319"/>
      <c r="R90" s="319"/>
      <c r="S90" s="319"/>
      <c r="T90" s="319"/>
      <c r="U90" s="413"/>
      <c r="V90" s="413"/>
      <c r="W90" s="414"/>
    </row>
    <row r="91" spans="1:23" s="4" customFormat="1" ht="12.75" customHeight="1">
      <c r="A91"/>
      <c r="B91" s="232"/>
      <c r="C91" s="242" t="s">
        <v>421</v>
      </c>
      <c r="D91" s="1186">
        <f>SUM(D92:D93)</f>
        <v>0</v>
      </c>
      <c r="E91" s="1187">
        <f>IF(D$45=0,0,100*D91/D$45)</f>
        <v>0</v>
      </c>
      <c r="F91" s="1186">
        <f>SUM(F92:F93)</f>
        <v>0</v>
      </c>
      <c r="G91" s="1187">
        <f>IF(F$45=0,0,100*F91/F$45)</f>
        <v>0</v>
      </c>
      <c r="H91" s="1186">
        <f>SUM(H92:H93)</f>
        <v>0</v>
      </c>
      <c r="I91" s="1187">
        <f>IF(H$45=0,0,100*H91/H$45)</f>
        <v>0</v>
      </c>
      <c r="J91" s="1186">
        <f>SUM(J92:J93)</f>
        <v>0</v>
      </c>
      <c r="K91" s="1187">
        <f>IF(J$45=0,0,100*J91/J$45)</f>
        <v>0</v>
      </c>
      <c r="L91" s="32"/>
      <c r="M91" s="294">
        <f>F$8</f>
        <v>2026</v>
      </c>
      <c r="N91" s="294">
        <f>H$8</f>
        <v>2027</v>
      </c>
      <c r="O91" s="294">
        <f>J$8</f>
        <v>2028</v>
      </c>
      <c r="P91" s="319"/>
      <c r="Q91" s="319"/>
      <c r="R91" s="319"/>
      <c r="S91" s="319"/>
      <c r="T91" s="319"/>
      <c r="U91" s="413"/>
      <c r="V91" s="413"/>
      <c r="W91" s="414"/>
    </row>
    <row r="92" spans="1:23" s="52" customFormat="1" ht="12.65" customHeight="1">
      <c r="A92"/>
      <c r="B92" s="233"/>
      <c r="C92" s="234" t="s">
        <v>422</v>
      </c>
      <c r="D92" s="1157">
        <v>0</v>
      </c>
      <c r="E92" s="1158"/>
      <c r="F92" s="1157">
        <f>D92+D92*M92</f>
        <v>0</v>
      </c>
      <c r="G92" s="1158"/>
      <c r="H92" s="1157">
        <f>F92+F92*N92</f>
        <v>0</v>
      </c>
      <c r="I92" s="1158"/>
      <c r="J92" s="1157">
        <f>H92+H92*O92</f>
        <v>0</v>
      </c>
      <c r="K92" s="1158"/>
      <c r="L92" s="55"/>
      <c r="M92" s="358">
        <v>0.03</v>
      </c>
      <c r="N92" s="358">
        <f t="shared" ref="N92:O95" si="9">M92</f>
        <v>0.03</v>
      </c>
      <c r="O92" s="358">
        <f t="shared" si="9"/>
        <v>0.03</v>
      </c>
      <c r="P92" s="319" t="s">
        <v>0</v>
      </c>
      <c r="Q92" s="319"/>
      <c r="R92" s="319" t="s">
        <v>0</v>
      </c>
      <c r="S92" s="319" t="s">
        <v>0</v>
      </c>
      <c r="T92" s="319"/>
      <c r="U92" s="413"/>
      <c r="V92" s="413"/>
      <c r="W92" s="414"/>
    </row>
    <row r="93" spans="1:23" s="52" customFormat="1" ht="12.65" customHeight="1" thickBot="1">
      <c r="A93"/>
      <c r="B93" s="233"/>
      <c r="C93" s="243" t="s">
        <v>423</v>
      </c>
      <c r="D93" s="1190">
        <v>0</v>
      </c>
      <c r="E93" s="1188"/>
      <c r="F93" s="1157">
        <f>D93+D93*M93</f>
        <v>0</v>
      </c>
      <c r="G93" s="1188"/>
      <c r="H93" s="1190">
        <f>F93+F93*N93</f>
        <v>0</v>
      </c>
      <c r="I93" s="1188"/>
      <c r="J93" s="1190">
        <f>H93+H93*O93</f>
        <v>0</v>
      </c>
      <c r="K93" s="1191"/>
      <c r="L93" s="55"/>
      <c r="M93" s="358">
        <v>0.03</v>
      </c>
      <c r="N93" s="358">
        <f t="shared" si="9"/>
        <v>0.03</v>
      </c>
      <c r="O93" s="358">
        <f t="shared" si="9"/>
        <v>0.03</v>
      </c>
      <c r="P93" s="319"/>
      <c r="Q93" s="319"/>
      <c r="R93" s="319"/>
      <c r="S93" s="319"/>
      <c r="T93" s="319"/>
      <c r="U93" s="413"/>
      <c r="V93" s="413"/>
      <c r="W93" s="414"/>
    </row>
    <row r="94" spans="1:23" s="4" customFormat="1" ht="12.75" customHeight="1" thickBot="1">
      <c r="A94"/>
      <c r="B94" s="232"/>
      <c r="C94" s="244" t="s">
        <v>424</v>
      </c>
      <c r="D94" s="1200">
        <v>0</v>
      </c>
      <c r="E94" s="1201">
        <f>IF(D$45=0,0,100*D94/D$45)</f>
        <v>0</v>
      </c>
      <c r="F94" s="1202">
        <f>D94+D94*M94</f>
        <v>0</v>
      </c>
      <c r="G94" s="1201">
        <f>IF(F$45=0,0,100*F94/F$45)</f>
        <v>0</v>
      </c>
      <c r="H94" s="1202">
        <f>F94+F94*N94</f>
        <v>0</v>
      </c>
      <c r="I94" s="1201">
        <f>IF(H$45=0,0,100*H94/H$45)</f>
        <v>0</v>
      </c>
      <c r="J94" s="1200">
        <f>H94+H94*O94</f>
        <v>0</v>
      </c>
      <c r="K94" s="1203">
        <f>IF(J$45=0,0,100*J94/J$45)</f>
        <v>0</v>
      </c>
      <c r="L94" s="32"/>
      <c r="M94" s="358">
        <v>0.03</v>
      </c>
      <c r="N94" s="358">
        <f t="shared" si="9"/>
        <v>0.03</v>
      </c>
      <c r="O94" s="358">
        <f t="shared" si="9"/>
        <v>0.03</v>
      </c>
      <c r="P94" s="319"/>
      <c r="Q94" s="319"/>
      <c r="R94" s="319"/>
      <c r="S94" s="319"/>
      <c r="T94" s="319"/>
      <c r="U94" s="413"/>
      <c r="V94" s="413"/>
      <c r="W94" s="414"/>
    </row>
    <row r="95" spans="1:23" s="4" customFormat="1" ht="12.75" customHeight="1" thickBot="1">
      <c r="A95" s="53"/>
      <c r="B95" s="232"/>
      <c r="C95" s="242" t="s">
        <v>425</v>
      </c>
      <c r="D95" s="1200">
        <v>0</v>
      </c>
      <c r="E95" s="1203">
        <f>IF(D$45=0,0,100*D95/D$45)</f>
        <v>0</v>
      </c>
      <c r="F95" s="1200">
        <f>D95+D95*M95</f>
        <v>0</v>
      </c>
      <c r="G95" s="1203">
        <f>IF(F$45=0,0,100*F95/F$45)</f>
        <v>0</v>
      </c>
      <c r="H95" s="1200">
        <f>F95+F95*N95</f>
        <v>0</v>
      </c>
      <c r="I95" s="1203">
        <f>IF(H$45=0,0,100*H95/H$45)</f>
        <v>0</v>
      </c>
      <c r="J95" s="1200">
        <f>H95+H95*O95</f>
        <v>0</v>
      </c>
      <c r="K95" s="1187">
        <f>IF(J$45=0,0,100*J95/J$45)</f>
        <v>0</v>
      </c>
      <c r="L95" s="32"/>
      <c r="M95" s="358">
        <v>0.03</v>
      </c>
      <c r="N95" s="358">
        <f t="shared" si="9"/>
        <v>0.03</v>
      </c>
      <c r="O95" s="358">
        <f t="shared" si="9"/>
        <v>0.03</v>
      </c>
      <c r="P95" s="319"/>
      <c r="Q95" s="319"/>
      <c r="R95" s="319"/>
      <c r="S95" s="319"/>
      <c r="T95" s="319"/>
      <c r="U95" s="413"/>
      <c r="V95" s="413"/>
      <c r="W95" s="414"/>
    </row>
    <row r="96" spans="1:23" s="4" customFormat="1" ht="12.75" customHeight="1">
      <c r="A96"/>
      <c r="B96" s="232"/>
      <c r="C96" s="239" t="s">
        <v>688</v>
      </c>
      <c r="D96" s="1024">
        <f>SUM(D97:D101)</f>
        <v>0</v>
      </c>
      <c r="E96" s="1204">
        <f>IF(D$45=0,0,100*D96/D$45)</f>
        <v>0</v>
      </c>
      <c r="F96" s="1024">
        <f>SUM(F97:F101)</f>
        <v>0</v>
      </c>
      <c r="G96" s="1204">
        <f>IF(F$45=0,0,100*F96/F$45)</f>
        <v>0</v>
      </c>
      <c r="H96" s="1024">
        <f>SUM(H97:H101)</f>
        <v>0</v>
      </c>
      <c r="I96" s="1204">
        <f>IF(H$45=0,0,100*H96/H$45)</f>
        <v>0</v>
      </c>
      <c r="J96" s="1024">
        <f>SUM(J97:J101)</f>
        <v>0</v>
      </c>
      <c r="K96" s="1187">
        <f>IF(J$45=0,0,100*J96/J$45)</f>
        <v>0</v>
      </c>
      <c r="L96" s="31"/>
      <c r="M96" s="294">
        <f>F$8</f>
        <v>2026</v>
      </c>
      <c r="N96" s="294">
        <f>H$8</f>
        <v>2027</v>
      </c>
      <c r="O96" s="294">
        <f>J$8</f>
        <v>2028</v>
      </c>
      <c r="P96" s="319"/>
      <c r="Q96" s="319"/>
      <c r="R96" s="319"/>
      <c r="S96" s="319"/>
      <c r="T96" s="319"/>
      <c r="U96" s="413"/>
      <c r="V96" s="413"/>
      <c r="W96" s="414"/>
    </row>
    <row r="97" spans="1:23" s="52" customFormat="1" ht="12.65" customHeight="1">
      <c r="A97" s="53"/>
      <c r="B97" s="233"/>
      <c r="C97" s="234" t="s">
        <v>426</v>
      </c>
      <c r="D97" s="1157">
        <v>0</v>
      </c>
      <c r="E97" s="1158"/>
      <c r="F97" s="1157">
        <f>D97+D97*M97</f>
        <v>0</v>
      </c>
      <c r="G97" s="1158"/>
      <c r="H97" s="1157">
        <f>F97+F97*N97</f>
        <v>0</v>
      </c>
      <c r="I97" s="1158"/>
      <c r="J97" s="1157">
        <f>H97+H97*O97</f>
        <v>0</v>
      </c>
      <c r="K97" s="1158"/>
      <c r="L97" s="57"/>
      <c r="M97" s="358">
        <v>0.03</v>
      </c>
      <c r="N97" s="358">
        <f t="shared" ref="N97:O101" si="10">M97</f>
        <v>0.03</v>
      </c>
      <c r="O97" s="358">
        <f t="shared" si="10"/>
        <v>0.03</v>
      </c>
      <c r="P97" s="319"/>
      <c r="Q97" s="319"/>
      <c r="R97" s="319"/>
      <c r="S97" s="319"/>
      <c r="T97" s="319"/>
      <c r="U97" s="413"/>
      <c r="V97" s="413"/>
      <c r="W97" s="414"/>
    </row>
    <row r="98" spans="1:23" s="52" customFormat="1" ht="12.65" customHeight="1">
      <c r="A98"/>
      <c r="B98" s="233"/>
      <c r="C98" s="234" t="s">
        <v>427</v>
      </c>
      <c r="D98" s="1157">
        <v>0</v>
      </c>
      <c r="E98" s="1158"/>
      <c r="F98" s="1157">
        <f>D98+D98*M98</f>
        <v>0</v>
      </c>
      <c r="G98" s="1158"/>
      <c r="H98" s="1157">
        <f>F98+F98*N98</f>
        <v>0</v>
      </c>
      <c r="I98" s="1158"/>
      <c r="J98" s="1157">
        <f>H98+H98*O98</f>
        <v>0</v>
      </c>
      <c r="K98" s="1158"/>
      <c r="L98" s="57"/>
      <c r="M98" s="358">
        <v>0.03</v>
      </c>
      <c r="N98" s="358">
        <f t="shared" si="10"/>
        <v>0.03</v>
      </c>
      <c r="O98" s="358">
        <f t="shared" si="10"/>
        <v>0.03</v>
      </c>
      <c r="P98" s="319"/>
      <c r="Q98" s="319"/>
      <c r="R98" s="319"/>
      <c r="S98" s="319"/>
      <c r="T98" s="319"/>
      <c r="U98" s="413"/>
      <c r="V98" s="413"/>
      <c r="W98" s="414"/>
    </row>
    <row r="99" spans="1:23" s="52" customFormat="1" ht="12.65" customHeight="1">
      <c r="A99" s="53"/>
      <c r="B99" s="233"/>
      <c r="C99" s="234" t="s">
        <v>691</v>
      </c>
      <c r="D99" s="1157">
        <v>0</v>
      </c>
      <c r="E99" s="1158"/>
      <c r="F99" s="1157">
        <f>D99+D99*M99</f>
        <v>0</v>
      </c>
      <c r="G99" s="1158"/>
      <c r="H99" s="1157">
        <f>F99+F99*N99</f>
        <v>0</v>
      </c>
      <c r="I99" s="1158"/>
      <c r="J99" s="1157">
        <f>H99+H99*O99</f>
        <v>0</v>
      </c>
      <c r="K99" s="1158"/>
      <c r="L99" s="57"/>
      <c r="M99" s="358">
        <v>0.03</v>
      </c>
      <c r="N99" s="358">
        <f t="shared" si="10"/>
        <v>0.03</v>
      </c>
      <c r="O99" s="358">
        <f t="shared" si="10"/>
        <v>0.03</v>
      </c>
      <c r="P99" s="319"/>
      <c r="Q99" s="319"/>
      <c r="R99" s="319"/>
      <c r="S99" s="319"/>
      <c r="T99" s="319"/>
      <c r="U99" s="413"/>
      <c r="V99" s="413"/>
      <c r="W99" s="414"/>
    </row>
    <row r="100" spans="1:23" s="52" customFormat="1" ht="12.65" customHeight="1">
      <c r="A100" s="2"/>
      <c r="B100" s="233"/>
      <c r="C100" s="234" t="s">
        <v>428</v>
      </c>
      <c r="D100" s="1157">
        <v>0</v>
      </c>
      <c r="E100" s="1158"/>
      <c r="F100" s="1157">
        <f>D100+D100*M100</f>
        <v>0</v>
      </c>
      <c r="G100" s="1158"/>
      <c r="H100" s="1157">
        <f>F100+F100*N100</f>
        <v>0</v>
      </c>
      <c r="I100" s="1158"/>
      <c r="J100" s="1157">
        <f>H100+H100*O100</f>
        <v>0</v>
      </c>
      <c r="K100" s="1158"/>
      <c r="L100" s="57"/>
      <c r="M100" s="358">
        <v>0.03</v>
      </c>
      <c r="N100" s="358">
        <f t="shared" si="10"/>
        <v>0.03</v>
      </c>
      <c r="O100" s="358">
        <f t="shared" si="10"/>
        <v>0.03</v>
      </c>
      <c r="P100" s="319"/>
      <c r="Q100" s="319"/>
      <c r="R100" s="319"/>
      <c r="S100" s="319"/>
      <c r="T100" s="319"/>
      <c r="U100" s="413"/>
      <c r="V100" s="413"/>
      <c r="W100" s="414"/>
    </row>
    <row r="101" spans="1:23" s="52" customFormat="1" ht="12.65" customHeight="1" thickBot="1">
      <c r="A101" s="53"/>
      <c r="B101" s="233"/>
      <c r="C101" s="241" t="s">
        <v>429</v>
      </c>
      <c r="D101" s="1157">
        <v>0</v>
      </c>
      <c r="E101" s="1188"/>
      <c r="F101" s="1157">
        <f>D101+D101*M101</f>
        <v>0</v>
      </c>
      <c r="G101" s="1188"/>
      <c r="H101" s="1190">
        <f>F101+F101*N101</f>
        <v>0</v>
      </c>
      <c r="I101" s="1188"/>
      <c r="J101" s="1190">
        <f>H101+H101*O101</f>
        <v>0</v>
      </c>
      <c r="K101" s="1188"/>
      <c r="L101" s="57"/>
      <c r="M101" s="358">
        <v>0.03</v>
      </c>
      <c r="N101" s="358">
        <f t="shared" si="10"/>
        <v>0.03</v>
      </c>
      <c r="O101" s="358">
        <f t="shared" si="10"/>
        <v>0.03</v>
      </c>
      <c r="P101" s="319"/>
      <c r="Q101" s="319"/>
      <c r="R101" s="319"/>
      <c r="S101" s="319"/>
      <c r="T101" s="319"/>
      <c r="U101" s="413"/>
      <c r="V101" s="413"/>
      <c r="W101" s="414"/>
    </row>
    <row r="102" spans="1:23" s="4" customFormat="1" ht="12.75" customHeight="1">
      <c r="A102"/>
      <c r="B102" s="232"/>
      <c r="C102" s="242" t="s">
        <v>689</v>
      </c>
      <c r="D102" s="1186">
        <f>SUM(D103:D106)</f>
        <v>0</v>
      </c>
      <c r="E102" s="1187">
        <f>IF(D$45=0,0,100*D102/D$45)</f>
        <v>0</v>
      </c>
      <c r="F102" s="1186">
        <f>SUM(F103:F106)</f>
        <v>0</v>
      </c>
      <c r="G102" s="1187">
        <f>IF(F$45=0,0,100*F102/F$45)</f>
        <v>0</v>
      </c>
      <c r="H102" s="1186">
        <f>SUM(H103:H106)</f>
        <v>0</v>
      </c>
      <c r="I102" s="1187">
        <f>IF(H$45=0,0,100*H102/H$45)</f>
        <v>0</v>
      </c>
      <c r="J102" s="1186">
        <f>SUM(J103:J106)</f>
        <v>0</v>
      </c>
      <c r="K102" s="1187">
        <f>IF(J$45=0,0,100*J102/J$45)</f>
        <v>0</v>
      </c>
      <c r="L102" s="32"/>
      <c r="M102" s="294">
        <f>F$8</f>
        <v>2026</v>
      </c>
      <c r="N102" s="294">
        <f>H$8</f>
        <v>2027</v>
      </c>
      <c r="O102" s="294">
        <f>J$8</f>
        <v>2028</v>
      </c>
      <c r="P102" s="319"/>
      <c r="Q102" s="319"/>
      <c r="R102" s="319"/>
      <c r="S102" s="319"/>
      <c r="T102" s="319"/>
      <c r="U102" s="413"/>
      <c r="V102" s="413"/>
      <c r="W102" s="414"/>
    </row>
    <row r="103" spans="1:23" s="52" customFormat="1" ht="12.65" customHeight="1">
      <c r="A103" s="53"/>
      <c r="B103" s="233"/>
      <c r="C103" s="234" t="s">
        <v>430</v>
      </c>
      <c r="D103" s="1157">
        <v>0</v>
      </c>
      <c r="E103" s="1158"/>
      <c r="F103" s="1157">
        <f>D103+D103*M103</f>
        <v>0</v>
      </c>
      <c r="G103" s="1158"/>
      <c r="H103" s="1157">
        <f>F103+F103*N103</f>
        <v>0</v>
      </c>
      <c r="I103" s="1158"/>
      <c r="J103" s="1157">
        <f>H103+H103*O103</f>
        <v>0</v>
      </c>
      <c r="K103" s="1158"/>
      <c r="L103" s="55"/>
      <c r="M103" s="358">
        <v>0.03</v>
      </c>
      <c r="N103" s="358">
        <f t="shared" ref="N103:O106" si="11">M103</f>
        <v>0.03</v>
      </c>
      <c r="O103" s="358">
        <f t="shared" si="11"/>
        <v>0.03</v>
      </c>
      <c r="P103" s="319"/>
      <c r="Q103" s="319"/>
      <c r="R103" s="319"/>
      <c r="S103" s="319"/>
      <c r="T103" s="319"/>
      <c r="U103" s="413"/>
      <c r="V103" s="413"/>
      <c r="W103" s="414"/>
    </row>
    <row r="104" spans="1:23" s="52" customFormat="1" ht="12.65" customHeight="1">
      <c r="A104"/>
      <c r="B104" s="233"/>
      <c r="C104" s="234" t="s">
        <v>431</v>
      </c>
      <c r="D104" s="1157">
        <v>0</v>
      </c>
      <c r="E104" s="1158"/>
      <c r="F104" s="1157">
        <f>D104+D104*M104</f>
        <v>0</v>
      </c>
      <c r="G104" s="1158"/>
      <c r="H104" s="1157">
        <f>F104+F104*N104</f>
        <v>0</v>
      </c>
      <c r="I104" s="1158"/>
      <c r="J104" s="1157">
        <f>H104+H104*O104</f>
        <v>0</v>
      </c>
      <c r="K104" s="1158"/>
      <c r="L104" s="55"/>
      <c r="M104" s="358">
        <v>0.03</v>
      </c>
      <c r="N104" s="358">
        <f t="shared" si="11"/>
        <v>0.03</v>
      </c>
      <c r="O104" s="358">
        <f t="shared" si="11"/>
        <v>0.03</v>
      </c>
      <c r="P104" s="319"/>
      <c r="Q104" s="319"/>
      <c r="R104" s="319"/>
      <c r="S104" s="319"/>
      <c r="T104" s="319"/>
      <c r="U104" s="413"/>
      <c r="V104" s="413"/>
      <c r="W104" s="414"/>
    </row>
    <row r="105" spans="1:23" s="52" customFormat="1" ht="12.65" customHeight="1">
      <c r="A105" s="53"/>
      <c r="B105" s="233"/>
      <c r="C105" s="234" t="s">
        <v>432</v>
      </c>
      <c r="D105" s="1157">
        <v>0</v>
      </c>
      <c r="E105" s="1158"/>
      <c r="F105" s="1157">
        <f>D105+D105*M105</f>
        <v>0</v>
      </c>
      <c r="G105" s="1158"/>
      <c r="H105" s="1157">
        <f>F105+F105*N105</f>
        <v>0</v>
      </c>
      <c r="I105" s="1158"/>
      <c r="J105" s="1157">
        <f>H105+H105*O105</f>
        <v>0</v>
      </c>
      <c r="K105" s="1158"/>
      <c r="L105" s="57"/>
      <c r="M105" s="358">
        <v>0.03</v>
      </c>
      <c r="N105" s="358">
        <f t="shared" si="11"/>
        <v>0.03</v>
      </c>
      <c r="O105" s="358">
        <f t="shared" si="11"/>
        <v>0.03</v>
      </c>
      <c r="P105" s="319"/>
      <c r="Q105" s="319"/>
      <c r="R105" s="319"/>
      <c r="S105" s="319"/>
      <c r="T105" s="319"/>
      <c r="U105" s="413"/>
      <c r="V105" s="413"/>
      <c r="W105" s="414"/>
    </row>
    <row r="106" spans="1:23" s="52" customFormat="1" ht="12.65" customHeight="1" thickBot="1">
      <c r="A106" s="2"/>
      <c r="B106" s="233"/>
      <c r="C106" s="237" t="s">
        <v>433</v>
      </c>
      <c r="D106" s="1157">
        <v>0</v>
      </c>
      <c r="E106" s="1205"/>
      <c r="F106" s="1157">
        <f>D106+D106*M106</f>
        <v>0</v>
      </c>
      <c r="G106" s="1205"/>
      <c r="H106" s="1157">
        <f>F106+F106*N106</f>
        <v>0</v>
      </c>
      <c r="I106" s="1205"/>
      <c r="J106" s="1157">
        <f>H106+H106*O106</f>
        <v>0</v>
      </c>
      <c r="K106" s="1205"/>
      <c r="L106" s="57"/>
      <c r="M106" s="358">
        <v>0.03</v>
      </c>
      <c r="N106" s="358">
        <f t="shared" si="11"/>
        <v>0.03</v>
      </c>
      <c r="O106" s="358">
        <f t="shared" si="11"/>
        <v>0.03</v>
      </c>
      <c r="P106" s="319"/>
      <c r="Q106" s="319"/>
      <c r="R106" s="319"/>
      <c r="S106" s="319"/>
      <c r="T106" s="319"/>
      <c r="U106" s="413"/>
      <c r="V106" s="413"/>
      <c r="W106" s="414"/>
    </row>
    <row r="107" spans="1:23" s="4" customFormat="1" ht="12.75" customHeight="1">
      <c r="A107" s="53"/>
      <c r="B107" s="232"/>
      <c r="C107" s="239" t="s">
        <v>434</v>
      </c>
      <c r="D107" s="1186">
        <f>SUM(D108:D111)</f>
        <v>0</v>
      </c>
      <c r="E107" s="1187">
        <f>IF(D$45=0,0,100*D107/D$45)</f>
        <v>0</v>
      </c>
      <c r="F107" s="1186">
        <f>SUM(F108:F111)</f>
        <v>0</v>
      </c>
      <c r="G107" s="1187">
        <f>IF(F$45=0,0,100*F107/F$45)</f>
        <v>0</v>
      </c>
      <c r="H107" s="1186">
        <f>SUM(H108:H111)</f>
        <v>0</v>
      </c>
      <c r="I107" s="1187">
        <f>IF(H$45=0,0,100*H107/H$45)</f>
        <v>0</v>
      </c>
      <c r="J107" s="1186">
        <f>SUM(J108:J111)</f>
        <v>0</v>
      </c>
      <c r="K107" s="1187">
        <f>IF(J$45=0,0,100*J107/J$45)</f>
        <v>0</v>
      </c>
      <c r="L107" s="31"/>
      <c r="M107" s="294">
        <f>F$8</f>
        <v>2026</v>
      </c>
      <c r="N107" s="294">
        <f>H$8</f>
        <v>2027</v>
      </c>
      <c r="O107" s="294">
        <f>J$8</f>
        <v>2028</v>
      </c>
      <c r="P107" s="319"/>
      <c r="Q107" s="319"/>
      <c r="R107" s="319"/>
      <c r="S107" s="319"/>
      <c r="T107" s="319"/>
      <c r="U107" s="413"/>
      <c r="V107" s="413"/>
      <c r="W107" s="414"/>
    </row>
    <row r="108" spans="1:23" s="52" customFormat="1" ht="12.65" customHeight="1">
      <c r="A108"/>
      <c r="B108" s="233"/>
      <c r="C108" s="234" t="s">
        <v>435</v>
      </c>
      <c r="D108" s="1157">
        <v>0</v>
      </c>
      <c r="E108" s="1158"/>
      <c r="F108" s="1157">
        <f>D108+D108*M108</f>
        <v>0</v>
      </c>
      <c r="G108" s="1158"/>
      <c r="H108" s="1157">
        <f>F108+F108*N108</f>
        <v>0</v>
      </c>
      <c r="I108" s="1158"/>
      <c r="J108" s="1157">
        <f>H108+H108*O108</f>
        <v>0</v>
      </c>
      <c r="K108" s="1158"/>
      <c r="L108" s="57"/>
      <c r="M108" s="358">
        <v>0.03</v>
      </c>
      <c r="N108" s="358">
        <f t="shared" ref="N108:O111" si="12">M108</f>
        <v>0.03</v>
      </c>
      <c r="O108" s="358">
        <f t="shared" si="12"/>
        <v>0.03</v>
      </c>
      <c r="P108" s="319"/>
      <c r="Q108" s="319"/>
      <c r="R108" s="319"/>
      <c r="S108" s="319"/>
      <c r="T108" s="319"/>
      <c r="U108" s="413"/>
      <c r="V108" s="413"/>
      <c r="W108" s="414"/>
    </row>
    <row r="109" spans="1:23" s="52" customFormat="1" ht="12.65" customHeight="1">
      <c r="A109" s="53"/>
      <c r="B109" s="233"/>
      <c r="C109" s="234" t="s">
        <v>436</v>
      </c>
      <c r="D109" s="1157">
        <v>0</v>
      </c>
      <c r="E109" s="1158"/>
      <c r="F109" s="1157">
        <f>D109+D109*M109</f>
        <v>0</v>
      </c>
      <c r="G109" s="1158"/>
      <c r="H109" s="1157">
        <f>F109+F109*N109</f>
        <v>0</v>
      </c>
      <c r="I109" s="1158"/>
      <c r="J109" s="1157">
        <f>H109+H109*O109</f>
        <v>0</v>
      </c>
      <c r="K109" s="1158"/>
      <c r="L109" s="57"/>
      <c r="M109" s="358">
        <v>0.03</v>
      </c>
      <c r="N109" s="358">
        <f t="shared" si="12"/>
        <v>0.03</v>
      </c>
      <c r="O109" s="358">
        <f t="shared" si="12"/>
        <v>0.03</v>
      </c>
      <c r="P109" s="319"/>
      <c r="Q109" s="319"/>
      <c r="R109" s="319"/>
      <c r="S109" s="319"/>
      <c r="T109" s="319"/>
      <c r="U109" s="413"/>
      <c r="V109" s="413"/>
      <c r="W109" s="414"/>
    </row>
    <row r="110" spans="1:23" s="52" customFormat="1" ht="12.65" customHeight="1">
      <c r="A110"/>
      <c r="B110" s="233"/>
      <c r="C110" s="234" t="s">
        <v>707</v>
      </c>
      <c r="D110" s="1157">
        <v>0</v>
      </c>
      <c r="E110" s="1158"/>
      <c r="F110" s="1157">
        <f>D110+D110*M110</f>
        <v>0</v>
      </c>
      <c r="G110" s="1158"/>
      <c r="H110" s="1157">
        <f>F110+F110*N110</f>
        <v>0</v>
      </c>
      <c r="I110" s="1158"/>
      <c r="J110" s="1157">
        <f>H110+H110*O110</f>
        <v>0</v>
      </c>
      <c r="K110" s="1158"/>
      <c r="L110" s="57"/>
      <c r="M110" s="358">
        <v>0.03</v>
      </c>
      <c r="N110" s="358">
        <f t="shared" si="12"/>
        <v>0.03</v>
      </c>
      <c r="O110" s="358">
        <f t="shared" si="12"/>
        <v>0.03</v>
      </c>
      <c r="P110" s="319"/>
      <c r="Q110" s="319"/>
      <c r="R110" s="319"/>
      <c r="S110" s="319"/>
      <c r="T110" s="319"/>
      <c r="U110" s="413"/>
      <c r="V110" s="413"/>
      <c r="W110" s="414"/>
    </row>
    <row r="111" spans="1:23" s="52" customFormat="1" ht="12.65" customHeight="1" thickBot="1">
      <c r="A111" s="53"/>
      <c r="B111" s="233"/>
      <c r="C111" s="243" t="s">
        <v>437</v>
      </c>
      <c r="D111" s="1157">
        <v>0</v>
      </c>
      <c r="E111" s="1188"/>
      <c r="F111" s="1157">
        <f>D111+D111*M111</f>
        <v>0</v>
      </c>
      <c r="G111" s="1188"/>
      <c r="H111" s="1157">
        <f>F111+F111*N111</f>
        <v>0</v>
      </c>
      <c r="I111" s="1188"/>
      <c r="J111" s="1157">
        <f>H111+H111*O111</f>
        <v>0</v>
      </c>
      <c r="K111" s="1188"/>
      <c r="L111" s="57"/>
      <c r="M111" s="358">
        <v>0.03</v>
      </c>
      <c r="N111" s="358">
        <f t="shared" si="12"/>
        <v>0.03</v>
      </c>
      <c r="O111" s="358">
        <f t="shared" si="12"/>
        <v>0.03</v>
      </c>
      <c r="P111" s="319"/>
      <c r="Q111" s="319"/>
      <c r="R111" s="319"/>
      <c r="S111" s="319"/>
      <c r="T111" s="319"/>
      <c r="U111" s="413"/>
      <c r="V111" s="413"/>
      <c r="W111" s="414"/>
    </row>
    <row r="112" spans="1:23" s="4" customFormat="1" ht="12.75" customHeight="1">
      <c r="A112" s="2"/>
      <c r="B112" s="232"/>
      <c r="C112" s="239" t="s">
        <v>438</v>
      </c>
      <c r="D112" s="1186">
        <f>SUM(D113:D114)</f>
        <v>0</v>
      </c>
      <c r="E112" s="1187">
        <f>IF(D$45=0,0,100*D112/D$45)</f>
        <v>0</v>
      </c>
      <c r="F112" s="1186">
        <f>SUM(F113:F114)</f>
        <v>0</v>
      </c>
      <c r="G112" s="1187">
        <f>IF(F$45=0,0,100*F112/F$45)</f>
        <v>0</v>
      </c>
      <c r="H112" s="1186">
        <f>SUM(H113:H114)</f>
        <v>0</v>
      </c>
      <c r="I112" s="1187">
        <f>IF(H$45=0,0,100*H112/H$45)</f>
        <v>0</v>
      </c>
      <c r="J112" s="1186">
        <f>SUM(J113:J114)</f>
        <v>0</v>
      </c>
      <c r="K112" s="1187">
        <f>IF(J$45=0,0,100*J112/J$45)</f>
        <v>0</v>
      </c>
      <c r="L112" s="31"/>
      <c r="M112" s="294">
        <f>F$8</f>
        <v>2026</v>
      </c>
      <c r="N112" s="294">
        <f>H$8</f>
        <v>2027</v>
      </c>
      <c r="O112" s="294">
        <f>J$8</f>
        <v>2028</v>
      </c>
      <c r="P112" s="319"/>
      <c r="Q112" s="319"/>
      <c r="R112" s="319"/>
      <c r="S112" s="319"/>
      <c r="T112" s="319"/>
      <c r="U112" s="413"/>
      <c r="V112" s="413"/>
      <c r="W112" s="414"/>
    </row>
    <row r="113" spans="1:23" s="52" customFormat="1" ht="12.65" customHeight="1">
      <c r="A113" s="53"/>
      <c r="B113" s="233"/>
      <c r="C113" s="234" t="s">
        <v>439</v>
      </c>
      <c r="D113" s="1157">
        <v>0</v>
      </c>
      <c r="E113" s="1158"/>
      <c r="F113" s="1157">
        <f>D113+D113*M113</f>
        <v>0</v>
      </c>
      <c r="G113" s="1158"/>
      <c r="H113" s="1157">
        <f>F113+F113*N113</f>
        <v>0</v>
      </c>
      <c r="I113" s="1158"/>
      <c r="J113" s="1157">
        <f>H113+H113*O113</f>
        <v>0</v>
      </c>
      <c r="K113" s="1158"/>
      <c r="L113" s="57"/>
      <c r="M113" s="358">
        <v>0.03</v>
      </c>
      <c r="N113" s="358">
        <f>M113</f>
        <v>0.03</v>
      </c>
      <c r="O113" s="358">
        <f>N113</f>
        <v>0.03</v>
      </c>
      <c r="P113" s="319"/>
      <c r="Q113" s="319"/>
      <c r="R113" s="319"/>
      <c r="S113" s="319"/>
      <c r="T113" s="319"/>
      <c r="U113" s="413"/>
      <c r="V113" s="413"/>
      <c r="W113" s="414"/>
    </row>
    <row r="114" spans="1:23" s="52" customFormat="1" ht="12.65" customHeight="1" thickBot="1">
      <c r="A114"/>
      <c r="B114" s="233"/>
      <c r="C114" s="241" t="s">
        <v>440</v>
      </c>
      <c r="D114" s="1157">
        <v>0</v>
      </c>
      <c r="E114" s="1191"/>
      <c r="F114" s="1157">
        <f>D114+D114*M114</f>
        <v>0</v>
      </c>
      <c r="G114" s="1191"/>
      <c r="H114" s="1157">
        <f>F114+F114*N114</f>
        <v>0</v>
      </c>
      <c r="I114" s="1191"/>
      <c r="J114" s="1157">
        <f>H114+H114*O114</f>
        <v>0</v>
      </c>
      <c r="K114" s="1191"/>
      <c r="L114" s="57"/>
      <c r="M114" s="358">
        <v>0.03</v>
      </c>
      <c r="N114" s="358">
        <f>M114</f>
        <v>0.03</v>
      </c>
      <c r="O114" s="358">
        <f>N114</f>
        <v>0.03</v>
      </c>
      <c r="P114" s="319"/>
      <c r="Q114" s="319"/>
      <c r="R114" s="319"/>
      <c r="S114" s="319"/>
      <c r="T114" s="319"/>
      <c r="U114" s="413"/>
      <c r="V114" s="413"/>
      <c r="W114" s="414"/>
    </row>
    <row r="115" spans="1:23" s="4" customFormat="1" ht="12.75" customHeight="1">
      <c r="A115" s="53"/>
      <c r="B115" s="232"/>
      <c r="C115" s="239" t="s">
        <v>441</v>
      </c>
      <c r="D115" s="1186">
        <f>SUM(D116:D119)</f>
        <v>0</v>
      </c>
      <c r="E115" s="1187">
        <f>IF(D$45=0,0,100*D115/D$45)</f>
        <v>0</v>
      </c>
      <c r="F115" s="1186">
        <f>SUM(F116:F119)</f>
        <v>0</v>
      </c>
      <c r="G115" s="1187">
        <f>IF(F$45=0,0,100*F115/F$45)</f>
        <v>0</v>
      </c>
      <c r="H115" s="1186">
        <f>SUM(H116:H119)</f>
        <v>0</v>
      </c>
      <c r="I115" s="1187">
        <f>IF(H$45=0,0,100*H115/H$45)</f>
        <v>0</v>
      </c>
      <c r="J115" s="1186">
        <f>SUM(J116:J119)</f>
        <v>0</v>
      </c>
      <c r="K115" s="1187">
        <f>IF(J$45=0,0,100*J115/J$45)</f>
        <v>0</v>
      </c>
      <c r="L115" s="31"/>
      <c r="M115" s="294">
        <f>F$8</f>
        <v>2026</v>
      </c>
      <c r="N115" s="294">
        <f>H$8</f>
        <v>2027</v>
      </c>
      <c r="O115" s="294">
        <f>J$8</f>
        <v>2028</v>
      </c>
      <c r="P115" s="319"/>
      <c r="Q115" s="319"/>
      <c r="R115" s="319"/>
      <c r="S115" s="319"/>
      <c r="T115" s="319"/>
      <c r="U115" s="413"/>
      <c r="V115" s="413"/>
      <c r="W115" s="414"/>
    </row>
    <row r="116" spans="1:23" s="52" customFormat="1" ht="12.65" customHeight="1">
      <c r="A116" s="2"/>
      <c r="B116" s="233"/>
      <c r="C116" s="234" t="s">
        <v>708</v>
      </c>
      <c r="D116" s="1157">
        <v>0</v>
      </c>
      <c r="E116" s="1158"/>
      <c r="F116" s="1157">
        <f>D116+D116*M116</f>
        <v>0</v>
      </c>
      <c r="G116" s="1158"/>
      <c r="H116" s="1157">
        <f>F116+F116*N116</f>
        <v>0</v>
      </c>
      <c r="I116" s="1158"/>
      <c r="J116" s="1157">
        <f>H116+H116*O116</f>
        <v>0</v>
      </c>
      <c r="K116" s="1158"/>
      <c r="L116" s="55"/>
      <c r="M116" s="358">
        <v>0.03</v>
      </c>
      <c r="N116" s="358">
        <f t="shared" ref="N116:O119" si="13">M116</f>
        <v>0.03</v>
      </c>
      <c r="O116" s="358">
        <f t="shared" si="13"/>
        <v>0.03</v>
      </c>
      <c r="P116" s="319"/>
      <c r="Q116" s="319"/>
      <c r="R116" s="319"/>
      <c r="S116" s="319"/>
      <c r="T116" s="319"/>
      <c r="U116" s="413"/>
      <c r="V116" s="413"/>
      <c r="W116" s="414"/>
    </row>
    <row r="117" spans="1:23" s="52" customFormat="1" ht="12.65" customHeight="1">
      <c r="A117" s="53"/>
      <c r="B117" s="233"/>
      <c r="C117" s="234" t="s">
        <v>442</v>
      </c>
      <c r="D117" s="1157">
        <v>0</v>
      </c>
      <c r="E117" s="1158"/>
      <c r="F117" s="1157">
        <f>D117+D117*M117</f>
        <v>0</v>
      </c>
      <c r="G117" s="1158"/>
      <c r="H117" s="1157">
        <f>F117+F117*N117</f>
        <v>0</v>
      </c>
      <c r="I117" s="1158"/>
      <c r="J117" s="1157">
        <f>H117+H117*O117</f>
        <v>0</v>
      </c>
      <c r="K117" s="1158"/>
      <c r="L117" s="55"/>
      <c r="M117" s="358">
        <v>0.03</v>
      </c>
      <c r="N117" s="358">
        <f t="shared" si="13"/>
        <v>0.03</v>
      </c>
      <c r="O117" s="358">
        <f t="shared" si="13"/>
        <v>0.03</v>
      </c>
      <c r="P117" s="319">
        <v>0</v>
      </c>
      <c r="Q117" s="319"/>
      <c r="R117" s="319"/>
      <c r="S117" s="319"/>
      <c r="T117" s="319"/>
      <c r="U117" s="413"/>
      <c r="V117" s="413"/>
      <c r="W117" s="414"/>
    </row>
    <row r="118" spans="1:23" s="52" customFormat="1" ht="12.65" customHeight="1">
      <c r="A118" s="53"/>
      <c r="B118" s="233"/>
      <c r="C118" s="234" t="s">
        <v>443</v>
      </c>
      <c r="D118" s="1157">
        <v>0</v>
      </c>
      <c r="E118" s="1158"/>
      <c r="F118" s="1157">
        <f>D118+D118*M118</f>
        <v>0</v>
      </c>
      <c r="G118" s="1158"/>
      <c r="H118" s="1157">
        <f>F118+F118*N118</f>
        <v>0</v>
      </c>
      <c r="I118" s="1158"/>
      <c r="J118" s="1157">
        <f>H118+H118*O118</f>
        <v>0</v>
      </c>
      <c r="K118" s="1158"/>
      <c r="L118" s="57"/>
      <c r="M118" s="358">
        <v>0.03</v>
      </c>
      <c r="N118" s="358">
        <f t="shared" si="13"/>
        <v>0.03</v>
      </c>
      <c r="O118" s="358">
        <f t="shared" si="13"/>
        <v>0.03</v>
      </c>
      <c r="P118" s="319"/>
      <c r="Q118" s="319"/>
      <c r="R118" s="319"/>
      <c r="S118" s="319"/>
      <c r="T118" s="319"/>
      <c r="U118" s="413"/>
      <c r="V118" s="413"/>
      <c r="W118" s="414"/>
    </row>
    <row r="119" spans="1:23" s="52" customFormat="1" ht="12.65" customHeight="1" thickBot="1">
      <c r="A119" s="4"/>
      <c r="B119" s="233"/>
      <c r="C119" s="241" t="s">
        <v>444</v>
      </c>
      <c r="D119" s="1157">
        <v>0</v>
      </c>
      <c r="E119" s="1188"/>
      <c r="F119" s="1157">
        <f>D119+D119*M119</f>
        <v>0</v>
      </c>
      <c r="G119" s="1188"/>
      <c r="H119" s="1190">
        <f>F119+F119*N119</f>
        <v>0</v>
      </c>
      <c r="I119" s="1188"/>
      <c r="J119" s="1190">
        <f>H119+H119*O119</f>
        <v>0</v>
      </c>
      <c r="K119" s="1188"/>
      <c r="L119" s="57"/>
      <c r="M119" s="358">
        <v>0.03</v>
      </c>
      <c r="N119" s="358">
        <f t="shared" si="13"/>
        <v>0.03</v>
      </c>
      <c r="O119" s="358">
        <f t="shared" si="13"/>
        <v>0.03</v>
      </c>
      <c r="P119" s="319"/>
      <c r="Q119" s="319"/>
      <c r="R119" s="319"/>
      <c r="S119" s="319"/>
      <c r="T119" s="319"/>
      <c r="U119" s="413"/>
      <c r="V119" s="413"/>
      <c r="W119" s="414"/>
    </row>
    <row r="120" spans="1:23" s="4" customFormat="1" ht="12.75" customHeight="1">
      <c r="B120" s="232"/>
      <c r="C120" s="242" t="s">
        <v>445</v>
      </c>
      <c r="D120" s="1186">
        <f>SUM(D121:D123)</f>
        <v>0</v>
      </c>
      <c r="E120" s="1187">
        <f>IF(D$45=0,0,100*D120/D$45)</f>
        <v>0</v>
      </c>
      <c r="F120" s="1186">
        <f>SUM(F121:F123)</f>
        <v>0</v>
      </c>
      <c r="G120" s="1187">
        <f>IF(F$45=0,0,100*F120/F$45)</f>
        <v>0</v>
      </c>
      <c r="H120" s="1186">
        <f>SUM(H121:H123)</f>
        <v>0</v>
      </c>
      <c r="I120" s="1187">
        <f>IF(H$45=0,0,100*H120/H$45)</f>
        <v>0</v>
      </c>
      <c r="J120" s="1186">
        <f>SUM(J121:J123)</f>
        <v>0</v>
      </c>
      <c r="K120" s="1187">
        <f>IF(J$45=0,0,100*J120/J$45)</f>
        <v>0</v>
      </c>
      <c r="L120" s="31"/>
      <c r="M120" s="294">
        <f>F$8</f>
        <v>2026</v>
      </c>
      <c r="N120" s="294">
        <f>H$8</f>
        <v>2027</v>
      </c>
      <c r="O120" s="294">
        <f>J$8</f>
        <v>2028</v>
      </c>
      <c r="P120" s="319"/>
      <c r="Q120" s="319"/>
      <c r="R120" s="319"/>
      <c r="S120" s="319"/>
      <c r="T120" s="319"/>
      <c r="U120" s="413"/>
      <c r="V120" s="413"/>
      <c r="W120" s="414"/>
    </row>
    <row r="121" spans="1:23" s="52" customFormat="1" ht="12.65" customHeight="1">
      <c r="B121" s="233"/>
      <c r="C121" s="234" t="s">
        <v>446</v>
      </c>
      <c r="D121" s="1157">
        <v>0</v>
      </c>
      <c r="E121" s="1158"/>
      <c r="F121" s="1157">
        <f t="shared" ref="F121:F127" si="14">D121+D121*M121</f>
        <v>0</v>
      </c>
      <c r="G121" s="1158"/>
      <c r="H121" s="1157">
        <f t="shared" ref="H121:H127" si="15">F121+F121*N121</f>
        <v>0</v>
      </c>
      <c r="I121" s="1158"/>
      <c r="J121" s="1157">
        <f t="shared" ref="J121:J127" si="16">H121+H121*O121</f>
        <v>0</v>
      </c>
      <c r="K121" s="1158"/>
      <c r="L121" s="55"/>
      <c r="M121" s="358">
        <v>0.03</v>
      </c>
      <c r="N121" s="358">
        <f t="shared" ref="N121:O131" si="17">M121</f>
        <v>0.03</v>
      </c>
      <c r="O121" s="358">
        <f t="shared" si="17"/>
        <v>0.03</v>
      </c>
      <c r="P121" s="319"/>
      <c r="Q121" s="319"/>
      <c r="R121" s="319"/>
      <c r="S121" s="319"/>
      <c r="T121" s="413"/>
      <c r="U121" s="413"/>
      <c r="V121" s="319"/>
      <c r="W121" s="414"/>
    </row>
    <row r="122" spans="1:23" s="52" customFormat="1" ht="12.65" customHeight="1">
      <c r="B122" s="233"/>
      <c r="C122" s="234" t="s">
        <v>447</v>
      </c>
      <c r="D122" s="1157">
        <v>0</v>
      </c>
      <c r="E122" s="1158"/>
      <c r="F122" s="1157">
        <f t="shared" si="14"/>
        <v>0</v>
      </c>
      <c r="G122" s="1158"/>
      <c r="H122" s="1157">
        <f t="shared" si="15"/>
        <v>0</v>
      </c>
      <c r="I122" s="1158"/>
      <c r="J122" s="1157">
        <f t="shared" si="16"/>
        <v>0</v>
      </c>
      <c r="K122" s="1158"/>
      <c r="L122" s="55"/>
      <c r="M122" s="358">
        <v>0.03</v>
      </c>
      <c r="N122" s="358">
        <f t="shared" si="17"/>
        <v>0.03</v>
      </c>
      <c r="O122" s="358">
        <f t="shared" si="17"/>
        <v>0.03</v>
      </c>
      <c r="P122" s="319"/>
      <c r="Q122" s="319"/>
      <c r="R122" s="319"/>
      <c r="S122" s="413"/>
      <c r="T122" s="413"/>
      <c r="U122" s="319"/>
      <c r="V122" s="319"/>
      <c r="W122" s="414"/>
    </row>
    <row r="123" spans="1:23" s="52" customFormat="1" ht="12.65" customHeight="1" thickBot="1">
      <c r="B123" s="233"/>
      <c r="C123" s="243" t="s">
        <v>448</v>
      </c>
      <c r="D123" s="1190">
        <v>0</v>
      </c>
      <c r="E123" s="1188"/>
      <c r="F123" s="1190">
        <f t="shared" si="14"/>
        <v>0</v>
      </c>
      <c r="G123" s="1188"/>
      <c r="H123" s="1190">
        <f t="shared" si="15"/>
        <v>0</v>
      </c>
      <c r="I123" s="1188"/>
      <c r="J123" s="1190">
        <f t="shared" si="16"/>
        <v>0</v>
      </c>
      <c r="K123" s="1188"/>
      <c r="L123" s="57"/>
      <c r="M123" s="358">
        <v>0.03</v>
      </c>
      <c r="N123" s="358">
        <f t="shared" si="17"/>
        <v>0.03</v>
      </c>
      <c r="O123" s="358">
        <f t="shared" si="17"/>
        <v>0.03</v>
      </c>
      <c r="P123" s="319">
        <v>0</v>
      </c>
      <c r="Q123" s="319"/>
      <c r="R123" s="319"/>
      <c r="S123" s="413"/>
      <c r="T123" s="413"/>
      <c r="U123" s="413"/>
      <c r="V123" s="413"/>
      <c r="W123" s="415"/>
    </row>
    <row r="124" spans="1:23" s="4" customFormat="1" ht="12.75" customHeight="1" thickBot="1">
      <c r="B124" s="232"/>
      <c r="C124" s="244" t="s">
        <v>449</v>
      </c>
      <c r="D124" s="1200">
        <v>0</v>
      </c>
      <c r="E124" s="1203">
        <f t="shared" ref="E124:E131" si="18">IF(D$45=0,0,100*D124/D$45)</f>
        <v>0</v>
      </c>
      <c r="F124" s="1200">
        <f t="shared" si="14"/>
        <v>0</v>
      </c>
      <c r="G124" s="1203">
        <f t="shared" ref="G124:G131" si="19">IF(F$45=0,0,100*F124/F$45)</f>
        <v>0</v>
      </c>
      <c r="H124" s="1200">
        <f t="shared" si="15"/>
        <v>0</v>
      </c>
      <c r="I124" s="1187">
        <f t="shared" ref="I124:I131" si="20">IF(H$45=0,0,100*H124/H$45)</f>
        <v>0</v>
      </c>
      <c r="J124" s="1200">
        <f t="shared" si="16"/>
        <v>0</v>
      </c>
      <c r="K124" s="1187">
        <f t="shared" ref="K124:K131" si="21">IF(J$45=0,0,100*J124/J$45)</f>
        <v>0</v>
      </c>
      <c r="L124" s="31"/>
      <c r="M124" s="358">
        <v>0.03</v>
      </c>
      <c r="N124" s="358">
        <f t="shared" si="17"/>
        <v>0.03</v>
      </c>
      <c r="O124" s="358">
        <f t="shared" si="17"/>
        <v>0.03</v>
      </c>
      <c r="P124" s="319"/>
      <c r="Q124" s="319"/>
      <c r="R124" s="319"/>
      <c r="S124" s="413"/>
      <c r="T124" s="413"/>
      <c r="U124" s="413"/>
      <c r="V124" s="413"/>
      <c r="W124" s="415"/>
    </row>
    <row r="125" spans="1:23" s="4" customFormat="1" ht="12.75" customHeight="1" thickBot="1">
      <c r="B125" s="232"/>
      <c r="C125" s="244" t="s">
        <v>450</v>
      </c>
      <c r="D125" s="1200">
        <v>0</v>
      </c>
      <c r="E125" s="1203">
        <f t="shared" si="18"/>
        <v>0</v>
      </c>
      <c r="F125" s="1200">
        <f t="shared" si="14"/>
        <v>0</v>
      </c>
      <c r="G125" s="1203">
        <f t="shared" si="19"/>
        <v>0</v>
      </c>
      <c r="H125" s="1200">
        <f t="shared" si="15"/>
        <v>0</v>
      </c>
      <c r="I125" s="1187">
        <f t="shared" si="20"/>
        <v>0</v>
      </c>
      <c r="J125" s="1200">
        <f t="shared" si="16"/>
        <v>0</v>
      </c>
      <c r="K125" s="1187">
        <f t="shared" si="21"/>
        <v>0</v>
      </c>
      <c r="L125" s="31"/>
      <c r="M125" s="358">
        <v>0.03</v>
      </c>
      <c r="N125" s="358">
        <f t="shared" si="17"/>
        <v>0.03</v>
      </c>
      <c r="O125" s="358">
        <f t="shared" si="17"/>
        <v>0.03</v>
      </c>
      <c r="P125" s="319"/>
      <c r="Q125" s="319">
        <v>0</v>
      </c>
      <c r="R125" s="319"/>
      <c r="S125" s="413"/>
      <c r="T125" s="413"/>
      <c r="U125" s="413"/>
      <c r="V125" s="413"/>
      <c r="W125" s="415"/>
    </row>
    <row r="126" spans="1:23" s="4" customFormat="1" ht="12.75" customHeight="1" thickBot="1">
      <c r="B126" s="232" t="s">
        <v>0</v>
      </c>
      <c r="C126" s="245" t="s">
        <v>517</v>
      </c>
      <c r="D126" s="1200">
        <v>0</v>
      </c>
      <c r="E126" s="1203">
        <f t="shared" si="18"/>
        <v>0</v>
      </c>
      <c r="F126" s="1200">
        <f t="shared" si="14"/>
        <v>0</v>
      </c>
      <c r="G126" s="1203">
        <f t="shared" si="19"/>
        <v>0</v>
      </c>
      <c r="H126" s="1200">
        <f t="shared" si="15"/>
        <v>0</v>
      </c>
      <c r="I126" s="1203">
        <f t="shared" si="20"/>
        <v>0</v>
      </c>
      <c r="J126" s="1200">
        <f t="shared" si="16"/>
        <v>0</v>
      </c>
      <c r="K126" s="1203">
        <f t="shared" si="21"/>
        <v>0</v>
      </c>
      <c r="L126" s="58"/>
      <c r="M126" s="358">
        <v>0.03</v>
      </c>
      <c r="N126" s="358">
        <f t="shared" si="17"/>
        <v>0.03</v>
      </c>
      <c r="O126" s="358">
        <f t="shared" si="17"/>
        <v>0.03</v>
      </c>
      <c r="P126" s="319"/>
      <c r="Q126" s="319"/>
      <c r="R126" s="319"/>
      <c r="S126" s="413"/>
      <c r="T126" s="413"/>
      <c r="U126" s="413"/>
      <c r="V126" s="413"/>
      <c r="W126" s="415"/>
    </row>
    <row r="127" spans="1:23" s="4" customFormat="1" ht="12.75" customHeight="1" thickBot="1">
      <c r="B127" s="246"/>
      <c r="C127" s="290" t="s">
        <v>516</v>
      </c>
      <c r="D127" s="1200">
        <v>0</v>
      </c>
      <c r="E127" s="1203">
        <f t="shared" si="18"/>
        <v>0</v>
      </c>
      <c r="F127" s="1200">
        <f t="shared" si="14"/>
        <v>0</v>
      </c>
      <c r="G127" s="1203">
        <f t="shared" si="19"/>
        <v>0</v>
      </c>
      <c r="H127" s="1200">
        <f t="shared" si="15"/>
        <v>0</v>
      </c>
      <c r="I127" s="1203">
        <f t="shared" si="20"/>
        <v>0</v>
      </c>
      <c r="J127" s="1200">
        <f t="shared" si="16"/>
        <v>0</v>
      </c>
      <c r="K127" s="1203">
        <f t="shared" si="21"/>
        <v>0</v>
      </c>
      <c r="L127" s="32"/>
      <c r="M127" s="358">
        <v>0.03</v>
      </c>
      <c r="N127" s="358">
        <f t="shared" si="17"/>
        <v>0.03</v>
      </c>
      <c r="O127" s="358">
        <f t="shared" si="17"/>
        <v>0.03</v>
      </c>
      <c r="P127" s="319"/>
      <c r="Q127" s="319"/>
      <c r="R127" s="319"/>
      <c r="S127" s="319"/>
      <c r="T127" s="413"/>
      <c r="U127" s="413"/>
      <c r="V127" s="413"/>
      <c r="W127" s="415"/>
    </row>
    <row r="128" spans="1:23" s="4" customFormat="1" ht="12.75" customHeight="1" thickBot="1">
      <c r="B128" s="246"/>
      <c r="C128" s="291" t="s">
        <v>537</v>
      </c>
      <c r="D128" s="1200">
        <v>0</v>
      </c>
      <c r="E128" s="1203">
        <f t="shared" si="18"/>
        <v>0</v>
      </c>
      <c r="F128" s="1200">
        <f>D128</f>
        <v>0</v>
      </c>
      <c r="G128" s="1203">
        <f t="shared" si="19"/>
        <v>0</v>
      </c>
      <c r="H128" s="1200">
        <f>F128</f>
        <v>0</v>
      </c>
      <c r="I128" s="1203">
        <f t="shared" si="20"/>
        <v>0</v>
      </c>
      <c r="J128" s="1200">
        <f>H128</f>
        <v>0</v>
      </c>
      <c r="K128" s="1203">
        <f t="shared" si="21"/>
        <v>0</v>
      </c>
      <c r="L128" s="32"/>
      <c r="M128" s="1371"/>
      <c r="N128" s="639"/>
      <c r="O128" s="639"/>
      <c r="P128" s="160"/>
      <c r="Q128" s="319"/>
      <c r="R128" s="319"/>
      <c r="S128" s="319"/>
      <c r="T128" s="319"/>
      <c r="U128" s="319"/>
      <c r="V128" s="319"/>
      <c r="W128" s="414"/>
    </row>
    <row r="129" spans="2:23" s="4" customFormat="1" ht="12.75" customHeight="1" thickBot="1">
      <c r="B129" s="246"/>
      <c r="C129" s="291" t="s">
        <v>509</v>
      </c>
      <c r="D129" s="1200">
        <v>0</v>
      </c>
      <c r="E129" s="1203">
        <f t="shared" si="18"/>
        <v>0</v>
      </c>
      <c r="F129" s="1200">
        <f>D129+D129*M129</f>
        <v>0</v>
      </c>
      <c r="G129" s="1203">
        <f t="shared" si="19"/>
        <v>0</v>
      </c>
      <c r="H129" s="1200">
        <f>F129+F129*N129</f>
        <v>0</v>
      </c>
      <c r="I129" s="1203">
        <f t="shared" si="20"/>
        <v>0</v>
      </c>
      <c r="J129" s="1200">
        <f>H129+H129*O129</f>
        <v>0</v>
      </c>
      <c r="K129" s="1203">
        <f t="shared" si="21"/>
        <v>0</v>
      </c>
      <c r="L129" s="32"/>
      <c r="M129" s="358">
        <v>0.03</v>
      </c>
      <c r="N129" s="358">
        <f t="shared" ref="N129" si="22">M129</f>
        <v>0.03</v>
      </c>
      <c r="O129" s="358">
        <f t="shared" ref="O129" si="23">N129</f>
        <v>0.03</v>
      </c>
      <c r="P129" s="319"/>
      <c r="Q129" s="319"/>
      <c r="R129" s="319"/>
      <c r="S129" s="319"/>
      <c r="T129" s="319"/>
      <c r="U129" s="319"/>
      <c r="V129" s="319"/>
      <c r="W129" s="414"/>
    </row>
    <row r="130" spans="2:23" s="4" customFormat="1" ht="12.75" customHeight="1" thickBot="1">
      <c r="B130" s="246"/>
      <c r="C130" s="292" t="s">
        <v>610</v>
      </c>
      <c r="D130" s="1200">
        <v>0</v>
      </c>
      <c r="E130" s="1203">
        <f t="shared" si="18"/>
        <v>0</v>
      </c>
      <c r="F130" s="1200">
        <f>D130+D130*M130</f>
        <v>0</v>
      </c>
      <c r="G130" s="1203">
        <f t="shared" si="19"/>
        <v>0</v>
      </c>
      <c r="H130" s="1200">
        <f>F130+F130*N130</f>
        <v>0</v>
      </c>
      <c r="I130" s="1203">
        <f t="shared" si="20"/>
        <v>0</v>
      </c>
      <c r="J130" s="1200">
        <f>H130+H130*O130</f>
        <v>0</v>
      </c>
      <c r="K130" s="1203">
        <f t="shared" si="21"/>
        <v>0</v>
      </c>
      <c r="L130" s="32"/>
      <c r="M130" s="358">
        <v>0.03</v>
      </c>
      <c r="N130" s="358">
        <f t="shared" si="17"/>
        <v>0.03</v>
      </c>
      <c r="O130" s="358">
        <f t="shared" si="17"/>
        <v>0.03</v>
      </c>
      <c r="P130" s="319"/>
      <c r="Q130" s="319"/>
      <c r="R130" s="319"/>
      <c r="S130" s="319"/>
      <c r="T130" s="319"/>
      <c r="U130" s="319"/>
      <c r="V130" s="319"/>
      <c r="W130" s="414"/>
    </row>
    <row r="131" spans="2:23" s="4" customFormat="1" ht="12.75" customHeight="1" thickBot="1">
      <c r="B131" s="247"/>
      <c r="C131" s="248" t="s">
        <v>451</v>
      </c>
      <c r="D131" s="1206">
        <v>0</v>
      </c>
      <c r="E131" s="1204">
        <f t="shared" si="18"/>
        <v>0</v>
      </c>
      <c r="F131" s="1206">
        <f>D131+D131*M131</f>
        <v>0</v>
      </c>
      <c r="G131" s="1204">
        <f t="shared" si="19"/>
        <v>0</v>
      </c>
      <c r="H131" s="1200">
        <f>F131+F131*N131</f>
        <v>0</v>
      </c>
      <c r="I131" s="1204">
        <f t="shared" si="20"/>
        <v>0</v>
      </c>
      <c r="J131" s="1200">
        <f>H131+H131*O131</f>
        <v>0</v>
      </c>
      <c r="K131" s="1204">
        <f t="shared" si="21"/>
        <v>0</v>
      </c>
      <c r="L131" s="32"/>
      <c r="M131" s="358">
        <v>0.03</v>
      </c>
      <c r="N131" s="358">
        <f t="shared" si="17"/>
        <v>0.03</v>
      </c>
      <c r="O131" s="358">
        <f t="shared" si="17"/>
        <v>0.03</v>
      </c>
      <c r="P131" s="319"/>
      <c r="Q131" s="319"/>
      <c r="R131" s="319"/>
      <c r="S131" s="319"/>
      <c r="T131" s="319"/>
      <c r="U131" s="319"/>
      <c r="V131" s="319"/>
      <c r="W131" s="414"/>
    </row>
    <row r="132" spans="2:23" ht="12.75" customHeight="1" thickBot="1">
      <c r="B132" s="104" t="s">
        <v>5</v>
      </c>
      <c r="C132" s="61" t="s">
        <v>283</v>
      </c>
      <c r="D132" s="1207">
        <f>D45+D44</f>
        <v>0</v>
      </c>
      <c r="E132" s="1208"/>
      <c r="F132" s="1207">
        <f>F45+F44</f>
        <v>0</v>
      </c>
      <c r="G132" s="1208"/>
      <c r="H132" s="1207">
        <f>H45+H44</f>
        <v>0</v>
      </c>
      <c r="I132" s="1208"/>
      <c r="J132" s="1207">
        <f>J45+J44</f>
        <v>0</v>
      </c>
      <c r="K132" s="1208"/>
      <c r="L132" s="7"/>
      <c r="M132" s="1448"/>
      <c r="N132" s="1449"/>
      <c r="O132" s="1449"/>
      <c r="P132" s="679"/>
      <c r="Q132" s="679"/>
      <c r="R132" s="679"/>
      <c r="S132" s="679"/>
      <c r="T132" s="679"/>
      <c r="U132" s="1450"/>
      <c r="V132" s="1450"/>
      <c r="W132" s="85"/>
    </row>
    <row r="133" spans="2:23" ht="3" customHeight="1">
      <c r="B133" s="4"/>
      <c r="L133" s="3"/>
      <c r="M133" s="1453"/>
      <c r="N133" s="1451"/>
      <c r="O133" s="1451"/>
      <c r="P133" s="1451"/>
      <c r="Q133" s="1451"/>
      <c r="R133" s="1451"/>
      <c r="S133" s="1451"/>
      <c r="T133" s="1451"/>
      <c r="U133" s="1452"/>
      <c r="V133" s="1452"/>
      <c r="W133" s="1431"/>
    </row>
    <row r="134" spans="2:23" s="2" customFormat="1" ht="12" customHeight="1">
      <c r="C134" s="372"/>
      <c r="D134" s="372"/>
      <c r="E134" s="372"/>
      <c r="F134" s="372"/>
      <c r="G134" s="372"/>
      <c r="H134" s="372"/>
      <c r="I134" s="372"/>
      <c r="J134" s="372"/>
      <c r="K134" s="265"/>
      <c r="L134" s="3"/>
      <c r="M134" s="44"/>
      <c r="N134" s="44"/>
      <c r="O134" s="44"/>
      <c r="P134" s="44"/>
      <c r="Q134" s="44"/>
      <c r="R134" s="44"/>
      <c r="S134" s="44"/>
      <c r="T134" s="44"/>
      <c r="U134" s="28"/>
      <c r="V134" s="28"/>
    </row>
    <row r="135" spans="2:23" s="2" customFormat="1">
      <c r="B135" s="371" t="str">
        <f>'7. T2 RESULTATB.'!B35</f>
        <v>Tjänsten erbjuds av: Dynamo Närpes och Kristinestads näringslivscentral</v>
      </c>
      <c r="C135" s="450"/>
      <c r="D135" s="372"/>
      <c r="E135" s="372"/>
      <c r="F135" s="372"/>
      <c r="G135" s="372"/>
      <c r="H135" s="372"/>
      <c r="I135" s="372"/>
      <c r="J135" s="372"/>
      <c r="K135" s="265" t="str">
        <f>STARTSIDAN!$G$26</f>
        <v xml:space="preserve">FT6 Det nya företagets resultatplan </v>
      </c>
      <c r="L135" s="3"/>
      <c r="M135" s="44"/>
      <c r="N135" s="44"/>
      <c r="O135" s="44"/>
      <c r="P135" s="44"/>
      <c r="Q135" s="44"/>
      <c r="R135" s="44"/>
      <c r="S135" s="44"/>
      <c r="T135" s="44"/>
      <c r="U135" s="28"/>
      <c r="V135" s="28"/>
    </row>
    <row r="136" spans="2:23" s="2" customFormat="1">
      <c r="B136" s="4"/>
      <c r="L136" s="3"/>
      <c r="M136" s="44"/>
      <c r="N136" s="44"/>
      <c r="O136" s="44"/>
      <c r="P136" s="44"/>
      <c r="Q136" s="44"/>
      <c r="R136" s="44"/>
      <c r="S136" s="44"/>
      <c r="T136" s="44"/>
      <c r="U136" s="28"/>
      <c r="V136" s="28"/>
    </row>
    <row r="137" spans="2:23" ht="6.75" customHeight="1">
      <c r="B137" s="4"/>
      <c r="C137" s="4"/>
      <c r="D137" s="4"/>
      <c r="E137" s="4"/>
      <c r="F137" s="4"/>
      <c r="G137" s="4"/>
      <c r="H137" s="4"/>
      <c r="I137" s="4"/>
      <c r="J137" s="4"/>
      <c r="K137" s="4"/>
      <c r="M137" s="1"/>
      <c r="N137" s="1"/>
      <c r="O137" s="1"/>
      <c r="P137" s="1"/>
      <c r="Q137" s="1"/>
      <c r="R137" s="1"/>
      <c r="S137" s="1"/>
      <c r="T137" s="1"/>
      <c r="U137" s="28"/>
      <c r="V137" s="28"/>
    </row>
    <row r="138" spans="2:23">
      <c r="B138" s="33"/>
      <c r="C138" s="369" t="s">
        <v>190</v>
      </c>
      <c r="D138" s="9"/>
      <c r="E138" s="20"/>
      <c r="F138" s="9"/>
      <c r="G138" s="20"/>
      <c r="H138" s="9"/>
      <c r="I138" s="20"/>
      <c r="J138" s="9"/>
      <c r="K138" s="20"/>
      <c r="L138" s="9"/>
      <c r="M138" s="9"/>
      <c r="N138" s="8"/>
      <c r="O138" s="28"/>
      <c r="P138" s="28"/>
      <c r="Q138" s="28"/>
      <c r="R138" s="28"/>
      <c r="S138" s="28"/>
      <c r="T138" s="28"/>
      <c r="U138" s="28"/>
      <c r="V138" s="28"/>
    </row>
    <row r="139" spans="2:23" s="2" customFormat="1">
      <c r="B139" s="36"/>
      <c r="C139" s="52" t="s">
        <v>191</v>
      </c>
      <c r="D139" s="23"/>
      <c r="E139" s="35"/>
      <c r="F139" s="9"/>
      <c r="G139" s="35"/>
      <c r="H139" s="9"/>
      <c r="I139" s="35"/>
      <c r="J139" s="9"/>
      <c r="K139" s="35"/>
      <c r="L139" s="9"/>
      <c r="M139" s="9"/>
      <c r="N139" s="8"/>
      <c r="O139" s="28"/>
      <c r="P139" s="28"/>
      <c r="Q139" s="28"/>
      <c r="R139" s="28"/>
      <c r="S139" s="28"/>
      <c r="T139" s="28"/>
      <c r="U139" s="28"/>
      <c r="V139" s="28"/>
    </row>
    <row r="140" spans="2:23" s="2" customFormat="1" ht="12.75" customHeight="1">
      <c r="B140" s="36"/>
      <c r="C140" s="52" t="s">
        <v>192</v>
      </c>
      <c r="D140" s="9"/>
      <c r="E140" s="35"/>
      <c r="F140" s="9"/>
      <c r="G140" s="35"/>
      <c r="H140" s="9"/>
      <c r="I140" s="35"/>
      <c r="J140" s="9"/>
      <c r="K140" s="35"/>
      <c r="L140" s="9"/>
      <c r="M140" s="9"/>
      <c r="N140" s="8"/>
      <c r="O140" s="28"/>
      <c r="P140" s="28"/>
      <c r="Q140" s="28"/>
      <c r="R140" s="28"/>
      <c r="S140" s="28"/>
      <c r="T140" s="28"/>
      <c r="U140" s="28"/>
      <c r="V140" s="28"/>
    </row>
    <row r="141" spans="2:23">
      <c r="B141" s="33"/>
      <c r="L141" s="12"/>
      <c r="M141" s="12"/>
      <c r="N141" s="8"/>
      <c r="O141" s="13"/>
      <c r="P141" s="28"/>
      <c r="Q141" s="28"/>
      <c r="R141" s="28"/>
      <c r="S141" s="28"/>
      <c r="T141" s="28"/>
      <c r="U141" s="28"/>
      <c r="V141" s="28"/>
    </row>
    <row r="142" spans="2:23" s="2" customFormat="1">
      <c r="B142" s="33"/>
      <c r="L142" s="14"/>
      <c r="M142" s="14"/>
      <c r="N142" s="8"/>
      <c r="O142" s="13"/>
      <c r="P142" s="28"/>
      <c r="Q142" s="28"/>
      <c r="R142" s="28"/>
      <c r="S142" s="28"/>
      <c r="T142" s="28"/>
      <c r="U142" s="28"/>
      <c r="V142" s="28"/>
    </row>
    <row r="143" spans="2:23">
      <c r="B143" s="36"/>
      <c r="L143" s="9"/>
      <c r="M143" s="9"/>
      <c r="N143" s="8"/>
      <c r="O143" s="28"/>
      <c r="P143" s="28"/>
      <c r="Q143" s="28"/>
      <c r="R143" s="28"/>
      <c r="S143" s="28"/>
      <c r="T143" s="28"/>
      <c r="U143" s="28"/>
      <c r="V143" s="28"/>
    </row>
    <row r="144" spans="2:23">
      <c r="B144" s="33"/>
      <c r="L144" s="12"/>
      <c r="M144" s="12"/>
      <c r="N144" s="8"/>
      <c r="O144" s="28"/>
      <c r="P144" s="28"/>
      <c r="Q144" s="28"/>
      <c r="R144" s="28"/>
      <c r="S144" s="28"/>
      <c r="T144" s="28"/>
      <c r="U144" s="28"/>
      <c r="V144" s="28"/>
    </row>
    <row r="145" spans="2:22">
      <c r="B145" s="36"/>
      <c r="L145" s="9"/>
      <c r="M145" s="9"/>
      <c r="N145" s="8"/>
      <c r="O145" s="28"/>
      <c r="P145" s="28"/>
      <c r="Q145" s="28"/>
      <c r="R145" s="28"/>
      <c r="S145" s="28"/>
      <c r="T145" s="28"/>
      <c r="U145" s="28"/>
      <c r="V145" s="28"/>
    </row>
    <row r="146" spans="2:22" ht="12.75" customHeight="1">
      <c r="B146" s="20"/>
      <c r="L146" s="11"/>
      <c r="M146" s="11"/>
      <c r="N146" s="8"/>
      <c r="O146" s="28"/>
      <c r="P146" s="28"/>
      <c r="Q146" s="28"/>
      <c r="R146" s="28"/>
      <c r="S146" s="28"/>
      <c r="T146" s="28"/>
      <c r="U146" s="28"/>
      <c r="V146" s="28"/>
    </row>
    <row r="147" spans="2:22" ht="12.75" customHeight="1">
      <c r="B147" s="20"/>
      <c r="C147" s="34"/>
      <c r="D147" s="11"/>
      <c r="E147" s="10"/>
      <c r="F147" s="16"/>
      <c r="G147" s="10"/>
      <c r="H147" s="16"/>
      <c r="I147" s="10"/>
      <c r="J147" s="16"/>
      <c r="K147" s="10"/>
      <c r="L147" s="16"/>
      <c r="M147" s="16"/>
      <c r="N147" s="8"/>
      <c r="O147" s="8"/>
      <c r="P147" s="8"/>
      <c r="Q147" s="8"/>
      <c r="R147" s="8"/>
      <c r="S147" s="8"/>
      <c r="T147" s="8"/>
      <c r="U147" s="8"/>
      <c r="V147" s="8"/>
    </row>
    <row r="148" spans="2:22" ht="12.75" customHeight="1">
      <c r="B148" s="20"/>
      <c r="C148" s="34"/>
      <c r="D148" s="11"/>
      <c r="E148" s="20"/>
      <c r="F148" s="11"/>
      <c r="G148" s="20"/>
      <c r="H148" s="11"/>
      <c r="I148" s="20"/>
      <c r="J148" s="11"/>
      <c r="K148" s="20"/>
      <c r="L148" s="11"/>
      <c r="M148" s="11"/>
      <c r="N148" s="8"/>
      <c r="O148" s="8"/>
      <c r="P148" s="8"/>
      <c r="Q148" s="8"/>
      <c r="R148" s="8"/>
      <c r="S148" s="8"/>
      <c r="T148" s="8"/>
      <c r="U148" s="8"/>
      <c r="V148" s="8"/>
    </row>
    <row r="149" spans="2:22" ht="12.75" customHeight="1">
      <c r="B149" s="20"/>
      <c r="C149" s="34"/>
      <c r="D149" s="11"/>
      <c r="E149" s="35"/>
      <c r="F149" s="38"/>
      <c r="G149" s="35"/>
      <c r="H149" s="38"/>
      <c r="I149" s="35"/>
      <c r="J149" s="38"/>
      <c r="K149" s="35"/>
      <c r="L149" s="38"/>
      <c r="M149" s="38"/>
      <c r="N149" s="8"/>
      <c r="O149" s="8"/>
      <c r="P149" s="8"/>
      <c r="Q149" s="8"/>
      <c r="R149" s="8"/>
      <c r="S149" s="8"/>
      <c r="T149" s="8"/>
      <c r="U149" s="8"/>
      <c r="V149" s="8"/>
    </row>
    <row r="150" spans="2:22" ht="12.75" customHeight="1">
      <c r="B150" s="35"/>
      <c r="C150" s="34"/>
      <c r="D150" s="11"/>
      <c r="E150" s="35"/>
      <c r="F150" s="38"/>
      <c r="G150" s="35"/>
      <c r="H150" s="38"/>
      <c r="I150" s="35"/>
      <c r="J150" s="38"/>
      <c r="K150" s="35"/>
      <c r="L150" s="38"/>
      <c r="M150" s="38"/>
      <c r="N150" s="8"/>
      <c r="O150" s="8"/>
      <c r="P150" s="8"/>
      <c r="Q150" s="8"/>
      <c r="R150" s="8"/>
      <c r="S150" s="8"/>
      <c r="T150" s="8"/>
      <c r="U150" s="8"/>
      <c r="V150" s="8"/>
    </row>
    <row r="151" spans="2:22" ht="12.75" customHeight="1">
      <c r="B151" s="20"/>
      <c r="C151" s="34"/>
      <c r="D151" s="11"/>
      <c r="E151" s="39"/>
      <c r="F151" s="38"/>
      <c r="G151" s="39"/>
      <c r="H151" s="38"/>
      <c r="I151" s="39"/>
      <c r="J151" s="38"/>
      <c r="K151" s="39"/>
      <c r="L151" s="38"/>
      <c r="M151" s="38"/>
      <c r="N151" s="8"/>
      <c r="O151" s="8"/>
      <c r="P151" s="8"/>
      <c r="Q151" s="8"/>
      <c r="R151" s="8"/>
      <c r="S151" s="8"/>
      <c r="T151" s="8"/>
      <c r="U151" s="8"/>
      <c r="V151" s="8"/>
    </row>
    <row r="152" spans="2:22" ht="12.75" customHeight="1">
      <c r="B152" s="8"/>
      <c r="C152" s="8"/>
      <c r="D152" s="8"/>
      <c r="E152" s="35"/>
      <c r="F152" s="8"/>
      <c r="G152" s="35"/>
      <c r="H152" s="8"/>
      <c r="I152" s="35"/>
      <c r="J152" s="8"/>
      <c r="K152" s="35"/>
      <c r="L152" s="8"/>
      <c r="M152" s="8"/>
      <c r="N152" s="8"/>
      <c r="O152" s="8"/>
      <c r="P152" s="8"/>
      <c r="Q152" s="8"/>
      <c r="R152" s="8"/>
      <c r="S152" s="8"/>
      <c r="T152" s="8"/>
      <c r="U152" s="8"/>
      <c r="V152" s="8"/>
    </row>
    <row r="153" spans="2:22" ht="12.75" customHeight="1">
      <c r="B153" s="8"/>
      <c r="C153" s="8"/>
      <c r="D153" s="36"/>
      <c r="E153" s="8"/>
      <c r="F153" s="15"/>
      <c r="G153" s="8"/>
      <c r="H153" s="15"/>
      <c r="I153" s="8"/>
      <c r="J153" s="15"/>
      <c r="K153" s="8"/>
      <c r="L153" s="15"/>
      <c r="M153" s="15"/>
      <c r="N153" s="8"/>
      <c r="O153" s="8"/>
      <c r="P153" s="8"/>
      <c r="Q153" s="8"/>
      <c r="R153" s="8"/>
      <c r="S153" s="8"/>
      <c r="T153" s="8"/>
      <c r="U153" s="8"/>
      <c r="V153" s="8"/>
    </row>
    <row r="154" spans="2:22" ht="12.75" customHeight="1">
      <c r="B154" s="8"/>
      <c r="C154" s="8"/>
      <c r="D154" s="36"/>
      <c r="E154" s="8"/>
      <c r="F154" s="9"/>
      <c r="G154" s="8"/>
      <c r="H154" s="9"/>
      <c r="I154" s="8"/>
      <c r="J154" s="9"/>
      <c r="K154" s="8"/>
      <c r="L154" s="9"/>
      <c r="M154" s="9"/>
      <c r="N154" s="8"/>
      <c r="O154" s="8"/>
      <c r="P154" s="8"/>
      <c r="Q154" s="8"/>
      <c r="R154" s="8"/>
      <c r="S154" s="8"/>
      <c r="T154" s="8"/>
      <c r="U154" s="8"/>
      <c r="V154" s="8"/>
    </row>
    <row r="155" spans="2:22" ht="12.75" customHeight="1">
      <c r="B155" s="8"/>
      <c r="C155" s="8"/>
      <c r="D155" s="8"/>
      <c r="E155" s="8"/>
      <c r="F155" s="8"/>
      <c r="G155" s="8"/>
      <c r="H155" s="8"/>
      <c r="I155" s="8"/>
      <c r="J155" s="8"/>
      <c r="K155" s="8"/>
      <c r="L155" s="8"/>
      <c r="M155" s="8"/>
      <c r="N155" s="8"/>
      <c r="O155" s="8"/>
      <c r="P155" s="8"/>
      <c r="Q155" s="8"/>
      <c r="R155" s="8"/>
      <c r="S155" s="8"/>
      <c r="T155" s="8"/>
      <c r="U155" s="8"/>
      <c r="V155" s="8"/>
    </row>
    <row r="156" spans="2:22" ht="12.75" customHeight="1">
      <c r="B156" s="8"/>
      <c r="C156" s="8"/>
      <c r="D156" s="36"/>
      <c r="E156" s="35"/>
      <c r="F156" s="17"/>
      <c r="G156" s="35"/>
      <c r="H156" s="17"/>
      <c r="I156" s="35"/>
      <c r="J156" s="17"/>
      <c r="K156" s="35"/>
      <c r="L156" s="17"/>
      <c r="M156" s="17"/>
      <c r="N156" s="8"/>
      <c r="O156" s="8"/>
      <c r="P156" s="8"/>
      <c r="Q156" s="8"/>
      <c r="R156" s="8"/>
      <c r="S156" s="8"/>
      <c r="T156" s="8"/>
      <c r="U156" s="8"/>
      <c r="V156" s="8"/>
    </row>
    <row r="157" spans="2:22" ht="12.75" customHeight="1"/>
    <row r="158" spans="2:22" ht="12.75" customHeight="1"/>
    <row r="159" spans="2:22" ht="12.75" customHeight="1"/>
    <row r="160" spans="2:22" ht="12.75" customHeight="1"/>
    <row r="161" ht="12.75" customHeight="1"/>
    <row r="162" ht="12.75" customHeight="1"/>
    <row r="163" ht="12.75" customHeight="1"/>
    <row r="164" ht="12.75" customHeight="1"/>
    <row r="165" ht="12.75" customHeight="1"/>
    <row r="166" ht="12.75" customHeight="1"/>
    <row r="167" ht="12.75" customHeight="1"/>
    <row r="168" ht="12.75" customHeight="1"/>
  </sheetData>
  <sheetProtection algorithmName="SHA-512" hashValue="dU63kdD0Kw4pZiRM09+XjgJtEojaIR+yWRlD6xU1qQc9GNm3TSKszi/pF6SqWLOHi8lIpCDNETJhgkYQaiuCtA==" saltValue="VjUU+yojLOr/SecCk3LsQg==" spinCount="100000" sheet="1" objects="1" scenarios="1"/>
  <mergeCells count="17">
    <mergeCell ref="D10:E10"/>
    <mergeCell ref="D8:E8"/>
    <mergeCell ref="M11:O11"/>
    <mergeCell ref="F7:G7"/>
    <mergeCell ref="B5:C5"/>
    <mergeCell ref="D7:E7"/>
    <mergeCell ref="D5:G5"/>
    <mergeCell ref="B7:C9"/>
    <mergeCell ref="F8:G8"/>
    <mergeCell ref="M5:O5"/>
    <mergeCell ref="J10:K10"/>
    <mergeCell ref="H10:I10"/>
    <mergeCell ref="F10:G10"/>
    <mergeCell ref="J7:K7"/>
    <mergeCell ref="J8:K8"/>
    <mergeCell ref="H8:I8"/>
    <mergeCell ref="H7:I7"/>
  </mergeCells>
  <phoneticPr fontId="6" type="noConversion"/>
  <printOptions horizontalCentered="1"/>
  <pageMargins left="0.25" right="0.25" top="0.75" bottom="0.75" header="0.3" footer="0.3"/>
  <pageSetup paperSize="9" scale="80" orientation="portrait" verticalDpi="4" r:id="rId1"/>
  <headerFooter alignWithMargins="0"/>
  <rowBreaks count="1" manualBreakCount="1">
    <brk id="71" min="1" max="25" man="1"/>
  </rowBreaks>
  <colBreaks count="1" manualBreakCount="1">
    <brk id="11" min="1" max="131" man="1"/>
  </colBreaks>
  <ignoredErrors>
    <ignoredError sqref="F13 H13 J13 O13" unlocked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4">
    <tabColor rgb="FF0152A1"/>
  </sheetPr>
  <dimension ref="A2:X75"/>
  <sheetViews>
    <sheetView showGridLines="0" showZeros="0" defaultGridColor="0" colorId="55" zoomScaleNormal="100" workbookViewId="0">
      <selection activeCell="B16" sqref="B16"/>
    </sheetView>
  </sheetViews>
  <sheetFormatPr defaultRowHeight="12.45"/>
  <cols>
    <col min="1" max="1" width="11.69140625" customWidth="1"/>
    <col min="2" max="2" width="31.53515625" customWidth="1"/>
    <col min="3" max="3" width="9" style="41" customWidth="1"/>
    <col min="4" max="4" width="5.84375" customWidth="1"/>
    <col min="5" max="8" width="13.3046875" customWidth="1"/>
    <col min="9" max="9" width="2.3046875" customWidth="1"/>
    <col min="10" max="10" width="6.84375" customWidth="1"/>
    <col min="11" max="11" width="1.4609375" customWidth="1"/>
    <col min="14" max="21" width="8.84375" customWidth="1"/>
  </cols>
  <sheetData>
    <row r="2" spans="1:24" ht="15.45">
      <c r="B2" s="25" t="s">
        <v>452</v>
      </c>
      <c r="C2"/>
      <c r="D2" s="25"/>
      <c r="E2" s="49" t="s">
        <v>149</v>
      </c>
      <c r="F2" s="25"/>
      <c r="J2" s="25" t="s">
        <v>452</v>
      </c>
      <c r="N2" s="363"/>
    </row>
    <row r="3" spans="1:24" ht="13.5" customHeight="1">
      <c r="B3" s="2"/>
      <c r="C3" s="6"/>
      <c r="D3" s="5"/>
      <c r="E3" s="1736">
        <f>'7. T2 RESULTATB.'!E3</f>
        <v>0</v>
      </c>
      <c r="F3" s="6"/>
      <c r="G3" s="6"/>
      <c r="H3" s="6"/>
      <c r="N3" s="364"/>
    </row>
    <row r="4" spans="1:24" ht="17.25" customHeight="1">
      <c r="B4" s="45" t="s">
        <v>151</v>
      </c>
      <c r="C4" s="54"/>
      <c r="D4" s="19" t="s">
        <v>0</v>
      </c>
      <c r="E4" s="45" t="s">
        <v>153</v>
      </c>
      <c r="F4" s="1"/>
      <c r="G4" s="19" t="s">
        <v>0</v>
      </c>
      <c r="H4" s="19" t="s">
        <v>0</v>
      </c>
      <c r="I4" s="29" t="s">
        <v>0</v>
      </c>
      <c r="J4" s="29" t="s">
        <v>0</v>
      </c>
      <c r="K4" s="29" t="s">
        <v>0</v>
      </c>
      <c r="L4" s="19"/>
      <c r="N4" s="364"/>
    </row>
    <row r="5" spans="1:24" ht="14.25" customHeight="1">
      <c r="B5" s="1921">
        <f>'7. T2 RESULTATB.'!B5:D5</f>
        <v>0</v>
      </c>
      <c r="C5" s="1921"/>
      <c r="D5" s="1921"/>
      <c r="E5" s="1922">
        <f>'7. T2 RESULTATB.'!I5</f>
        <v>0</v>
      </c>
      <c r="F5" s="1923"/>
      <c r="G5" s="1923"/>
      <c r="H5" s="1923"/>
      <c r="I5" s="22"/>
      <c r="J5" s="1834"/>
      <c r="K5" s="1834"/>
      <c r="L5" s="1834"/>
      <c r="M5" s="25"/>
      <c r="N5" s="365"/>
      <c r="W5" s="8"/>
      <c r="X5" s="8"/>
    </row>
    <row r="6" spans="1:24" ht="6" customHeight="1" thickBot="1">
      <c r="F6" s="18"/>
      <c r="G6" s="18"/>
      <c r="H6" s="18"/>
      <c r="M6" s="1"/>
      <c r="N6" s="1"/>
      <c r="O6" s="1"/>
      <c r="P6" s="1"/>
      <c r="Q6" s="1"/>
      <c r="R6" s="1"/>
      <c r="S6" s="1"/>
      <c r="T6" s="1"/>
      <c r="U6" s="1"/>
      <c r="V6" s="1"/>
      <c r="W6" s="8"/>
      <c r="X6" s="8"/>
    </row>
    <row r="7" spans="1:24" ht="12.75" customHeight="1">
      <c r="B7" s="1924" t="s">
        <v>635</v>
      </c>
      <c r="C7" s="1925"/>
      <c r="D7" s="1926"/>
      <c r="E7" s="1468" t="str">
        <f>'1. T1 INVESTERINGSP.'!D15</f>
        <v>Prognos 1</v>
      </c>
      <c r="F7" s="1468" t="s">
        <v>159</v>
      </c>
      <c r="G7" s="1468" t="s">
        <v>160</v>
      </c>
      <c r="H7" s="1469" t="s">
        <v>161</v>
      </c>
    </row>
    <row r="8" spans="1:24" ht="12.75" customHeight="1">
      <c r="B8" s="1927"/>
      <c r="C8" s="1928"/>
      <c r="D8" s="1929"/>
      <c r="E8" s="1470">
        <f>'3. E1 KOSTNADER'!D$8</f>
        <v>2025</v>
      </c>
      <c r="F8" s="1470">
        <f>'3. E1 KOSTNADER'!F$8</f>
        <v>2026</v>
      </c>
      <c r="G8" s="1470">
        <f>'3. E1 KOSTNADER'!H$8</f>
        <v>2027</v>
      </c>
      <c r="H8" s="1471">
        <f>'1. T1 INVESTERINGSP.'!G16</f>
        <v>2028</v>
      </c>
      <c r="I8" s="42"/>
      <c r="J8" s="201"/>
      <c r="K8" s="201"/>
      <c r="L8" s="201"/>
      <c r="M8" s="201"/>
      <c r="N8" s="201"/>
      <c r="O8" s="178"/>
      <c r="P8" s="178"/>
      <c r="Q8" s="178"/>
      <c r="R8" s="178"/>
      <c r="S8" s="178"/>
      <c r="T8" s="178"/>
      <c r="U8" s="178"/>
    </row>
    <row r="9" spans="1:24" ht="12.75" customHeight="1" thickBot="1">
      <c r="B9" s="1930" t="s">
        <v>194</v>
      </c>
      <c r="C9" s="1931"/>
      <c r="D9" s="1932"/>
      <c r="E9" s="1472">
        <f>'3. E1 KOSTNADER'!D10</f>
        <v>12</v>
      </c>
      <c r="F9" s="1472" t="str">
        <f>'7. T2 RESULTATB.'!I10</f>
        <v>12</v>
      </c>
      <c r="G9" s="1472" t="str">
        <f>'7. T2 RESULTATB.'!K10</f>
        <v>12</v>
      </c>
      <c r="H9" s="1473" t="str">
        <f>'7. T2 RESULTATB.'!M10</f>
        <v>12</v>
      </c>
      <c r="I9" s="42"/>
      <c r="J9" s="201"/>
      <c r="K9" s="201"/>
      <c r="L9" s="201"/>
      <c r="M9" s="201"/>
      <c r="N9" s="201"/>
      <c r="O9" s="178"/>
      <c r="P9" s="178"/>
      <c r="Q9" s="178"/>
      <c r="R9" s="178"/>
      <c r="S9" s="178"/>
      <c r="T9" s="178"/>
      <c r="U9" s="178"/>
    </row>
    <row r="10" spans="1:24" ht="12" customHeight="1">
      <c r="B10" s="338" t="s">
        <v>587</v>
      </c>
      <c r="C10" s="559"/>
      <c r="D10" s="567" t="s">
        <v>668</v>
      </c>
      <c r="E10" s="1145">
        <f>(E16+E22+E28+E34+E40+E46+E52+E58+E64)</f>
        <v>0</v>
      </c>
      <c r="F10" s="1145">
        <f>(F16+F22+F28+F34+F40+F46+F52+F58+F64)</f>
        <v>0</v>
      </c>
      <c r="G10" s="1145">
        <f>(G16+G22+G28+G34+G40+G46+G52+G58+G64)</f>
        <v>0</v>
      </c>
      <c r="H10" s="1146">
        <f>(H16+H22+H28+H34+H40+H46+H52+H58+H64)</f>
        <v>0</v>
      </c>
      <c r="J10" s="178"/>
      <c r="K10" s="178"/>
      <c r="L10" s="178"/>
      <c r="M10" s="178"/>
      <c r="N10" s="178"/>
      <c r="O10" s="178"/>
      <c r="P10" s="178"/>
      <c r="Q10" s="178"/>
      <c r="R10" s="178"/>
      <c r="S10" s="178"/>
      <c r="T10" s="178"/>
      <c r="U10" s="178"/>
    </row>
    <row r="11" spans="1:24" ht="12" customHeight="1">
      <c r="B11" s="561" t="s">
        <v>588</v>
      </c>
      <c r="C11" s="562"/>
      <c r="D11" s="560" t="s">
        <v>668</v>
      </c>
      <c r="E11" s="1147">
        <f>E20+E26+E32+E44+E50+E56+E62+E68+E38</f>
        <v>0</v>
      </c>
      <c r="F11" s="1147">
        <f>F20+F26+F32+F44+F50+F56+F62+F68+F38</f>
        <v>0</v>
      </c>
      <c r="G11" s="1147">
        <f>G20+G26+G32+G44+G50+G56+G62+G68+G38</f>
        <v>0</v>
      </c>
      <c r="H11" s="1148">
        <f>H20+H26+H32+H44+H50+H56+H62+H68+H38</f>
        <v>0</v>
      </c>
      <c r="J11" s="178"/>
      <c r="K11" s="178"/>
      <c r="L11" s="178"/>
      <c r="M11" s="178"/>
      <c r="N11" s="178"/>
      <c r="O11" s="178"/>
      <c r="P11" s="178"/>
      <c r="Q11" s="178"/>
      <c r="R11" s="178"/>
      <c r="S11" s="178"/>
      <c r="T11" s="178"/>
      <c r="U11" s="178"/>
    </row>
    <row r="12" spans="1:24" ht="12" customHeight="1">
      <c r="B12" s="561" t="s">
        <v>589</v>
      </c>
      <c r="C12" s="562"/>
      <c r="D12" s="563"/>
      <c r="E12" s="1149">
        <f>IF(E11=0,0,E11/E10)</f>
        <v>0</v>
      </c>
      <c r="F12" s="1149">
        <f>IF(F11=0,0,F11/F10)</f>
        <v>0</v>
      </c>
      <c r="G12" s="1149">
        <f>IF(G11=0,0,G11/G10)</f>
        <v>0</v>
      </c>
      <c r="H12" s="1150">
        <f>IF(H11=0,0,H11/H10)</f>
        <v>0</v>
      </c>
      <c r="J12" s="178"/>
      <c r="K12" s="178"/>
      <c r="L12" s="178"/>
      <c r="M12" s="178"/>
      <c r="N12" s="178"/>
      <c r="O12" s="178"/>
      <c r="P12" s="178"/>
      <c r="Q12" s="178"/>
      <c r="R12" s="178"/>
      <c r="S12" s="178"/>
      <c r="T12" s="178"/>
      <c r="U12" s="178"/>
    </row>
    <row r="13" spans="1:24" ht="12" customHeight="1" thickBot="1">
      <c r="B13" s="564" t="s">
        <v>590</v>
      </c>
      <c r="C13" s="562"/>
      <c r="D13" s="560" t="s">
        <v>667</v>
      </c>
      <c r="E13" s="1147">
        <f>E15*(E16)+E21*(E22)+E27*(E28)+E33*(E34)+E39*(E40)+E45*(E46)+E51*(E52)+E57*(E58)+E63*(E64)</f>
        <v>0</v>
      </c>
      <c r="F13" s="1147">
        <f>F15*(F16)+F21*(F22)+F27*(F28)+F33*(F34)+F39*(F40)+F45*(F46)+F51*(F52)+F57*(F58)+F63*(F64)</f>
        <v>0</v>
      </c>
      <c r="G13" s="1147">
        <f>G15*(G16)+G21*(G22)+G27*(G28)+G33*(G34)+G39*(G40)+G45*(G46)+G51*(G52)+G57*(G58)+G63*(G64)</f>
        <v>0</v>
      </c>
      <c r="H13" s="1148">
        <f>H15*(H16)+H21*(H22)+H27*(H28)+H33*(H34)+H39*(H40)+H45*(H46)+H51*(H52)+H57*(H58)+H63*(H64)</f>
        <v>0</v>
      </c>
      <c r="J13" s="1789"/>
      <c r="K13" s="1789"/>
      <c r="L13" s="1789"/>
      <c r="M13" s="1789"/>
      <c r="N13" s="1789"/>
      <c r="O13" s="1789"/>
      <c r="P13" s="1789"/>
      <c r="Q13" s="1789"/>
      <c r="R13" s="1789"/>
      <c r="S13" s="1789"/>
      <c r="T13" s="1789"/>
      <c r="U13" s="1789"/>
    </row>
    <row r="14" spans="1:24" ht="12" customHeight="1" thickBot="1">
      <c r="B14" s="565" t="s">
        <v>591</v>
      </c>
      <c r="C14" s="566"/>
      <c r="D14" s="568" t="s">
        <v>667</v>
      </c>
      <c r="E14" s="1151">
        <f>E15*(E20)+E21*(E26)+E27*(E32)+E33*(E38)+E39*(E44)+E45*(E50)+E51*(E56)+E57*(E62)+E63*(E68)</f>
        <v>0</v>
      </c>
      <c r="F14" s="1151">
        <f>F15*(F20)+F21*(F26)+F27*(F32)+F33*(F38)+F39*(F44)+F45*(F50)+F51*(F56)+F57*(F62)+F63*(F68)</f>
        <v>0</v>
      </c>
      <c r="G14" s="1151">
        <f>G15*(G20)+G21*(G26)+G27*(G32)+G33*(G38)+G39*(G44)+G45*(G50)+G51*(G56)+G57*(G62)+G63*(G68)</f>
        <v>0</v>
      </c>
      <c r="H14" s="1152">
        <f>H15*(H20)+H21*(H26)+H27*(H32)+H33*(H38)+H39*(H44)+H45*(H50)+H51*(H56)+H57*(H62)+H63*(H68)</f>
        <v>0</v>
      </c>
      <c r="J14" s="508" t="s">
        <v>723</v>
      </c>
      <c r="K14" s="183"/>
      <c r="L14" s="182"/>
      <c r="M14" s="182"/>
      <c r="N14" s="360"/>
      <c r="O14" s="407"/>
      <c r="P14" s="407"/>
      <c r="Q14" s="407"/>
      <c r="R14" s="407"/>
      <c r="S14" s="407"/>
      <c r="T14" s="407"/>
      <c r="U14" s="408"/>
    </row>
    <row r="15" spans="1:24" ht="12" customHeight="1">
      <c r="A15" s="53"/>
      <c r="B15" s="103"/>
      <c r="C15" s="1915" t="s">
        <v>323</v>
      </c>
      <c r="D15" s="1916"/>
      <c r="E15" s="339">
        <v>0.24</v>
      </c>
      <c r="F15" s="339">
        <f>E15</f>
        <v>0.24</v>
      </c>
      <c r="G15" s="339">
        <f>F15</f>
        <v>0.24</v>
      </c>
      <c r="H15" s="340">
        <f>G15</f>
        <v>0.24</v>
      </c>
      <c r="I15" s="42"/>
      <c r="J15" s="198"/>
      <c r="K15" s="199"/>
      <c r="L15" s="1914" t="s">
        <v>592</v>
      </c>
      <c r="M15" s="1914"/>
      <c r="N15" s="1914"/>
      <c r="O15" s="319"/>
      <c r="P15" s="319"/>
      <c r="Q15" s="319"/>
      <c r="R15" s="319"/>
      <c r="S15" s="319"/>
      <c r="T15" s="319"/>
      <c r="U15" s="343"/>
    </row>
    <row r="16" spans="1:24" ht="12.75" customHeight="1">
      <c r="B16" s="375" t="s">
        <v>585</v>
      </c>
      <c r="C16" s="376" t="s">
        <v>453</v>
      </c>
      <c r="D16" s="376" t="s">
        <v>667</v>
      </c>
      <c r="E16" s="1134">
        <f>E17*E18</f>
        <v>0</v>
      </c>
      <c r="F16" s="1134">
        <f>F17*F18</f>
        <v>0</v>
      </c>
      <c r="G16" s="1134">
        <f>G17*G18</f>
        <v>0</v>
      </c>
      <c r="H16" s="1135">
        <f>H17*H18</f>
        <v>0</v>
      </c>
      <c r="J16" s="393"/>
      <c r="K16" s="85"/>
      <c r="L16" s="294">
        <f>F$8</f>
        <v>2026</v>
      </c>
      <c r="M16" s="294">
        <f>G$8</f>
        <v>2027</v>
      </c>
      <c r="N16" s="294">
        <f>H$8</f>
        <v>2028</v>
      </c>
      <c r="O16" s="319"/>
      <c r="P16" s="319"/>
      <c r="Q16" s="319"/>
      <c r="R16" s="319"/>
      <c r="S16" s="319"/>
      <c r="T16" s="319"/>
      <c r="U16" s="343"/>
    </row>
    <row r="17" spans="2:21" ht="12" customHeight="1">
      <c r="B17" s="502" t="s">
        <v>454</v>
      </c>
      <c r="C17" s="569"/>
      <c r="D17" s="570"/>
      <c r="E17" s="1136">
        <v>0</v>
      </c>
      <c r="F17" s="1137">
        <f t="shared" ref="F17:H18" si="0">E17+E17*L17</f>
        <v>0</v>
      </c>
      <c r="G17" s="1137">
        <f t="shared" si="0"/>
        <v>0</v>
      </c>
      <c r="H17" s="1138">
        <f t="shared" si="0"/>
        <v>0</v>
      </c>
      <c r="J17" s="1917" t="s">
        <v>594</v>
      </c>
      <c r="K17" s="1918"/>
      <c r="L17" s="358">
        <v>0</v>
      </c>
      <c r="M17" s="358">
        <f>L17</f>
        <v>0</v>
      </c>
      <c r="N17" s="358">
        <f>M17</f>
        <v>0</v>
      </c>
      <c r="O17" s="409"/>
      <c r="P17" s="319"/>
      <c r="Q17" s="319"/>
      <c r="R17" s="319"/>
      <c r="S17" s="319"/>
      <c r="T17" s="319"/>
      <c r="U17" s="343"/>
    </row>
    <row r="18" spans="2:21" ht="12" customHeight="1">
      <c r="B18" s="502" t="s">
        <v>455</v>
      </c>
      <c r="C18" s="503"/>
      <c r="D18" s="376" t="s">
        <v>667</v>
      </c>
      <c r="E18" s="1139">
        <v>0</v>
      </c>
      <c r="F18" s="1139">
        <f t="shared" si="0"/>
        <v>0</v>
      </c>
      <c r="G18" s="1139">
        <f t="shared" si="0"/>
        <v>0</v>
      </c>
      <c r="H18" s="1140">
        <f t="shared" si="0"/>
        <v>0</v>
      </c>
      <c r="J18" s="1917" t="s">
        <v>593</v>
      </c>
      <c r="K18" s="1918"/>
      <c r="L18" s="358">
        <v>0.03</v>
      </c>
      <c r="M18" s="358">
        <f>L18</f>
        <v>0.03</v>
      </c>
      <c r="N18" s="358">
        <f>M18</f>
        <v>0.03</v>
      </c>
      <c r="O18" s="319"/>
      <c r="P18" s="319"/>
      <c r="Q18" s="319"/>
      <c r="R18" s="319"/>
      <c r="S18" s="319"/>
      <c r="T18" s="319"/>
      <c r="U18" s="343"/>
    </row>
    <row r="19" spans="2:21" ht="12" customHeight="1">
      <c r="B19" s="502" t="s">
        <v>540</v>
      </c>
      <c r="C19" s="519"/>
      <c r="D19" s="520"/>
      <c r="E19" s="1141">
        <v>0</v>
      </c>
      <c r="F19" s="1141">
        <f>E19</f>
        <v>0</v>
      </c>
      <c r="G19" s="1141">
        <f>F19</f>
        <v>0</v>
      </c>
      <c r="H19" s="1142">
        <f>G19</f>
        <v>0</v>
      </c>
      <c r="J19" s="198" t="s">
        <v>0</v>
      </c>
      <c r="K19" s="199"/>
      <c r="L19" s="199"/>
      <c r="M19" s="199"/>
      <c r="N19" s="199"/>
      <c r="O19" s="319"/>
      <c r="P19" s="319" t="s">
        <v>105</v>
      </c>
      <c r="Q19" s="319"/>
      <c r="R19" s="319"/>
      <c r="S19" s="319"/>
      <c r="T19" s="319"/>
      <c r="U19" s="343"/>
    </row>
    <row r="20" spans="2:21" ht="12" customHeight="1" thickBot="1">
      <c r="B20" s="504" t="s">
        <v>541</v>
      </c>
      <c r="C20" s="505"/>
      <c r="D20" s="376" t="s">
        <v>667</v>
      </c>
      <c r="E20" s="1143">
        <f>IF(E19=0,0,E16*E19)</f>
        <v>0</v>
      </c>
      <c r="F20" s="1143">
        <f>IF(F19=0,0,F16*F19)</f>
        <v>0</v>
      </c>
      <c r="G20" s="1143">
        <f>IF(G19=0,0,G16*G19)</f>
        <v>0</v>
      </c>
      <c r="H20" s="1144">
        <f>IF(H19=0,0,H16*H19)</f>
        <v>0</v>
      </c>
      <c r="J20" s="198"/>
      <c r="K20" s="199"/>
      <c r="L20" s="199"/>
      <c r="M20" s="199"/>
      <c r="N20" s="199"/>
      <c r="O20" s="319"/>
      <c r="P20" s="319"/>
      <c r="Q20" s="319"/>
      <c r="R20" s="319"/>
      <c r="S20" s="319"/>
      <c r="T20" s="319"/>
      <c r="U20" s="343"/>
    </row>
    <row r="21" spans="2:21" ht="12" customHeight="1">
      <c r="B21" s="103"/>
      <c r="C21" s="1915" t="s">
        <v>323</v>
      </c>
      <c r="D21" s="1916"/>
      <c r="E21" s="339">
        <v>0.24</v>
      </c>
      <c r="F21" s="339">
        <f>E21</f>
        <v>0.24</v>
      </c>
      <c r="G21" s="339">
        <f>F21</f>
        <v>0.24</v>
      </c>
      <c r="H21" s="340">
        <f>G21</f>
        <v>0.24</v>
      </c>
      <c r="I21" s="42"/>
      <c r="J21" s="198"/>
      <c r="K21" s="199"/>
      <c r="L21" s="336"/>
      <c r="M21" s="336"/>
      <c r="N21" s="199"/>
      <c r="O21" s="319"/>
      <c r="P21" s="319"/>
      <c r="Q21" s="319"/>
      <c r="R21" s="319"/>
      <c r="S21" s="319"/>
      <c r="T21" s="319"/>
      <c r="U21" s="343"/>
    </row>
    <row r="22" spans="2:21" ht="12.75" customHeight="1">
      <c r="B22" s="375">
        <v>0</v>
      </c>
      <c r="C22" s="376" t="s">
        <v>453</v>
      </c>
      <c r="D22" s="376" t="s">
        <v>667</v>
      </c>
      <c r="E22" s="1134">
        <f>E23*E24</f>
        <v>0</v>
      </c>
      <c r="F22" s="1134">
        <f>F23*F24</f>
        <v>0</v>
      </c>
      <c r="G22" s="1134">
        <f>G23*G24</f>
        <v>0</v>
      </c>
      <c r="H22" s="1135">
        <f>H23*H24</f>
        <v>0</v>
      </c>
      <c r="J22" s="393"/>
      <c r="K22" s="85"/>
      <c r="L22" s="294">
        <f>F$8</f>
        <v>2026</v>
      </c>
      <c r="M22" s="294">
        <f>G$8</f>
        <v>2027</v>
      </c>
      <c r="N22" s="294">
        <f>H$8</f>
        <v>2028</v>
      </c>
      <c r="O22" s="319"/>
      <c r="P22" s="319"/>
      <c r="Q22" s="319"/>
      <c r="R22" s="319"/>
      <c r="S22" s="319"/>
      <c r="T22" s="319"/>
      <c r="U22" s="343"/>
    </row>
    <row r="23" spans="2:21" ht="12" customHeight="1">
      <c r="B23" s="502" t="s">
        <v>454</v>
      </c>
      <c r="C23" s="569"/>
      <c r="D23" s="570"/>
      <c r="E23" s="1136">
        <v>0</v>
      </c>
      <c r="F23" s="1137">
        <f t="shared" ref="F23:H24" si="1">E23+E23*L23</f>
        <v>0</v>
      </c>
      <c r="G23" s="1137">
        <f t="shared" si="1"/>
        <v>0</v>
      </c>
      <c r="H23" s="1138">
        <f t="shared" si="1"/>
        <v>0</v>
      </c>
      <c r="J23" s="1917" t="s">
        <v>594</v>
      </c>
      <c r="K23" s="1918"/>
      <c r="L23" s="358">
        <v>0</v>
      </c>
      <c r="M23" s="358">
        <f>L23</f>
        <v>0</v>
      </c>
      <c r="N23" s="358">
        <f>M23</f>
        <v>0</v>
      </c>
      <c r="O23" s="409"/>
      <c r="P23" s="319"/>
      <c r="Q23" s="319"/>
      <c r="R23" s="319"/>
      <c r="S23" s="319"/>
      <c r="T23" s="319"/>
      <c r="U23" s="343"/>
    </row>
    <row r="24" spans="2:21" ht="12" customHeight="1">
      <c r="B24" s="502" t="s">
        <v>455</v>
      </c>
      <c r="C24" s="503"/>
      <c r="D24" s="376" t="s">
        <v>667</v>
      </c>
      <c r="E24" s="1139">
        <v>0</v>
      </c>
      <c r="F24" s="1139">
        <f t="shared" si="1"/>
        <v>0</v>
      </c>
      <c r="G24" s="1139">
        <f t="shared" si="1"/>
        <v>0</v>
      </c>
      <c r="H24" s="1140">
        <f t="shared" si="1"/>
        <v>0</v>
      </c>
      <c r="J24" s="1917" t="s">
        <v>593</v>
      </c>
      <c r="K24" s="1918"/>
      <c r="L24" s="358">
        <v>0.03</v>
      </c>
      <c r="M24" s="358">
        <f>L24</f>
        <v>0.03</v>
      </c>
      <c r="N24" s="358">
        <f>M24</f>
        <v>0.03</v>
      </c>
      <c r="O24" s="319"/>
      <c r="P24" s="319"/>
      <c r="Q24" s="319"/>
      <c r="R24" s="319"/>
      <c r="S24" s="319"/>
      <c r="T24" s="319"/>
      <c r="U24" s="343"/>
    </row>
    <row r="25" spans="2:21" ht="12" customHeight="1">
      <c r="B25" s="502" t="s">
        <v>540</v>
      </c>
      <c r="C25" s="519"/>
      <c r="D25" s="520"/>
      <c r="E25" s="1141">
        <v>0</v>
      </c>
      <c r="F25" s="1141">
        <f>E25</f>
        <v>0</v>
      </c>
      <c r="G25" s="1141">
        <f>F25</f>
        <v>0</v>
      </c>
      <c r="H25" s="1142">
        <f>G25</f>
        <v>0</v>
      </c>
      <c r="J25" s="198" t="s">
        <v>0</v>
      </c>
      <c r="K25" s="199"/>
      <c r="L25" s="199"/>
      <c r="M25" s="199"/>
      <c r="N25" s="199"/>
      <c r="O25" s="319"/>
      <c r="P25" s="319" t="s">
        <v>105</v>
      </c>
      <c r="Q25" s="319"/>
      <c r="R25" s="319"/>
      <c r="S25" s="319"/>
      <c r="T25" s="319"/>
      <c r="U25" s="343"/>
    </row>
    <row r="26" spans="2:21" ht="12" customHeight="1" thickBot="1">
      <c r="B26" s="504" t="s">
        <v>541</v>
      </c>
      <c r="C26" s="505"/>
      <c r="D26" s="376" t="s">
        <v>668</v>
      </c>
      <c r="E26" s="1143">
        <f>IF(E25=0,0,E22*E25)</f>
        <v>0</v>
      </c>
      <c r="F26" s="1143">
        <f>IF(F25=0,0,F22*F25)</f>
        <v>0</v>
      </c>
      <c r="G26" s="1143">
        <f>IF(G25=0,0,G22*G25)</f>
        <v>0</v>
      </c>
      <c r="H26" s="1144">
        <f>IF(H25=0,0,H22*H25)</f>
        <v>0</v>
      </c>
      <c r="J26" s="198"/>
      <c r="K26" s="199"/>
      <c r="L26" s="199"/>
      <c r="M26" s="199"/>
      <c r="N26" s="199"/>
      <c r="O26" s="319"/>
      <c r="P26" s="319"/>
      <c r="Q26" s="319"/>
      <c r="R26" s="319"/>
      <c r="S26" s="319"/>
      <c r="T26" s="319"/>
      <c r="U26" s="343"/>
    </row>
    <row r="27" spans="2:21" ht="12" customHeight="1">
      <c r="B27" s="558"/>
      <c r="C27" s="1915" t="s">
        <v>323</v>
      </c>
      <c r="D27" s="1916"/>
      <c r="E27" s="339">
        <v>0.24</v>
      </c>
      <c r="F27" s="339">
        <f>E27</f>
        <v>0.24</v>
      </c>
      <c r="G27" s="339">
        <f>F27</f>
        <v>0.24</v>
      </c>
      <c r="H27" s="340">
        <f>G27</f>
        <v>0.24</v>
      </c>
      <c r="I27" s="42"/>
      <c r="J27" s="198"/>
      <c r="K27" s="199"/>
      <c r="L27" s="336"/>
      <c r="M27" s="336"/>
      <c r="N27" s="199"/>
      <c r="O27" s="319"/>
      <c r="P27" s="319"/>
      <c r="Q27" s="319"/>
      <c r="R27" s="319"/>
      <c r="S27" s="319"/>
      <c r="T27" s="319"/>
      <c r="U27" s="343"/>
    </row>
    <row r="28" spans="2:21" ht="12.75" customHeight="1">
      <c r="B28" s="375">
        <v>0</v>
      </c>
      <c r="C28" s="376" t="s">
        <v>453</v>
      </c>
      <c r="D28" s="376" t="s">
        <v>668</v>
      </c>
      <c r="E28" s="1134">
        <f>E29*E30</f>
        <v>0</v>
      </c>
      <c r="F28" s="1134">
        <f>F29*F30</f>
        <v>0</v>
      </c>
      <c r="G28" s="1134">
        <f>G29*G30</f>
        <v>0</v>
      </c>
      <c r="H28" s="1135">
        <f>H29*H30</f>
        <v>0</v>
      </c>
      <c r="J28" s="393"/>
      <c r="K28" s="85"/>
      <c r="L28" s="294">
        <f>F$8</f>
        <v>2026</v>
      </c>
      <c r="M28" s="294">
        <f>G$8</f>
        <v>2027</v>
      </c>
      <c r="N28" s="294">
        <f>H$8</f>
        <v>2028</v>
      </c>
      <c r="O28" s="319"/>
      <c r="P28" s="319"/>
      <c r="Q28" s="319"/>
      <c r="R28" s="319"/>
      <c r="S28" s="319"/>
      <c r="T28" s="319"/>
      <c r="U28" s="343"/>
    </row>
    <row r="29" spans="2:21" ht="12" customHeight="1">
      <c r="B29" s="502" t="s">
        <v>454</v>
      </c>
      <c r="C29" s="569"/>
      <c r="D29" s="570"/>
      <c r="E29" s="1136">
        <v>0</v>
      </c>
      <c r="F29" s="1137">
        <f t="shared" ref="F29:H30" si="2">E29+E29*L29</f>
        <v>0</v>
      </c>
      <c r="G29" s="1137">
        <f t="shared" si="2"/>
        <v>0</v>
      </c>
      <c r="H29" s="1138">
        <f t="shared" si="2"/>
        <v>0</v>
      </c>
      <c r="J29" s="1917" t="s">
        <v>594</v>
      </c>
      <c r="K29" s="1918"/>
      <c r="L29" s="358">
        <v>0</v>
      </c>
      <c r="M29" s="358">
        <f>L29</f>
        <v>0</v>
      </c>
      <c r="N29" s="358">
        <f>M29</f>
        <v>0</v>
      </c>
      <c r="O29" s="409"/>
      <c r="P29" s="319"/>
      <c r="Q29" s="319"/>
      <c r="R29" s="319"/>
      <c r="S29" s="319"/>
      <c r="T29" s="319"/>
      <c r="U29" s="343"/>
    </row>
    <row r="30" spans="2:21" ht="12" customHeight="1">
      <c r="B30" s="502" t="s">
        <v>455</v>
      </c>
      <c r="C30" s="503"/>
      <c r="D30" s="376" t="s">
        <v>668</v>
      </c>
      <c r="E30" s="1139">
        <v>0</v>
      </c>
      <c r="F30" s="1139">
        <f t="shared" si="2"/>
        <v>0</v>
      </c>
      <c r="G30" s="1139">
        <f t="shared" si="2"/>
        <v>0</v>
      </c>
      <c r="H30" s="1140">
        <f t="shared" si="2"/>
        <v>0</v>
      </c>
      <c r="J30" s="1917" t="s">
        <v>593</v>
      </c>
      <c r="K30" s="1918"/>
      <c r="L30" s="358">
        <v>0.03</v>
      </c>
      <c r="M30" s="358">
        <f>L30</f>
        <v>0.03</v>
      </c>
      <c r="N30" s="358">
        <f>M30</f>
        <v>0.03</v>
      </c>
      <c r="O30" s="319"/>
      <c r="P30" s="319"/>
      <c r="Q30" s="319"/>
      <c r="R30" s="319"/>
      <c r="S30" s="319"/>
      <c r="T30" s="319"/>
      <c r="U30" s="343"/>
    </row>
    <row r="31" spans="2:21" ht="12" customHeight="1">
      <c r="B31" s="502" t="s">
        <v>540</v>
      </c>
      <c r="C31" s="519"/>
      <c r="D31" s="520"/>
      <c r="E31" s="1141">
        <v>0</v>
      </c>
      <c r="F31" s="1141">
        <f>E31</f>
        <v>0</v>
      </c>
      <c r="G31" s="1141">
        <f>F31</f>
        <v>0</v>
      </c>
      <c r="H31" s="1142">
        <f>G31</f>
        <v>0</v>
      </c>
      <c r="J31" s="198" t="s">
        <v>0</v>
      </c>
      <c r="L31" s="199"/>
      <c r="M31" s="199"/>
      <c r="N31" s="199"/>
      <c r="O31" s="319"/>
      <c r="P31" s="319" t="s">
        <v>105</v>
      </c>
      <c r="Q31" s="319"/>
      <c r="R31" s="319"/>
      <c r="S31" s="319"/>
      <c r="T31" s="319"/>
      <c r="U31" s="343"/>
    </row>
    <row r="32" spans="2:21" ht="12" customHeight="1" thickBot="1">
      <c r="B32" s="504" t="s">
        <v>541</v>
      </c>
      <c r="C32" s="505"/>
      <c r="D32" s="376" t="s">
        <v>668</v>
      </c>
      <c r="E32" s="1143">
        <f>IF(E31=0,0,E28*E31)</f>
        <v>0</v>
      </c>
      <c r="F32" s="1143">
        <f>IF(F31=0,0,F28*F31)</f>
        <v>0</v>
      </c>
      <c r="G32" s="1143">
        <f>IF(G31=0,0,G28*G31)</f>
        <v>0</v>
      </c>
      <c r="H32" s="1144">
        <f>IF(H31=0,0,H28*H31)</f>
        <v>0</v>
      </c>
      <c r="J32" s="198"/>
      <c r="L32" s="199"/>
      <c r="M32" s="199"/>
      <c r="N32" s="199"/>
      <c r="O32" s="319"/>
      <c r="P32" s="319"/>
      <c r="Q32" s="319"/>
      <c r="R32" s="319"/>
      <c r="S32" s="319"/>
      <c r="T32" s="319"/>
      <c r="U32" s="343"/>
    </row>
    <row r="33" spans="1:21" ht="12" customHeight="1">
      <c r="B33" s="103"/>
      <c r="C33" s="1915" t="s">
        <v>323</v>
      </c>
      <c r="D33" s="1916"/>
      <c r="E33" s="339">
        <v>0.24</v>
      </c>
      <c r="F33" s="339">
        <f>E33</f>
        <v>0.24</v>
      </c>
      <c r="G33" s="339">
        <f>F33</f>
        <v>0.24</v>
      </c>
      <c r="H33" s="340">
        <f>G33</f>
        <v>0.24</v>
      </c>
      <c r="I33" s="42"/>
      <c r="J33" s="198"/>
      <c r="K33" s="199"/>
      <c r="L33" s="336"/>
      <c r="M33" s="336"/>
      <c r="N33" s="199"/>
      <c r="O33" s="319"/>
      <c r="P33" s="319"/>
      <c r="Q33" s="319"/>
      <c r="R33" s="319"/>
      <c r="S33" s="319"/>
      <c r="T33" s="319"/>
      <c r="U33" s="343"/>
    </row>
    <row r="34" spans="1:21" ht="12.75" customHeight="1">
      <c r="B34" s="375">
        <v>0</v>
      </c>
      <c r="C34" s="376" t="s">
        <v>453</v>
      </c>
      <c r="D34" s="376" t="s">
        <v>668</v>
      </c>
      <c r="E34" s="1134">
        <f>E35*E36</f>
        <v>0</v>
      </c>
      <c r="F34" s="1134">
        <f>F35*F36</f>
        <v>0</v>
      </c>
      <c r="G34" s="1134">
        <f>G35*G36</f>
        <v>0</v>
      </c>
      <c r="H34" s="1135">
        <f>H35*H36</f>
        <v>0</v>
      </c>
      <c r="J34" s="393"/>
      <c r="K34" s="85"/>
      <c r="L34" s="294">
        <f>F$8</f>
        <v>2026</v>
      </c>
      <c r="M34" s="294">
        <f>G$8</f>
        <v>2027</v>
      </c>
      <c r="N34" s="294">
        <f>H$8</f>
        <v>2028</v>
      </c>
      <c r="O34" s="319"/>
      <c r="P34" s="319"/>
      <c r="Q34" s="319"/>
      <c r="R34" s="319"/>
      <c r="S34" s="319"/>
      <c r="T34" s="319"/>
      <c r="U34" s="343"/>
    </row>
    <row r="35" spans="1:21" ht="12" customHeight="1">
      <c r="B35" s="502" t="s">
        <v>454</v>
      </c>
      <c r="C35" s="569"/>
      <c r="D35" s="570"/>
      <c r="E35" s="1136">
        <v>0</v>
      </c>
      <c r="F35" s="1137">
        <f t="shared" ref="F35:H36" si="3">E35+E35*L35</f>
        <v>0</v>
      </c>
      <c r="G35" s="1137">
        <f t="shared" si="3"/>
        <v>0</v>
      </c>
      <c r="H35" s="1138">
        <f t="shared" si="3"/>
        <v>0</v>
      </c>
      <c r="J35" s="1917" t="s">
        <v>594</v>
      </c>
      <c r="K35" s="1918"/>
      <c r="L35" s="358">
        <v>0</v>
      </c>
      <c r="M35" s="358">
        <f>L35</f>
        <v>0</v>
      </c>
      <c r="N35" s="358">
        <f>M35</f>
        <v>0</v>
      </c>
      <c r="O35" s="409"/>
      <c r="P35" s="319"/>
      <c r="Q35" s="319"/>
      <c r="R35" s="319"/>
      <c r="S35" s="319"/>
      <c r="T35" s="319"/>
      <c r="U35" s="343"/>
    </row>
    <row r="36" spans="1:21" ht="12" customHeight="1">
      <c r="B36" s="502" t="s">
        <v>455</v>
      </c>
      <c r="C36" s="503"/>
      <c r="D36" s="376" t="s">
        <v>668</v>
      </c>
      <c r="E36" s="1139">
        <v>0</v>
      </c>
      <c r="F36" s="1139">
        <f t="shared" si="3"/>
        <v>0</v>
      </c>
      <c r="G36" s="1139">
        <f t="shared" si="3"/>
        <v>0</v>
      </c>
      <c r="H36" s="1140">
        <f t="shared" si="3"/>
        <v>0</v>
      </c>
      <c r="J36" s="1917" t="s">
        <v>593</v>
      </c>
      <c r="K36" s="1918"/>
      <c r="L36" s="358">
        <v>0.03</v>
      </c>
      <c r="M36" s="358">
        <f>L36</f>
        <v>0.03</v>
      </c>
      <c r="N36" s="358">
        <f>M36</f>
        <v>0.03</v>
      </c>
      <c r="O36" s="319"/>
      <c r="P36" s="319"/>
      <c r="Q36" s="319"/>
      <c r="R36" s="319"/>
      <c r="S36" s="319"/>
      <c r="T36" s="319"/>
      <c r="U36" s="343"/>
    </row>
    <row r="37" spans="1:21" ht="12" customHeight="1">
      <c r="B37" s="502" t="s">
        <v>540</v>
      </c>
      <c r="C37" s="519"/>
      <c r="D37" s="520"/>
      <c r="E37" s="1141">
        <v>0</v>
      </c>
      <c r="F37" s="1141">
        <f>E37</f>
        <v>0</v>
      </c>
      <c r="G37" s="1141">
        <f>F37</f>
        <v>0</v>
      </c>
      <c r="H37" s="1142">
        <f>G37</f>
        <v>0</v>
      </c>
      <c r="J37" s="198" t="s">
        <v>0</v>
      </c>
      <c r="L37" s="199"/>
      <c r="M37" s="199"/>
      <c r="N37" s="199"/>
      <c r="O37" s="319"/>
      <c r="P37" s="319" t="s">
        <v>105</v>
      </c>
      <c r="Q37" s="319"/>
      <c r="R37" s="319"/>
      <c r="S37" s="319"/>
      <c r="T37" s="319"/>
      <c r="U37" s="343"/>
    </row>
    <row r="38" spans="1:21" ht="12" customHeight="1" thickBot="1">
      <c r="B38" s="504" t="s">
        <v>541</v>
      </c>
      <c r="C38" s="505"/>
      <c r="D38" s="376" t="s">
        <v>668</v>
      </c>
      <c r="E38" s="1143">
        <f>IF(E37=0,0,E34*E37)</f>
        <v>0</v>
      </c>
      <c r="F38" s="1143">
        <f>IF(F37=0,0,F34*F37)</f>
        <v>0</v>
      </c>
      <c r="G38" s="1143">
        <f>IF(G37=0,0,G34*G37)</f>
        <v>0</v>
      </c>
      <c r="H38" s="1144">
        <f>IF(H37=0,0,H34*H37)</f>
        <v>0</v>
      </c>
      <c r="J38" s="198"/>
      <c r="L38" s="199"/>
      <c r="M38" s="199"/>
      <c r="N38" s="199"/>
      <c r="O38" s="319"/>
      <c r="P38" s="319"/>
      <c r="Q38" s="319"/>
      <c r="R38" s="319"/>
      <c r="S38" s="319"/>
      <c r="T38" s="319"/>
      <c r="U38" s="343"/>
    </row>
    <row r="39" spans="1:21" ht="12" customHeight="1">
      <c r="B39" s="103"/>
      <c r="C39" s="1915" t="s">
        <v>323</v>
      </c>
      <c r="D39" s="1916"/>
      <c r="E39" s="339">
        <v>0.24</v>
      </c>
      <c r="F39" s="339">
        <f>E39</f>
        <v>0.24</v>
      </c>
      <c r="G39" s="339">
        <f>F39</f>
        <v>0.24</v>
      </c>
      <c r="H39" s="340">
        <f>G39</f>
        <v>0.24</v>
      </c>
      <c r="I39" s="42"/>
      <c r="J39" s="198"/>
      <c r="K39" s="199"/>
      <c r="L39" s="336"/>
      <c r="M39" s="336"/>
      <c r="N39" s="199"/>
      <c r="O39" s="319"/>
      <c r="P39" s="319"/>
      <c r="Q39" s="319"/>
      <c r="R39" s="319"/>
      <c r="S39" s="319"/>
      <c r="T39" s="319"/>
      <c r="U39" s="343"/>
    </row>
    <row r="40" spans="1:21" ht="12.75" customHeight="1">
      <c r="B40" s="375">
        <v>0</v>
      </c>
      <c r="C40" s="376" t="s">
        <v>453</v>
      </c>
      <c r="D40" s="376" t="s">
        <v>668</v>
      </c>
      <c r="E40" s="1134">
        <f>E41*E42</f>
        <v>0</v>
      </c>
      <c r="F40" s="1134">
        <f>F41*F42</f>
        <v>0</v>
      </c>
      <c r="G40" s="1134">
        <f>G41*G42</f>
        <v>0</v>
      </c>
      <c r="H40" s="1135">
        <f>H41*H42</f>
        <v>0</v>
      </c>
      <c r="J40" s="393"/>
      <c r="K40" s="85"/>
      <c r="L40" s="294">
        <f>F$8</f>
        <v>2026</v>
      </c>
      <c r="M40" s="294">
        <f>G$8</f>
        <v>2027</v>
      </c>
      <c r="N40" s="294">
        <f>H$8</f>
        <v>2028</v>
      </c>
      <c r="O40" s="319"/>
      <c r="P40" s="319"/>
      <c r="Q40" s="319"/>
      <c r="R40" s="319"/>
      <c r="S40" s="319"/>
      <c r="T40" s="319"/>
      <c r="U40" s="343"/>
    </row>
    <row r="41" spans="1:21" ht="12" customHeight="1">
      <c r="B41" s="502" t="s">
        <v>454</v>
      </c>
      <c r="C41" s="569" t="s">
        <v>0</v>
      </c>
      <c r="D41" s="570"/>
      <c r="E41" s="1136">
        <v>0</v>
      </c>
      <c r="F41" s="1137">
        <f t="shared" ref="F41:H42" si="4">E41+E41*L41</f>
        <v>0</v>
      </c>
      <c r="G41" s="1137">
        <f t="shared" si="4"/>
        <v>0</v>
      </c>
      <c r="H41" s="1138">
        <f t="shared" si="4"/>
        <v>0</v>
      </c>
      <c r="J41" s="1917" t="s">
        <v>594</v>
      </c>
      <c r="K41" s="1918"/>
      <c r="L41" s="358">
        <v>0</v>
      </c>
      <c r="M41" s="358">
        <f>L41</f>
        <v>0</v>
      </c>
      <c r="N41" s="358">
        <f>M41</f>
        <v>0</v>
      </c>
      <c r="O41" s="409"/>
      <c r="P41" s="319"/>
      <c r="Q41" s="319"/>
      <c r="R41" s="319"/>
      <c r="S41" s="319"/>
      <c r="T41" s="319"/>
      <c r="U41" s="343"/>
    </row>
    <row r="42" spans="1:21" ht="12" customHeight="1">
      <c r="A42" s="53"/>
      <c r="B42" s="502" t="s">
        <v>455</v>
      </c>
      <c r="C42" s="503"/>
      <c r="D42" s="376" t="s">
        <v>668</v>
      </c>
      <c r="E42" s="1139">
        <v>0</v>
      </c>
      <c r="F42" s="1139">
        <f t="shared" si="4"/>
        <v>0</v>
      </c>
      <c r="G42" s="1139">
        <f t="shared" si="4"/>
        <v>0</v>
      </c>
      <c r="H42" s="1140">
        <f t="shared" si="4"/>
        <v>0</v>
      </c>
      <c r="J42" s="1917" t="s">
        <v>593</v>
      </c>
      <c r="K42" s="1918"/>
      <c r="L42" s="358">
        <v>0.03</v>
      </c>
      <c r="M42" s="358">
        <f>L42</f>
        <v>0.03</v>
      </c>
      <c r="N42" s="358">
        <f>M42</f>
        <v>0.03</v>
      </c>
      <c r="O42" s="319"/>
      <c r="P42" s="319"/>
      <c r="Q42" s="319"/>
      <c r="R42" s="319"/>
      <c r="S42" s="319"/>
      <c r="T42" s="319"/>
      <c r="U42" s="343"/>
    </row>
    <row r="43" spans="1:21" ht="12" customHeight="1">
      <c r="B43" s="502" t="s">
        <v>540</v>
      </c>
      <c r="C43" s="519"/>
      <c r="D43" s="520"/>
      <c r="E43" s="1141">
        <v>0</v>
      </c>
      <c r="F43" s="1141">
        <f>E43</f>
        <v>0</v>
      </c>
      <c r="G43" s="1141">
        <f>F43</f>
        <v>0</v>
      </c>
      <c r="H43" s="1142">
        <f>G43</f>
        <v>0</v>
      </c>
      <c r="J43" s="198" t="s">
        <v>0</v>
      </c>
      <c r="L43" s="199"/>
      <c r="M43" s="199"/>
      <c r="N43" s="199"/>
      <c r="O43" s="319"/>
      <c r="P43" s="319" t="s">
        <v>105</v>
      </c>
      <c r="Q43" s="319"/>
      <c r="R43" s="319"/>
      <c r="S43" s="319"/>
      <c r="T43" s="319"/>
      <c r="U43" s="343"/>
    </row>
    <row r="44" spans="1:21" ht="12" customHeight="1" thickBot="1">
      <c r="B44" s="504" t="s">
        <v>541</v>
      </c>
      <c r="C44" s="505"/>
      <c r="D44" s="376" t="s">
        <v>668</v>
      </c>
      <c r="E44" s="1143">
        <f>IF(E43=0,0,E40*E43)</f>
        <v>0</v>
      </c>
      <c r="F44" s="1143">
        <f>IF(F43=0,0,F40*F43)</f>
        <v>0</v>
      </c>
      <c r="G44" s="1143">
        <f>IF(G43=0,0,G40*G43)</f>
        <v>0</v>
      </c>
      <c r="H44" s="1144">
        <f>IF(H43=0,0,H40*H43)</f>
        <v>0</v>
      </c>
      <c r="J44" s="198"/>
      <c r="L44" s="199"/>
      <c r="M44" s="199"/>
      <c r="N44" s="199"/>
      <c r="O44" s="319"/>
      <c r="P44" s="319"/>
      <c r="Q44" s="319"/>
      <c r="R44" s="319"/>
      <c r="S44" s="319"/>
      <c r="T44" s="319"/>
      <c r="U44" s="343"/>
    </row>
    <row r="45" spans="1:21" ht="12" customHeight="1">
      <c r="B45" s="103"/>
      <c r="C45" s="1915" t="s">
        <v>323</v>
      </c>
      <c r="D45" s="1916"/>
      <c r="E45" s="339">
        <v>0.24</v>
      </c>
      <c r="F45" s="339">
        <f>E45</f>
        <v>0.24</v>
      </c>
      <c r="G45" s="339">
        <f>F45</f>
        <v>0.24</v>
      </c>
      <c r="H45" s="340">
        <f>G45</f>
        <v>0.24</v>
      </c>
      <c r="I45" s="42"/>
      <c r="J45" s="198"/>
      <c r="K45" s="199"/>
      <c r="L45" s="336"/>
      <c r="M45" s="336"/>
      <c r="N45" s="199"/>
      <c r="O45" s="319"/>
      <c r="P45" s="319"/>
      <c r="Q45" s="319"/>
      <c r="R45" s="319"/>
      <c r="S45" s="319"/>
      <c r="T45" s="319"/>
      <c r="U45" s="343"/>
    </row>
    <row r="46" spans="1:21" ht="12.75" customHeight="1">
      <c r="B46" s="375">
        <v>0</v>
      </c>
      <c r="C46" s="376" t="s">
        <v>453</v>
      </c>
      <c r="D46" s="376" t="s">
        <v>668</v>
      </c>
      <c r="E46" s="1134">
        <f>E47*E48</f>
        <v>0</v>
      </c>
      <c r="F46" s="1134">
        <f>F47*F48</f>
        <v>0</v>
      </c>
      <c r="G46" s="1134">
        <f>G47*G48</f>
        <v>0</v>
      </c>
      <c r="H46" s="1135">
        <f>H47*H48</f>
        <v>0</v>
      </c>
      <c r="J46" s="393"/>
      <c r="K46" s="85"/>
      <c r="L46" s="294">
        <f>F$8</f>
        <v>2026</v>
      </c>
      <c r="M46" s="294">
        <f>G$8</f>
        <v>2027</v>
      </c>
      <c r="N46" s="294">
        <f>H$8</f>
        <v>2028</v>
      </c>
      <c r="O46" s="319"/>
      <c r="P46" s="319"/>
      <c r="Q46" s="319"/>
      <c r="R46" s="319"/>
      <c r="S46" s="319"/>
      <c r="T46" s="319"/>
      <c r="U46" s="343"/>
    </row>
    <row r="47" spans="1:21" ht="12" customHeight="1">
      <c r="B47" s="502" t="s">
        <v>454</v>
      </c>
      <c r="C47" s="569"/>
      <c r="D47" s="570"/>
      <c r="E47" s="1136">
        <v>0</v>
      </c>
      <c r="F47" s="1137">
        <f t="shared" ref="F47:H48" si="5">E47+E47*L47</f>
        <v>0</v>
      </c>
      <c r="G47" s="1137">
        <f t="shared" si="5"/>
        <v>0</v>
      </c>
      <c r="H47" s="1138">
        <f t="shared" si="5"/>
        <v>0</v>
      </c>
      <c r="J47" s="1917" t="s">
        <v>594</v>
      </c>
      <c r="K47" s="1918"/>
      <c r="L47" s="358">
        <v>0</v>
      </c>
      <c r="M47" s="358">
        <f>L47</f>
        <v>0</v>
      </c>
      <c r="N47" s="358">
        <f>M47</f>
        <v>0</v>
      </c>
      <c r="O47" s="409"/>
      <c r="P47" s="319"/>
      <c r="Q47" s="319"/>
      <c r="R47" s="319"/>
      <c r="S47" s="319"/>
      <c r="T47" s="319"/>
      <c r="U47" s="343"/>
    </row>
    <row r="48" spans="1:21" ht="12" customHeight="1">
      <c r="A48" s="53"/>
      <c r="B48" s="502" t="s">
        <v>455</v>
      </c>
      <c r="C48" s="503"/>
      <c r="D48" s="376" t="s">
        <v>668</v>
      </c>
      <c r="E48" s="1139">
        <v>0</v>
      </c>
      <c r="F48" s="1139">
        <f t="shared" si="5"/>
        <v>0</v>
      </c>
      <c r="G48" s="1139">
        <f t="shared" si="5"/>
        <v>0</v>
      </c>
      <c r="H48" s="1140">
        <f t="shared" si="5"/>
        <v>0</v>
      </c>
      <c r="J48" s="1917" t="s">
        <v>593</v>
      </c>
      <c r="K48" s="1918"/>
      <c r="L48" s="358">
        <v>0.03</v>
      </c>
      <c r="M48" s="358">
        <f>L48</f>
        <v>0.03</v>
      </c>
      <c r="N48" s="358">
        <f>M48</f>
        <v>0.03</v>
      </c>
      <c r="O48" s="319"/>
      <c r="P48" s="319"/>
      <c r="Q48" s="319"/>
      <c r="R48" s="319"/>
      <c r="S48" s="319"/>
      <c r="T48" s="319"/>
      <c r="U48" s="343"/>
    </row>
    <row r="49" spans="1:21" ht="12" customHeight="1">
      <c r="B49" s="502" t="s">
        <v>540</v>
      </c>
      <c r="C49" s="519"/>
      <c r="D49" s="520"/>
      <c r="E49" s="1141">
        <v>0</v>
      </c>
      <c r="F49" s="1141">
        <f>E49</f>
        <v>0</v>
      </c>
      <c r="G49" s="1141">
        <f>F49</f>
        <v>0</v>
      </c>
      <c r="H49" s="1142">
        <f>G49</f>
        <v>0</v>
      </c>
      <c r="J49" s="198" t="s">
        <v>0</v>
      </c>
      <c r="L49" s="199"/>
      <c r="M49" s="199"/>
      <c r="N49" s="199"/>
      <c r="O49" s="319"/>
      <c r="P49" s="319" t="s">
        <v>105</v>
      </c>
      <c r="Q49" s="319"/>
      <c r="R49" s="319"/>
      <c r="S49" s="319"/>
      <c r="T49" s="319"/>
      <c r="U49" s="343"/>
    </row>
    <row r="50" spans="1:21" ht="12" customHeight="1" thickBot="1">
      <c r="B50" s="504" t="s">
        <v>541</v>
      </c>
      <c r="C50" s="505"/>
      <c r="D50" s="376" t="s">
        <v>668</v>
      </c>
      <c r="E50" s="1143">
        <f>IF(E49=0,0,E46*E49)</f>
        <v>0</v>
      </c>
      <c r="F50" s="1143">
        <f>IF(F49=0,0,F46*F49)</f>
        <v>0</v>
      </c>
      <c r="G50" s="1143">
        <f>IF(G49=0,0,G46*G49)</f>
        <v>0</v>
      </c>
      <c r="H50" s="1144">
        <f>IF(H49=0,0,H46*H49)</f>
        <v>0</v>
      </c>
      <c r="J50" s="198"/>
      <c r="L50" s="199"/>
      <c r="M50" s="199"/>
      <c r="N50" s="199"/>
      <c r="O50" s="319"/>
      <c r="P50" s="319"/>
      <c r="Q50" s="319"/>
      <c r="R50" s="319"/>
      <c r="S50" s="319"/>
      <c r="T50" s="319"/>
      <c r="U50" s="343"/>
    </row>
    <row r="51" spans="1:21" ht="12" customHeight="1">
      <c r="B51" s="103"/>
      <c r="C51" s="1915" t="s">
        <v>323</v>
      </c>
      <c r="D51" s="1916"/>
      <c r="E51" s="339">
        <v>0.24</v>
      </c>
      <c r="F51" s="339">
        <v>0.24</v>
      </c>
      <c r="G51" s="339">
        <f>F51</f>
        <v>0.24</v>
      </c>
      <c r="H51" s="340">
        <f>G51</f>
        <v>0.24</v>
      </c>
      <c r="I51" s="42"/>
      <c r="J51" s="1919"/>
      <c r="K51" s="1920"/>
      <c r="L51" s="1920"/>
      <c r="M51" s="1920"/>
      <c r="N51" s="199"/>
      <c r="O51" s="319"/>
      <c r="P51" s="319"/>
      <c r="Q51" s="319"/>
      <c r="R51" s="319"/>
      <c r="S51" s="319"/>
      <c r="T51" s="319"/>
      <c r="U51" s="343"/>
    </row>
    <row r="52" spans="1:21" ht="12.75" customHeight="1">
      <c r="B52" s="375">
        <v>0</v>
      </c>
      <c r="C52" s="376" t="s">
        <v>453</v>
      </c>
      <c r="D52" s="376" t="s">
        <v>668</v>
      </c>
      <c r="E52" s="1134">
        <f>E53*E54</f>
        <v>0</v>
      </c>
      <c r="F52" s="1134">
        <f>F53*F54</f>
        <v>0</v>
      </c>
      <c r="G52" s="1134">
        <f>G53*G54</f>
        <v>0</v>
      </c>
      <c r="H52" s="1135">
        <f>H53*H54</f>
        <v>0</v>
      </c>
      <c r="J52" s="393"/>
      <c r="K52" s="85"/>
      <c r="L52" s="294">
        <f>F$8</f>
        <v>2026</v>
      </c>
      <c r="M52" s="294">
        <f>G$8</f>
        <v>2027</v>
      </c>
      <c r="N52" s="294">
        <f>H$8</f>
        <v>2028</v>
      </c>
      <c r="O52" s="319"/>
      <c r="P52" s="319"/>
      <c r="Q52" s="319"/>
      <c r="R52" s="319"/>
      <c r="S52" s="319"/>
      <c r="T52" s="319"/>
      <c r="U52" s="343"/>
    </row>
    <row r="53" spans="1:21" ht="12" customHeight="1">
      <c r="B53" s="502" t="s">
        <v>454</v>
      </c>
      <c r="C53" s="569"/>
      <c r="D53" s="570"/>
      <c r="E53" s="1136">
        <v>0</v>
      </c>
      <c r="F53" s="1137">
        <f t="shared" ref="F53:H54" si="6">E53+E53*L53</f>
        <v>0</v>
      </c>
      <c r="G53" s="1137">
        <f t="shared" si="6"/>
        <v>0</v>
      </c>
      <c r="H53" s="1138">
        <f t="shared" si="6"/>
        <v>0</v>
      </c>
      <c r="J53" s="1917" t="s">
        <v>594</v>
      </c>
      <c r="K53" s="1918"/>
      <c r="L53" s="358">
        <v>0</v>
      </c>
      <c r="M53" s="358">
        <f>L53</f>
        <v>0</v>
      </c>
      <c r="N53" s="358">
        <f>M53</f>
        <v>0</v>
      </c>
      <c r="O53" s="409"/>
      <c r="P53" s="319"/>
      <c r="Q53" s="319"/>
      <c r="R53" s="319"/>
      <c r="S53" s="319"/>
      <c r="T53" s="319"/>
      <c r="U53" s="343"/>
    </row>
    <row r="54" spans="1:21" ht="12" customHeight="1">
      <c r="B54" s="502" t="s">
        <v>455</v>
      </c>
      <c r="C54" s="503"/>
      <c r="D54" s="376" t="s">
        <v>668</v>
      </c>
      <c r="E54" s="1139">
        <v>0</v>
      </c>
      <c r="F54" s="1139">
        <f t="shared" si="6"/>
        <v>0</v>
      </c>
      <c r="G54" s="1139">
        <f t="shared" si="6"/>
        <v>0</v>
      </c>
      <c r="H54" s="1140">
        <f t="shared" si="6"/>
        <v>0</v>
      </c>
      <c r="J54" s="1917" t="s">
        <v>593</v>
      </c>
      <c r="K54" s="1918"/>
      <c r="L54" s="358">
        <v>0.03</v>
      </c>
      <c r="M54" s="358">
        <f>L54</f>
        <v>0.03</v>
      </c>
      <c r="N54" s="358">
        <f>M54</f>
        <v>0.03</v>
      </c>
      <c r="O54" s="319"/>
      <c r="P54" s="319"/>
      <c r="Q54" s="319"/>
      <c r="R54" s="319"/>
      <c r="S54" s="319"/>
      <c r="T54" s="319"/>
      <c r="U54" s="343"/>
    </row>
    <row r="55" spans="1:21" ht="12" customHeight="1">
      <c r="B55" s="502" t="s">
        <v>540</v>
      </c>
      <c r="C55" s="519"/>
      <c r="D55" s="520"/>
      <c r="E55" s="1141">
        <v>0</v>
      </c>
      <c r="F55" s="1141">
        <f>E55</f>
        <v>0</v>
      </c>
      <c r="G55" s="1141">
        <f>F55</f>
        <v>0</v>
      </c>
      <c r="H55" s="1142">
        <f>G55</f>
        <v>0</v>
      </c>
      <c r="J55" s="198"/>
      <c r="K55" s="395"/>
      <c r="L55" s="199"/>
      <c r="M55" s="199"/>
      <c r="N55" s="199"/>
      <c r="O55" s="319"/>
      <c r="P55" s="319" t="s">
        <v>105</v>
      </c>
      <c r="Q55" s="319"/>
      <c r="R55" s="319"/>
      <c r="S55" s="319"/>
      <c r="T55" s="319"/>
      <c r="U55" s="343"/>
    </row>
    <row r="56" spans="1:21" ht="12" customHeight="1" thickBot="1">
      <c r="B56" s="504" t="s">
        <v>541</v>
      </c>
      <c r="C56" s="505"/>
      <c r="D56" s="376" t="s">
        <v>668</v>
      </c>
      <c r="E56" s="1143">
        <f>IF(E55=0,0,E52*E55)</f>
        <v>0</v>
      </c>
      <c r="F56" s="1143">
        <f>IF(F55=0,0,F52*F55)</f>
        <v>0</v>
      </c>
      <c r="G56" s="1143">
        <f>IF(G55=0,0,G52*G55)</f>
        <v>0</v>
      </c>
      <c r="H56" s="1144">
        <f>IF(H55=0,0,H52*H55)</f>
        <v>0</v>
      </c>
      <c r="J56" s="198"/>
      <c r="K56" s="395"/>
      <c r="L56" s="199"/>
      <c r="M56" s="199"/>
      <c r="N56" s="199"/>
      <c r="O56" s="319"/>
      <c r="P56" s="319"/>
      <c r="Q56" s="319"/>
      <c r="R56" s="319"/>
      <c r="S56" s="319"/>
      <c r="T56" s="319"/>
      <c r="U56" s="343"/>
    </row>
    <row r="57" spans="1:21" ht="12" customHeight="1">
      <c r="B57" s="103"/>
      <c r="C57" s="1915" t="s">
        <v>323</v>
      </c>
      <c r="D57" s="1916"/>
      <c r="E57" s="339">
        <v>0.24</v>
      </c>
      <c r="F57" s="339">
        <f>E57</f>
        <v>0.24</v>
      </c>
      <c r="G57" s="339">
        <f>F57</f>
        <v>0.24</v>
      </c>
      <c r="H57" s="340">
        <f>G57</f>
        <v>0.24</v>
      </c>
      <c r="I57" s="42"/>
      <c r="J57" s="1919"/>
      <c r="K57" s="1920"/>
      <c r="L57" s="1920"/>
      <c r="M57" s="1920"/>
      <c r="N57" s="199"/>
      <c r="O57" s="319"/>
      <c r="P57" s="319"/>
      <c r="Q57" s="319"/>
      <c r="R57" s="319"/>
      <c r="S57" s="319"/>
      <c r="T57" s="319"/>
      <c r="U57" s="343"/>
    </row>
    <row r="58" spans="1:21" ht="12.75" customHeight="1">
      <c r="B58" s="375">
        <v>0</v>
      </c>
      <c r="C58" s="376" t="s">
        <v>453</v>
      </c>
      <c r="D58" s="376" t="s">
        <v>668</v>
      </c>
      <c r="E58" s="1134">
        <f>E59*E60</f>
        <v>0</v>
      </c>
      <c r="F58" s="1134">
        <f>F59*F60</f>
        <v>0</v>
      </c>
      <c r="G58" s="1134">
        <f>G59*G60</f>
        <v>0</v>
      </c>
      <c r="H58" s="1135">
        <f>H59*H60</f>
        <v>0</v>
      </c>
      <c r="J58" s="393"/>
      <c r="K58" s="85"/>
      <c r="L58" s="294">
        <f>F$8</f>
        <v>2026</v>
      </c>
      <c r="M58" s="294">
        <f>G$8</f>
        <v>2027</v>
      </c>
      <c r="N58" s="294">
        <f>H$8</f>
        <v>2028</v>
      </c>
      <c r="O58" s="319"/>
      <c r="P58" s="319"/>
      <c r="Q58" s="319"/>
      <c r="R58" s="319"/>
      <c r="S58" s="319"/>
      <c r="T58" s="319"/>
      <c r="U58" s="343"/>
    </row>
    <row r="59" spans="1:21" ht="12" customHeight="1">
      <c r="B59" s="502" t="s">
        <v>454</v>
      </c>
      <c r="C59" s="569"/>
      <c r="D59" s="570"/>
      <c r="E59" s="1136">
        <v>0</v>
      </c>
      <c r="F59" s="1137">
        <f t="shared" ref="F59:H60" si="7">E59+E59*L59</f>
        <v>0</v>
      </c>
      <c r="G59" s="1137">
        <f t="shared" si="7"/>
        <v>0</v>
      </c>
      <c r="H59" s="1138">
        <f t="shared" si="7"/>
        <v>0</v>
      </c>
      <c r="J59" s="1917" t="s">
        <v>594</v>
      </c>
      <c r="K59" s="1918"/>
      <c r="L59" s="358">
        <v>0</v>
      </c>
      <c r="M59" s="358">
        <f>L59</f>
        <v>0</v>
      </c>
      <c r="N59" s="358">
        <f>M59</f>
        <v>0</v>
      </c>
      <c r="O59" s="409"/>
      <c r="P59" s="319"/>
      <c r="Q59" s="319"/>
      <c r="R59" s="319"/>
      <c r="S59" s="319"/>
      <c r="T59" s="319"/>
      <c r="U59" s="343"/>
    </row>
    <row r="60" spans="1:21" ht="12" customHeight="1">
      <c r="B60" s="502" t="s">
        <v>455</v>
      </c>
      <c r="C60" s="503"/>
      <c r="D60" s="376" t="s">
        <v>668</v>
      </c>
      <c r="E60" s="1139">
        <v>0</v>
      </c>
      <c r="F60" s="1139">
        <f t="shared" si="7"/>
        <v>0</v>
      </c>
      <c r="G60" s="1139">
        <f t="shared" si="7"/>
        <v>0</v>
      </c>
      <c r="H60" s="1140">
        <f t="shared" si="7"/>
        <v>0</v>
      </c>
      <c r="J60" s="1917" t="s">
        <v>593</v>
      </c>
      <c r="K60" s="1918"/>
      <c r="L60" s="358">
        <v>0.03</v>
      </c>
      <c r="M60" s="358">
        <f>L60</f>
        <v>0.03</v>
      </c>
      <c r="N60" s="358">
        <f>M60</f>
        <v>0.03</v>
      </c>
      <c r="O60" s="319"/>
      <c r="P60" s="319"/>
      <c r="Q60" s="319"/>
      <c r="R60" s="319"/>
      <c r="S60" s="319"/>
      <c r="T60" s="319"/>
      <c r="U60" s="343"/>
    </row>
    <row r="61" spans="1:21" ht="12" customHeight="1">
      <c r="B61" s="518" t="s">
        <v>540</v>
      </c>
      <c r="C61" s="519"/>
      <c r="D61" s="520"/>
      <c r="E61" s="1141">
        <v>0</v>
      </c>
      <c r="F61" s="1141">
        <f>E61</f>
        <v>0</v>
      </c>
      <c r="G61" s="1141">
        <f>F61</f>
        <v>0</v>
      </c>
      <c r="H61" s="1142">
        <f>G61</f>
        <v>0</v>
      </c>
      <c r="J61" s="198"/>
      <c r="K61" s="395"/>
      <c r="L61" s="199"/>
      <c r="M61" s="199"/>
      <c r="N61" s="199"/>
      <c r="O61" s="319"/>
      <c r="P61" s="319" t="s">
        <v>105</v>
      </c>
      <c r="Q61" s="319"/>
      <c r="R61" s="319"/>
      <c r="S61" s="319"/>
      <c r="T61" s="319"/>
      <c r="U61" s="343"/>
    </row>
    <row r="62" spans="1:21" ht="12" customHeight="1" thickBot="1">
      <c r="A62" s="53"/>
      <c r="B62" s="504" t="s">
        <v>541</v>
      </c>
      <c r="C62" s="505"/>
      <c r="D62" s="376" t="s">
        <v>668</v>
      </c>
      <c r="E62" s="1143">
        <f>IF(E61=0,0,E58*E61)</f>
        <v>0</v>
      </c>
      <c r="F62" s="1143">
        <f>IF(F61=0,0,F58*F61)</f>
        <v>0</v>
      </c>
      <c r="G62" s="1143">
        <f>IF(G61=0,0,G58*G61)</f>
        <v>0</v>
      </c>
      <c r="H62" s="1144">
        <f>IF(H61=0,0,H58*H61)</f>
        <v>0</v>
      </c>
      <c r="J62" s="198"/>
      <c r="K62" s="395"/>
      <c r="L62" s="199"/>
      <c r="M62" s="199"/>
      <c r="N62" s="199"/>
      <c r="O62" s="319"/>
      <c r="P62" s="319"/>
      <c r="Q62" s="319"/>
      <c r="R62" s="319"/>
      <c r="S62" s="319"/>
      <c r="T62" s="319"/>
      <c r="U62" s="343"/>
    </row>
    <row r="63" spans="1:21" ht="12" customHeight="1">
      <c r="B63" s="103"/>
      <c r="C63" s="1915" t="s">
        <v>323</v>
      </c>
      <c r="D63" s="1916"/>
      <c r="E63" s="339">
        <v>0.24</v>
      </c>
      <c r="F63" s="339">
        <f>E63</f>
        <v>0.24</v>
      </c>
      <c r="G63" s="339">
        <f>F63</f>
        <v>0.24</v>
      </c>
      <c r="H63" s="340">
        <f>G63</f>
        <v>0.24</v>
      </c>
      <c r="I63" s="42"/>
      <c r="J63" s="1919"/>
      <c r="K63" s="1920"/>
      <c r="L63" s="1920"/>
      <c r="M63" s="1920"/>
      <c r="N63" s="199"/>
      <c r="O63" s="319"/>
      <c r="P63" s="319"/>
      <c r="Q63" s="319"/>
      <c r="R63" s="319"/>
      <c r="S63" s="319"/>
      <c r="T63" s="319"/>
      <c r="U63" s="343"/>
    </row>
    <row r="64" spans="1:21" ht="12.75" customHeight="1">
      <c r="B64" s="375" t="s">
        <v>586</v>
      </c>
      <c r="C64" s="376" t="s">
        <v>453</v>
      </c>
      <c r="D64" s="376" t="s">
        <v>668</v>
      </c>
      <c r="E64" s="1134">
        <f>E65*E66</f>
        <v>0</v>
      </c>
      <c r="F64" s="1134">
        <f>F65*F66</f>
        <v>0</v>
      </c>
      <c r="G64" s="1134">
        <f>G65*G66</f>
        <v>0</v>
      </c>
      <c r="H64" s="1135">
        <f>H65*H66</f>
        <v>0</v>
      </c>
      <c r="J64" s="393"/>
      <c r="K64" s="85"/>
      <c r="L64" s="294">
        <f>F$8</f>
        <v>2026</v>
      </c>
      <c r="M64" s="294">
        <f>G$8</f>
        <v>2027</v>
      </c>
      <c r="N64" s="294">
        <f>H$8</f>
        <v>2028</v>
      </c>
      <c r="O64" s="319"/>
      <c r="P64" s="319"/>
      <c r="Q64" s="319"/>
      <c r="R64" s="319"/>
      <c r="S64" s="319"/>
      <c r="T64" s="319"/>
      <c r="U64" s="343"/>
    </row>
    <row r="65" spans="2:21" ht="12" customHeight="1">
      <c r="B65" s="502" t="s">
        <v>454</v>
      </c>
      <c r="C65" s="569"/>
      <c r="D65" s="570"/>
      <c r="E65" s="1136">
        <v>0</v>
      </c>
      <c r="F65" s="1137">
        <f t="shared" ref="F65:H66" si="8">E65+E65*L65</f>
        <v>0</v>
      </c>
      <c r="G65" s="1137">
        <f t="shared" si="8"/>
        <v>0</v>
      </c>
      <c r="H65" s="1138">
        <f t="shared" si="8"/>
        <v>0</v>
      </c>
      <c r="J65" s="1917" t="s">
        <v>594</v>
      </c>
      <c r="K65" s="1918"/>
      <c r="L65" s="358">
        <v>0</v>
      </c>
      <c r="M65" s="358">
        <f>L65</f>
        <v>0</v>
      </c>
      <c r="N65" s="358">
        <f>M65</f>
        <v>0</v>
      </c>
      <c r="O65" s="409"/>
      <c r="P65" s="319"/>
      <c r="Q65" s="319"/>
      <c r="R65" s="319"/>
      <c r="S65" s="319"/>
      <c r="T65" s="319"/>
      <c r="U65" s="343"/>
    </row>
    <row r="66" spans="2:21" ht="12" customHeight="1">
      <c r="B66" s="502" t="s">
        <v>455</v>
      </c>
      <c r="C66" s="503"/>
      <c r="D66" s="376" t="s">
        <v>668</v>
      </c>
      <c r="E66" s="1139">
        <v>0</v>
      </c>
      <c r="F66" s="1139">
        <f t="shared" si="8"/>
        <v>0</v>
      </c>
      <c r="G66" s="1139">
        <f t="shared" si="8"/>
        <v>0</v>
      </c>
      <c r="H66" s="1140">
        <f t="shared" si="8"/>
        <v>0</v>
      </c>
      <c r="J66" s="1917" t="s">
        <v>593</v>
      </c>
      <c r="K66" s="1918"/>
      <c r="L66" s="358">
        <v>0.03</v>
      </c>
      <c r="M66" s="358">
        <f>L66</f>
        <v>0.03</v>
      </c>
      <c r="N66" s="358">
        <f>M66</f>
        <v>0.03</v>
      </c>
      <c r="O66" s="319"/>
      <c r="P66" s="319"/>
      <c r="Q66" s="319"/>
      <c r="R66" s="319"/>
      <c r="S66" s="319"/>
      <c r="T66" s="319"/>
      <c r="U66" s="343"/>
    </row>
    <row r="67" spans="2:21" ht="12" customHeight="1">
      <c r="B67" s="502" t="s">
        <v>540</v>
      </c>
      <c r="C67" s="519"/>
      <c r="D67" s="520"/>
      <c r="E67" s="1141">
        <v>0</v>
      </c>
      <c r="F67" s="1141">
        <f>E67</f>
        <v>0</v>
      </c>
      <c r="G67" s="1141">
        <f>F67</f>
        <v>0</v>
      </c>
      <c r="H67" s="1142">
        <f>G67</f>
        <v>0</v>
      </c>
      <c r="J67" s="198" t="s">
        <v>0</v>
      </c>
      <c r="K67" s="4"/>
      <c r="L67" s="199"/>
      <c r="M67" s="199"/>
      <c r="N67" s="199"/>
      <c r="O67" s="319"/>
      <c r="P67" s="319" t="s">
        <v>105</v>
      </c>
      <c r="Q67" s="319"/>
      <c r="R67" s="319"/>
      <c r="S67" s="319"/>
      <c r="T67" s="319"/>
      <c r="U67" s="343"/>
    </row>
    <row r="68" spans="2:21" ht="12" customHeight="1" thickBot="1">
      <c r="B68" s="504" t="s">
        <v>541</v>
      </c>
      <c r="C68" s="505"/>
      <c r="D68" s="667" t="s">
        <v>668</v>
      </c>
      <c r="E68" s="1143">
        <f>IF(E67=0,0,E64*E67)</f>
        <v>0</v>
      </c>
      <c r="F68" s="1143">
        <f>IF(F67=0,0,F64*F67)</f>
        <v>0</v>
      </c>
      <c r="G68" s="1143">
        <f>IF(G67=0,0,G64*G67)</f>
        <v>0</v>
      </c>
      <c r="H68" s="1144">
        <f>IF(H67=0,0,H64*H67)</f>
        <v>0</v>
      </c>
      <c r="J68" s="359"/>
      <c r="K68" s="319"/>
      <c r="L68" s="319"/>
      <c r="M68" s="319"/>
      <c r="N68" s="319"/>
      <c r="O68" s="319"/>
      <c r="P68" s="319"/>
      <c r="Q68" s="319"/>
      <c r="R68" s="319"/>
      <c r="S68" s="319"/>
      <c r="T68" s="319"/>
      <c r="U68" s="343"/>
    </row>
    <row r="69" spans="2:21" ht="6.75" customHeight="1"/>
    <row r="70" spans="2:21">
      <c r="C70" s="372"/>
      <c r="D70" s="137"/>
      <c r="E70" s="137"/>
      <c r="F70" s="137"/>
      <c r="G70" s="137"/>
      <c r="H70" s="377">
        <f>'3. E1 KOSTNADER'!K134</f>
        <v>0</v>
      </c>
    </row>
    <row r="71" spans="2:21">
      <c r="B71" s="457" t="str">
        <f>'3. E1 KOSTNADER'!B135</f>
        <v>Tjänsten erbjuds av: Dynamo Närpes och Kristinestads näringslivscentral</v>
      </c>
      <c r="C71" s="372"/>
      <c r="D71" s="137"/>
      <c r="E71" s="137"/>
      <c r="F71" s="137"/>
      <c r="G71" s="137"/>
      <c r="H71" s="377" t="str">
        <f>'3. E1 KOSTNADER'!K135</f>
        <v xml:space="preserve">FT6 Det nya företagets resultatplan </v>
      </c>
    </row>
    <row r="73" spans="2:21">
      <c r="B73" s="369" t="s">
        <v>190</v>
      </c>
    </row>
    <row r="74" spans="2:21">
      <c r="B74" s="52" t="s">
        <v>191</v>
      </c>
    </row>
    <row r="75" spans="2:21">
      <c r="B75" s="52" t="s">
        <v>192</v>
      </c>
    </row>
  </sheetData>
  <sheetProtection algorithmName="SHA-512" hashValue="D6Be1J4vCNlrxR3YxjNfBItP1pPdcmJ0Y2PG6eKnJve47z0JoMp/ayOgZ21CSSQpb5gu+FNSVWZXBPHwT4hmqg==" saltValue="BmMfdyUcH/N2i7+C2bZVdw==" spinCount="100000" sheet="1" objects="1" scenarios="1"/>
  <mergeCells count="36">
    <mergeCell ref="J65:K65"/>
    <mergeCell ref="J66:K66"/>
    <mergeCell ref="C21:D21"/>
    <mergeCell ref="C27:D27"/>
    <mergeCell ref="J54:K54"/>
    <mergeCell ref="J57:M57"/>
    <mergeCell ref="J30:K30"/>
    <mergeCell ref="J23:K23"/>
    <mergeCell ref="J24:K24"/>
    <mergeCell ref="J29:K29"/>
    <mergeCell ref="C33:D33"/>
    <mergeCell ref="C39:D39"/>
    <mergeCell ref="C45:D45"/>
    <mergeCell ref="C57:D57"/>
    <mergeCell ref="C51:D51"/>
    <mergeCell ref="J47:K47"/>
    <mergeCell ref="B5:D5"/>
    <mergeCell ref="E5:H5"/>
    <mergeCell ref="J17:K17"/>
    <mergeCell ref="J18:K18"/>
    <mergeCell ref="J5:L5"/>
    <mergeCell ref="L15:N15"/>
    <mergeCell ref="C15:D15"/>
    <mergeCell ref="B7:D8"/>
    <mergeCell ref="B9:D9"/>
    <mergeCell ref="C63:D63"/>
    <mergeCell ref="J53:K53"/>
    <mergeCell ref="J35:K35"/>
    <mergeCell ref="J36:K36"/>
    <mergeCell ref="J41:K41"/>
    <mergeCell ref="J42:K42"/>
    <mergeCell ref="J59:K59"/>
    <mergeCell ref="J60:K60"/>
    <mergeCell ref="J63:M63"/>
    <mergeCell ref="J48:K48"/>
    <mergeCell ref="J51:M51"/>
  </mergeCells>
  <phoneticPr fontId="6" type="noConversion"/>
  <printOptions horizontalCentered="1"/>
  <pageMargins left="0.23622047244094491" right="0.23622047244094491" top="0.74803149606299213" bottom="0.74803149606299213" header="0.31496062992125984" footer="0.31496062992125984"/>
  <pageSetup paperSize="9" scale="85" fitToWidth="0" orientation="portrait" verticalDpi="4" r:id="rId1"/>
  <headerFooter alignWithMargins="0"/>
  <colBreaks count="1" manualBreakCount="1">
    <brk id="9" min="1" max="71"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152A1"/>
  </sheetPr>
  <dimension ref="A1:Y115"/>
  <sheetViews>
    <sheetView showGridLines="0" showZeros="0" defaultGridColor="0" colorId="55" zoomScaleNormal="100" workbookViewId="0">
      <selection activeCell="G49" sqref="G49"/>
    </sheetView>
  </sheetViews>
  <sheetFormatPr defaultRowHeight="12.45"/>
  <cols>
    <col min="1" max="1" width="10" customWidth="1"/>
    <col min="2" max="2" width="3.4609375" style="41" customWidth="1"/>
    <col min="3" max="3" width="28.07421875" customWidth="1"/>
    <col min="4" max="4" width="14.53515625" customWidth="1"/>
    <col min="5" max="5" width="3.84375" customWidth="1"/>
    <col min="6" max="6" width="9.3046875" customWidth="1"/>
    <col min="7" max="10" width="10.4609375" customWidth="1"/>
    <col min="11" max="11" width="3.07421875" customWidth="1"/>
    <col min="12" max="15" width="10.69140625" customWidth="1"/>
    <col min="16" max="16" width="9.07421875" customWidth="1"/>
    <col min="17" max="20" width="12.07421875" customWidth="1"/>
  </cols>
  <sheetData>
    <row r="1" spans="1:20">
      <c r="O1" s="366"/>
    </row>
    <row r="2" spans="1:20" ht="15.45">
      <c r="B2" s="91" t="s">
        <v>276</v>
      </c>
      <c r="C2" s="25"/>
      <c r="D2" s="25"/>
      <c r="E2" s="1881" t="s">
        <v>149</v>
      </c>
      <c r="F2" s="1881"/>
      <c r="I2" s="62"/>
      <c r="J2" s="62"/>
      <c r="L2" s="91" t="s">
        <v>276</v>
      </c>
      <c r="M2" s="25"/>
      <c r="O2" s="367"/>
    </row>
    <row r="3" spans="1:20">
      <c r="E3" s="1953">
        <f>'7. T2 RESULTATB.'!E3</f>
        <v>0</v>
      </c>
      <c r="F3" s="1953"/>
      <c r="L3" s="1834"/>
      <c r="M3" s="1834"/>
      <c r="O3" s="367"/>
    </row>
    <row r="4" spans="1:20">
      <c r="G4" s="84">
        <v>0</v>
      </c>
      <c r="O4" s="368"/>
    </row>
    <row r="5" spans="1:20" s="45" customFormat="1" ht="10.75">
      <c r="B5" s="2398" t="s">
        <v>151</v>
      </c>
      <c r="C5" s="2399"/>
      <c r="D5" s="2399"/>
      <c r="E5" s="2399"/>
      <c r="F5" s="2399"/>
      <c r="G5" s="2402" t="s">
        <v>152</v>
      </c>
      <c r="H5" s="2403"/>
      <c r="I5" s="2403"/>
      <c r="J5" s="2403"/>
      <c r="L5" s="2398" t="s">
        <v>151</v>
      </c>
      <c r="M5" s="2399"/>
      <c r="N5" s="2399"/>
      <c r="O5" s="2399"/>
      <c r="P5" s="2399"/>
      <c r="Q5" s="2402" t="s">
        <v>152</v>
      </c>
      <c r="R5" s="2403"/>
      <c r="S5" s="2403"/>
      <c r="T5" s="2403"/>
    </row>
    <row r="6" spans="1:20" ht="12.75" customHeight="1">
      <c r="B6" s="170">
        <f>'7. T2 RESULTATB.'!B5:D5</f>
        <v>0</v>
      </c>
      <c r="C6" s="170"/>
      <c r="D6" s="170"/>
      <c r="E6" s="256"/>
      <c r="F6" s="256"/>
      <c r="G6" s="2404">
        <f>'7. T2 RESULTATB.'!E5</f>
        <v>0</v>
      </c>
      <c r="H6" s="2405"/>
      <c r="I6" s="2405"/>
      <c r="J6" s="2405"/>
      <c r="L6" s="284">
        <f>B6</f>
        <v>0</v>
      </c>
      <c r="M6" s="284"/>
      <c r="N6" s="284"/>
      <c r="O6" s="285"/>
      <c r="P6" s="285"/>
      <c r="Q6" s="2410">
        <f>G6</f>
        <v>0</v>
      </c>
      <c r="R6" s="2411"/>
      <c r="S6" s="2411"/>
      <c r="T6" s="2411"/>
    </row>
    <row r="7" spans="1:20" s="45" customFormat="1" ht="10.75">
      <c r="B7" s="2400" t="s">
        <v>153</v>
      </c>
      <c r="C7" s="250"/>
      <c r="D7" s="250"/>
      <c r="E7" s="250"/>
      <c r="F7" s="250"/>
      <c r="G7" s="2406" t="s">
        <v>154</v>
      </c>
      <c r="H7" s="2407"/>
      <c r="I7" s="2407"/>
      <c r="J7" s="2407"/>
      <c r="L7" s="2400" t="s">
        <v>153</v>
      </c>
      <c r="M7" s="286"/>
      <c r="N7" s="286"/>
      <c r="O7" s="286"/>
      <c r="P7" s="286"/>
      <c r="Q7" s="2406" t="s">
        <v>154</v>
      </c>
      <c r="R7" s="2407"/>
      <c r="S7" s="2407"/>
      <c r="T7" s="2407"/>
    </row>
    <row r="8" spans="1:20" ht="12.75" customHeight="1">
      <c r="A8" s="53"/>
      <c r="B8" s="1826">
        <f>'7. T2 RESULTATB.'!I5</f>
        <v>0</v>
      </c>
      <c r="C8" s="170"/>
      <c r="D8" s="170"/>
      <c r="E8" s="256"/>
      <c r="F8" s="256"/>
      <c r="G8" s="2408">
        <f>'7. T2 RESULTATB.'!L5</f>
        <v>0</v>
      </c>
      <c r="H8" s="2409"/>
      <c r="I8" s="2409"/>
      <c r="J8" s="2409"/>
      <c r="L8" s="2401">
        <f>B8</f>
        <v>0</v>
      </c>
      <c r="M8" s="284"/>
      <c r="N8" s="284"/>
      <c r="O8" s="285"/>
      <c r="P8" s="285"/>
      <c r="Q8" s="2412">
        <f>G8</f>
        <v>0</v>
      </c>
      <c r="R8" s="2413"/>
      <c r="S8" s="2413"/>
      <c r="T8" s="2413"/>
    </row>
    <row r="9" spans="1:20" ht="12.75" customHeight="1" thickBot="1">
      <c r="L9" s="288"/>
      <c r="M9" s="288"/>
      <c r="N9" s="288"/>
      <c r="O9" s="288"/>
      <c r="P9" s="288"/>
      <c r="Q9" s="288"/>
      <c r="R9" s="288"/>
      <c r="S9" s="288"/>
      <c r="T9" s="288"/>
    </row>
    <row r="10" spans="1:20" ht="12.75" customHeight="1">
      <c r="A10" s="53"/>
      <c r="B10" s="1474"/>
      <c r="C10" s="1475"/>
      <c r="D10" s="1475"/>
      <c r="E10" s="1476"/>
      <c r="F10" s="1468"/>
      <c r="G10" s="1468" t="str">
        <f>'1. T1 INVESTERINGSP.'!D15</f>
        <v>Prognos 1</v>
      </c>
      <c r="H10" s="1468" t="s">
        <v>159</v>
      </c>
      <c r="I10" s="1468" t="s">
        <v>160</v>
      </c>
      <c r="J10" s="1469" t="s">
        <v>161</v>
      </c>
      <c r="L10" s="1946" t="s">
        <v>599</v>
      </c>
      <c r="M10" s="1947"/>
      <c r="N10" s="1947"/>
      <c r="O10" s="1947"/>
      <c r="P10" s="1487"/>
      <c r="Q10" s="1488" t="str">
        <f t="shared" ref="Q10:S11" si="0">G10</f>
        <v>Prognos 1</v>
      </c>
      <c r="R10" s="1488" t="s">
        <v>159</v>
      </c>
      <c r="S10" s="1488" t="s">
        <v>160</v>
      </c>
      <c r="T10" s="1489" t="s">
        <v>161</v>
      </c>
    </row>
    <row r="11" spans="1:20" ht="12.75" customHeight="1" thickBot="1">
      <c r="A11" s="2"/>
      <c r="B11" s="1477" t="s">
        <v>595</v>
      </c>
      <c r="C11" s="1478"/>
      <c r="D11" s="1478"/>
      <c r="E11" s="1479"/>
      <c r="F11" s="1480"/>
      <c r="G11" s="1481">
        <f>'4. E2 OMSÄTTNING'!E8</f>
        <v>2025</v>
      </c>
      <c r="H11" s="1481">
        <f>'4. E2 OMSÄTTNING'!F8</f>
        <v>2026</v>
      </c>
      <c r="I11" s="1481">
        <f>'4. E2 OMSÄTTNING'!G8</f>
        <v>2027</v>
      </c>
      <c r="J11" s="1482">
        <f>'1. T1 INVESTERINGSP.'!G16</f>
        <v>2028</v>
      </c>
      <c r="L11" s="1948"/>
      <c r="M11" s="1949"/>
      <c r="N11" s="1949"/>
      <c r="O11" s="1949"/>
      <c r="P11" s="1490"/>
      <c r="Q11" s="1491">
        <f t="shared" si="0"/>
        <v>2025</v>
      </c>
      <c r="R11" s="1491">
        <f t="shared" si="0"/>
        <v>2026</v>
      </c>
      <c r="S11" s="1491">
        <f t="shared" si="0"/>
        <v>2027</v>
      </c>
      <c r="T11" s="1473">
        <f>J11</f>
        <v>2028</v>
      </c>
    </row>
    <row r="12" spans="1:20" ht="12.75" customHeight="1" thickBot="1">
      <c r="A12" s="53"/>
      <c r="B12" s="1483"/>
      <c r="C12" s="1478"/>
      <c r="D12" s="1478"/>
      <c r="E12" s="1479"/>
      <c r="F12" s="1484"/>
      <c r="G12" s="1485" t="s">
        <v>668</v>
      </c>
      <c r="H12" s="1485" t="s">
        <v>668</v>
      </c>
      <c r="I12" s="1485" t="s">
        <v>668</v>
      </c>
      <c r="J12" s="1486" t="s">
        <v>668</v>
      </c>
      <c r="L12" s="289" t="s">
        <v>600</v>
      </c>
      <c r="M12" s="548"/>
      <c r="N12" s="548"/>
      <c r="O12" s="548"/>
      <c r="P12" s="500"/>
      <c r="Q12" s="500"/>
      <c r="R12" s="500"/>
      <c r="S12" s="500"/>
      <c r="T12" s="501"/>
    </row>
    <row r="13" spans="1:20" ht="12.75" customHeight="1">
      <c r="B13" s="514" t="s">
        <v>596</v>
      </c>
      <c r="C13" s="493"/>
      <c r="D13" s="494"/>
      <c r="E13" s="495"/>
      <c r="F13" s="496"/>
      <c r="G13" s="1104" t="s">
        <v>25</v>
      </c>
      <c r="H13" s="1105"/>
      <c r="I13" s="1104"/>
      <c r="J13" s="1106"/>
      <c r="L13" s="542" t="s">
        <v>293</v>
      </c>
      <c r="M13" s="318"/>
      <c r="N13" s="318"/>
      <c r="O13" s="543"/>
      <c r="P13" s="717"/>
      <c r="Q13" s="697">
        <f>'7. T2 RESULTATB.'!G11</f>
        <v>0</v>
      </c>
      <c r="R13" s="697">
        <f>'7. T2 RESULTATB.'!I11</f>
        <v>0</v>
      </c>
      <c r="S13" s="697">
        <f>'7. T2 RESULTATB.'!K11</f>
        <v>0</v>
      </c>
      <c r="T13" s="681">
        <f>'7. T2 RESULTATB.'!M11</f>
        <v>0</v>
      </c>
    </row>
    <row r="14" spans="1:20" ht="12.75" customHeight="1">
      <c r="A14" s="53"/>
      <c r="B14" s="212">
        <v>1</v>
      </c>
      <c r="C14" s="160" t="s">
        <v>278</v>
      </c>
      <c r="D14" s="160"/>
      <c r="E14" s="541" t="s">
        <v>16</v>
      </c>
      <c r="F14" s="712"/>
      <c r="G14" s="691">
        <f>'7. T2 RESULTATB.'!G26+'7. T2 RESULTATB.'!G27-'7. T2 RESULTATB.'!G21</f>
        <v>0</v>
      </c>
      <c r="H14" s="691">
        <f>'7. T2 RESULTATB.'!I26+'7. T2 RESULTATB.'!I27-'7. T2 RESULTATB.'!I21</f>
        <v>0</v>
      </c>
      <c r="I14" s="691">
        <f>'7. T2 RESULTATB.'!K26+'7. T2 RESULTATB.'!K27-'7. T2 RESULTATB.'!K21</f>
        <v>0</v>
      </c>
      <c r="J14" s="696">
        <f>'7. T2 RESULTATB.'!M26+'7. T2 RESULTATB.'!M27-'7. T2 RESULTATB.'!M21</f>
        <v>0</v>
      </c>
      <c r="L14" s="549" t="s">
        <v>294</v>
      </c>
      <c r="M14" s="526"/>
      <c r="N14" s="526"/>
      <c r="O14" s="544"/>
      <c r="P14" s="717"/>
      <c r="Q14" s="697">
        <f>IF('7. T2 RESULTATB.'!G33=0,0,Q13/'7. T2 RESULTATB.'!G33)</f>
        <v>0</v>
      </c>
      <c r="R14" s="697">
        <f>IF('7. T2 RESULTATB.'!I33=0,0,R13/'7. T2 RESULTATB.'!I33)</f>
        <v>0</v>
      </c>
      <c r="S14" s="697">
        <f>IF('7. T2 RESULTATB.'!K33=0,0,S13/'7. T2 RESULTATB.'!K33)</f>
        <v>0</v>
      </c>
      <c r="T14" s="681">
        <f>IF('7. T2 RESULTATB.'!M33=0,0,T13/'7. T2 RESULTATB.'!M33)</f>
        <v>0</v>
      </c>
    </row>
    <row r="15" spans="1:20" ht="12.75" customHeight="1">
      <c r="B15" s="212">
        <v>2</v>
      </c>
      <c r="C15" s="469" t="s">
        <v>279</v>
      </c>
      <c r="D15" s="469"/>
      <c r="E15" s="471" t="s">
        <v>16</v>
      </c>
      <c r="F15" s="713">
        <v>0</v>
      </c>
      <c r="G15" s="697">
        <f>'1. T1 INVESTERINGSP.'!D48+'1. T1 INVESTERINGSP.'!D49</f>
        <v>0</v>
      </c>
      <c r="H15" s="697">
        <f>'1. T1 INVESTERINGSP.'!E48+'1. T1 INVESTERINGSP.'!E49</f>
        <v>0</v>
      </c>
      <c r="I15" s="697">
        <f>'1. T1 INVESTERINGSP.'!F48+'1. T1 INVESTERINGSP.'!F49</f>
        <v>0</v>
      </c>
      <c r="J15" s="1020">
        <f>'1. T1 INVESTERINGSP.'!G48+'1. T1 INVESTERINGSP.'!G49</f>
        <v>0</v>
      </c>
      <c r="L15" s="549" t="s">
        <v>295</v>
      </c>
      <c r="M15" s="526"/>
      <c r="N15" s="526"/>
      <c r="O15" s="544"/>
      <c r="P15" s="718"/>
      <c r="Q15" s="346">
        <f>'7. T2 RESULTATB.'!G33</f>
        <v>1</v>
      </c>
      <c r="R15" s="346">
        <f>'7. T2 RESULTATB.'!I33</f>
        <v>1</v>
      </c>
      <c r="S15" s="346">
        <f>'7. T2 RESULTATB.'!K33</f>
        <v>1</v>
      </c>
      <c r="T15" s="626">
        <f>'7. T2 RESULTATB.'!M33</f>
        <v>1</v>
      </c>
    </row>
    <row r="16" spans="1:20" ht="12.75" customHeight="1">
      <c r="A16" s="53"/>
      <c r="B16" s="212">
        <v>3</v>
      </c>
      <c r="C16" s="1936" t="s">
        <v>562</v>
      </c>
      <c r="D16" s="1936"/>
      <c r="E16" s="471" t="s">
        <v>16</v>
      </c>
      <c r="F16" s="713"/>
      <c r="G16" s="697">
        <f>'2. T7 LÅN'!F32+'6. T3 BALANS'!G73</f>
        <v>0</v>
      </c>
      <c r="H16" s="697">
        <f>'2. T7 LÅN'!I32+IF('6. T3 BALANS'!H73-'6. T3 BALANS'!G73&gt;0,'6. T3 BALANS'!H73-'6. T3 BALANS'!G73,0)+IF('6. T3 BALANS'!H71-'6. T3 BALANS'!G71&gt;0,'6. T3 BALANS'!H71-'6. T3 BALANS'!G71,0)</f>
        <v>0</v>
      </c>
      <c r="I16" s="697">
        <f>'2. T7 LÅN'!L32+IF('6. T3 BALANS'!I73-'6. T3 BALANS'!H73&gt;0,'6. T3 BALANS'!I73-'6. T3 BALANS'!H73,0)+IF('6. T3 BALANS'!I71-'6. T3 BALANS'!H71&gt;0,'6. T3 BALANS'!I71-'6. T3 BALANS'!H71,0)</f>
        <v>0</v>
      </c>
      <c r="J16" s="1020">
        <f>'2. T7 LÅN'!O32+IF('6. T3 BALANS'!J73-'6. T3 BALANS'!I73&gt;0,'6. T3 BALANS'!J73-'6. T3 BALANS'!I73,0)+IF('6. T3 BALANS'!J71-'6. T3 BALANS'!I71&gt;0,'6. T3 BALANS'!J71-'6. T3 BALANS'!I71,0)</f>
        <v>0</v>
      </c>
      <c r="L16" s="1956" t="s">
        <v>296</v>
      </c>
      <c r="M16" s="1957"/>
      <c r="N16" s="1957"/>
      <c r="O16" s="1958"/>
      <c r="P16" s="717"/>
      <c r="Q16" s="697">
        <f>Q111</f>
        <v>0</v>
      </c>
      <c r="R16" s="697">
        <f>R111</f>
        <v>0</v>
      </c>
      <c r="S16" s="697">
        <f>S111</f>
        <v>0</v>
      </c>
      <c r="T16" s="1020">
        <f>T111</f>
        <v>0</v>
      </c>
    </row>
    <row r="17" spans="1:24" ht="12.75" customHeight="1">
      <c r="A17" s="2"/>
      <c r="B17" s="212">
        <v>4</v>
      </c>
      <c r="C17" s="469" t="s">
        <v>281</v>
      </c>
      <c r="D17" s="469"/>
      <c r="E17" s="471" t="s">
        <v>16</v>
      </c>
      <c r="F17" s="713">
        <v>0</v>
      </c>
      <c r="G17" s="697">
        <f>'2. T7 LÅN'!F33</f>
        <v>0</v>
      </c>
      <c r="H17" s="697">
        <f>'2. T7 LÅN'!I34</f>
        <v>0</v>
      </c>
      <c r="I17" s="697">
        <f>'2. T7 LÅN'!L35</f>
        <v>0</v>
      </c>
      <c r="J17" s="1020">
        <f>'2. T7 LÅN'!O37</f>
        <v>0</v>
      </c>
      <c r="L17" s="177" t="s">
        <v>601</v>
      </c>
      <c r="M17" s="149"/>
      <c r="N17" s="149"/>
      <c r="O17" s="144"/>
      <c r="P17" s="144"/>
      <c r="Q17" s="147"/>
      <c r="R17" s="147"/>
      <c r="S17" s="151"/>
      <c r="T17" s="1126"/>
    </row>
    <row r="18" spans="1:24" ht="12.75" customHeight="1">
      <c r="B18" s="212">
        <v>5</v>
      </c>
      <c r="C18" s="512" t="s">
        <v>282</v>
      </c>
      <c r="D18" s="512"/>
      <c r="E18" s="471" t="s">
        <v>16</v>
      </c>
      <c r="F18" s="713">
        <v>0</v>
      </c>
      <c r="G18" s="697">
        <f>'6. T3 BALANS'!G77+'6. T3 BALANS'!G78</f>
        <v>0</v>
      </c>
      <c r="H18" s="697">
        <f>IF('6. T3 BALANS'!H77-'6. T3 BALANS'!G77&gt;0,'6. T3 BALANS'!H77-'6. T3 BALANS'!G77,0)+IF('6. T3 BALANS'!H78-'6. T3 BALANS'!G78&gt;0,'6. T3 BALANS'!H78-'6. T3 BALANS'!G78,0)</f>
        <v>0</v>
      </c>
      <c r="I18" s="697">
        <f>IF('6. T3 BALANS'!I77-'6. T3 BALANS'!H77&gt;0,'6. T3 BALANS'!I77-'6. T3 BALANS'!H77,0)+IF('6. T3 BALANS'!I78-'6. T3 BALANS'!H78&gt;0,'6. T3 BALANS'!I78-'6. T3 BALANS'!H78,0)</f>
        <v>0</v>
      </c>
      <c r="J18" s="1020">
        <f>IF('6. T3 BALANS'!J77-'6. T3 BALANS'!I77&gt;0,'6. T3 BALANS'!J77-'6. T3 BALANS'!I77,0)+IF('6. T3 BALANS'!J78-'6. T3 BALANS'!I78&gt;0,'6. T3 BALANS'!J78-'6. T3 BALANS'!I78,0)</f>
        <v>0</v>
      </c>
      <c r="L18" s="1959" t="s">
        <v>297</v>
      </c>
      <c r="M18" s="1960"/>
      <c r="N18" s="1960"/>
      <c r="O18" s="1961"/>
      <c r="P18" s="717"/>
      <c r="Q18" s="697">
        <f>'7. T2 RESULTATB.'!G20</f>
        <v>0</v>
      </c>
      <c r="R18" s="697">
        <f>'7. T2 RESULTATB.'!I20</f>
        <v>0</v>
      </c>
      <c r="S18" s="697">
        <f>'7. T2 RESULTATB.'!K20</f>
        <v>0</v>
      </c>
      <c r="T18" s="1020">
        <f>'7. T2 RESULTATB.'!M20</f>
        <v>0</v>
      </c>
    </row>
    <row r="19" spans="1:24" ht="25.5" customHeight="1">
      <c r="B19" s="212">
        <v>6</v>
      </c>
      <c r="C19" s="1935" t="s">
        <v>521</v>
      </c>
      <c r="D19" s="1935"/>
      <c r="E19" s="471" t="s">
        <v>16</v>
      </c>
      <c r="F19" s="711"/>
      <c r="G19" s="697">
        <f>'Avustus, alv'!D50+'1. T1 INVESTERINGSP.'!D51+'6. T3 BALANS'!G36+'6. T3 BALANS'!G16+'6. T3 BALANS'!G21+'6. T3 BALANS'!G24+'6. T3 BALANS'!G28+'6. T3 BALANS'!G32</f>
        <v>0</v>
      </c>
      <c r="H19" s="697">
        <f>'Avustus, alv'!E50+'1. T1 INVESTERINGSP.'!E51+'6. T3 BALANS'!H36+'6. T3 BALANS'!H16+'6. T3 BALANS'!H21+'6. T3 BALANS'!H24+'6. T3 BALANS'!H28+'6. T3 BALANS'!H32</f>
        <v>0</v>
      </c>
      <c r="I19" s="697">
        <f>'Avustus, alv'!F50+'1. T1 INVESTERINGSP.'!F51+'6. T3 BALANS'!I36+'6. T3 BALANS'!I16+'6. T3 BALANS'!I21+'6. T3 BALANS'!I24+'6. T3 BALANS'!I28+'6. T3 BALANS'!I32</f>
        <v>0</v>
      </c>
      <c r="J19" s="1020">
        <f>'Avustus, alv'!G50+'1. T1 INVESTERINGSP.'!G51+'6. T3 BALANS'!J36+'6. T3 BALANS'!J16+'6. T3 BALANS'!J21+'6. T3 BALANS'!J24+'6. T3 BALANS'!J28+'6. T3 BALANS'!J32</f>
        <v>0</v>
      </c>
      <c r="L19" s="1959" t="s">
        <v>298</v>
      </c>
      <c r="M19" s="1960"/>
      <c r="N19" s="1960"/>
      <c r="O19" s="1961"/>
      <c r="P19" s="719"/>
      <c r="Q19" s="1127">
        <f>'7. T2 RESULTATB.'!H20/100</f>
        <v>0</v>
      </c>
      <c r="R19" s="1127">
        <f>'7. T2 RESULTATB.'!J20/100</f>
        <v>0</v>
      </c>
      <c r="S19" s="1127">
        <f>'7. T2 RESULTATB.'!L20/100</f>
        <v>0</v>
      </c>
      <c r="T19" s="1330">
        <f>'7. T2 RESULTATB.'!N20/100</f>
        <v>0</v>
      </c>
    </row>
    <row r="20" spans="1:24" ht="12.75" customHeight="1" thickBot="1">
      <c r="B20" s="324">
        <v>7</v>
      </c>
      <c r="C20" s="325" t="s">
        <v>283</v>
      </c>
      <c r="D20" s="497"/>
      <c r="E20" s="1023"/>
      <c r="F20" s="1318"/>
      <c r="G20" s="1058">
        <f>SUM(G14:G19)</f>
        <v>0</v>
      </c>
      <c r="H20" s="1058">
        <f>SUM(H14:H19)</f>
        <v>0</v>
      </c>
      <c r="I20" s="1058">
        <f>SUM(I14:I19)</f>
        <v>0</v>
      </c>
      <c r="J20" s="1319">
        <f>SUM(J14:J19)</f>
        <v>0</v>
      </c>
      <c r="L20" s="1966" t="s">
        <v>555</v>
      </c>
      <c r="M20" s="1967"/>
      <c r="N20" s="1967"/>
      <c r="O20" s="1968"/>
      <c r="P20" s="719"/>
      <c r="Q20" s="697">
        <f>'7. T2 RESULTATB.'!G22</f>
        <v>0</v>
      </c>
      <c r="R20" s="697">
        <f>'7. T2 RESULTATB.'!I22</f>
        <v>0</v>
      </c>
      <c r="S20" s="697">
        <f>'7. T2 RESULTATB.'!K22</f>
        <v>0</v>
      </c>
      <c r="T20" s="681">
        <f>'7. T2 RESULTATB.'!M22</f>
        <v>0</v>
      </c>
      <c r="V20">
        <v>0</v>
      </c>
      <c r="X20">
        <v>0</v>
      </c>
    </row>
    <row r="21" spans="1:24" ht="12.75" customHeight="1" thickBot="1">
      <c r="G21" s="41"/>
      <c r="H21" s="41"/>
      <c r="I21" s="41"/>
      <c r="J21" s="41"/>
      <c r="L21" s="1969" t="s">
        <v>556</v>
      </c>
      <c r="M21" s="1970"/>
      <c r="N21" s="1970"/>
      <c r="O21" s="1971"/>
      <c r="P21" s="719"/>
      <c r="Q21" s="1021">
        <f>IF('7. T2 RESULTATB.'!G14=0,0,'7. T2 RESULTATB.'!G22/'7. T2 RESULTATB.'!G14)</f>
        <v>0</v>
      </c>
      <c r="R21" s="1021">
        <f>IF('7. T2 RESULTATB.'!I14=0,0,'7. T2 RESULTATB.'!I22/'7. T2 RESULTATB.'!I14)</f>
        <v>0</v>
      </c>
      <c r="S21" s="1021">
        <f>IF('7. T2 RESULTATB.'!K14=0,0,'7. T2 RESULTATB.'!K22/'7. T2 RESULTATB.'!K14)</f>
        <v>0</v>
      </c>
      <c r="T21" s="1332">
        <f>IF('7. T2 RESULTATB.'!M14=0,0,'7. T2 RESULTATB.'!M22/'7. T2 RESULTATB.'!M14)</f>
        <v>0</v>
      </c>
    </row>
    <row r="22" spans="1:24" ht="12.75" customHeight="1">
      <c r="B22" s="507" t="s">
        <v>597</v>
      </c>
      <c r="C22" s="483"/>
      <c r="D22" s="483"/>
      <c r="E22" s="484"/>
      <c r="F22" s="632"/>
      <c r="G22" s="1108"/>
      <c r="H22" s="1108"/>
      <c r="I22" s="1108"/>
      <c r="J22" s="1109"/>
      <c r="L22" s="184"/>
      <c r="M22" s="1972" t="s">
        <v>301</v>
      </c>
      <c r="N22" s="1973"/>
      <c r="O22" s="1974"/>
      <c r="P22" s="719"/>
      <c r="Q22" s="1022">
        <f>IF(Q21=0,0,IF(Q21&gt;10%,"Bra",IF(Q21&lt;0.5,"Svag","Tillfredställande")))</f>
        <v>0</v>
      </c>
      <c r="R22" s="1022">
        <f t="shared" ref="R22:T22" si="1">IF(R21=0,0,IF(R21&gt;10%,"Bra",IF(R21&lt;0.5,"Svag","Tillfredställande")))</f>
        <v>0</v>
      </c>
      <c r="S22" s="1022">
        <f t="shared" si="1"/>
        <v>0</v>
      </c>
      <c r="T22" s="1333">
        <f t="shared" si="1"/>
        <v>0</v>
      </c>
    </row>
    <row r="23" spans="1:24" ht="12.65" customHeight="1">
      <c r="B23" s="486">
        <v>8</v>
      </c>
      <c r="C23" s="178" t="s">
        <v>705</v>
      </c>
      <c r="D23" s="178"/>
      <c r="E23" s="348" t="s">
        <v>16</v>
      </c>
      <c r="F23" s="712"/>
      <c r="G23" s="691">
        <f>'Avustus, alv'!D4</f>
        <v>0</v>
      </c>
      <c r="H23" s="691">
        <f>'Avustus, alv'!E4</f>
        <v>0</v>
      </c>
      <c r="I23" s="691">
        <f>'Avustus, alv'!F4</f>
        <v>0</v>
      </c>
      <c r="J23" s="696">
        <f>'Avustus, alv'!G4</f>
        <v>0</v>
      </c>
      <c r="L23" s="549" t="s">
        <v>299</v>
      </c>
      <c r="M23" s="526"/>
      <c r="N23" s="526"/>
      <c r="O23" s="544"/>
      <c r="P23" s="717"/>
      <c r="Q23" s="697">
        <f>'7. T2 RESULTATB.'!G31</f>
        <v>0</v>
      </c>
      <c r="R23" s="697">
        <f>'7. T2 RESULTATB.'!I31</f>
        <v>0</v>
      </c>
      <c r="S23" s="697">
        <f>'7. T2 RESULTATB.'!K31</f>
        <v>0</v>
      </c>
      <c r="T23" s="681">
        <f>'7. T2 RESULTATB.'!M31</f>
        <v>0</v>
      </c>
    </row>
    <row r="24" spans="1:24" ht="12.65" customHeight="1">
      <c r="B24" s="486">
        <v>9</v>
      </c>
      <c r="C24" s="469" t="s">
        <v>704</v>
      </c>
      <c r="D24" s="469"/>
      <c r="E24" s="471" t="s">
        <v>16</v>
      </c>
      <c r="F24" s="711"/>
      <c r="G24" s="697">
        <f>'Avustus, alv'!D10+'Avustus, alv'!D15</f>
        <v>0</v>
      </c>
      <c r="H24" s="697">
        <f>'Avustus, alv'!E10+'Avustus, alv'!E15</f>
        <v>0</v>
      </c>
      <c r="I24" s="697">
        <f>'Avustus, alv'!F10+'Avustus, alv'!F15</f>
        <v>0</v>
      </c>
      <c r="J24" s="1020">
        <f>'Avustus, alv'!G10+'Avustus, alv'!G15</f>
        <v>0</v>
      </c>
      <c r="L24" s="549" t="s">
        <v>300</v>
      </c>
      <c r="M24" s="526"/>
      <c r="N24" s="526"/>
      <c r="O24" s="544"/>
      <c r="P24" s="720"/>
      <c r="Q24" s="1127">
        <f>'7. T2 RESULTATB.'!H31/100</f>
        <v>0</v>
      </c>
      <c r="R24" s="1127">
        <f>'7. T2 RESULTATB.'!J31/100</f>
        <v>0</v>
      </c>
      <c r="S24" s="1127">
        <f>'7. T2 RESULTATB.'!L31/100</f>
        <v>0</v>
      </c>
      <c r="T24" s="1128">
        <f>'7. T2 RESULTATB.'!N31/100</f>
        <v>0</v>
      </c>
    </row>
    <row r="25" spans="1:24" ht="12.65" customHeight="1">
      <c r="B25" s="486">
        <v>10</v>
      </c>
      <c r="C25" s="469" t="s">
        <v>285</v>
      </c>
      <c r="D25" s="469"/>
      <c r="E25" s="471" t="s">
        <v>16</v>
      </c>
      <c r="F25" s="711"/>
      <c r="G25" s="697">
        <f>'Avustus, alv'!D23+'Avustus, alv'!D30</f>
        <v>0</v>
      </c>
      <c r="H25" s="697">
        <f>'Avustus, alv'!E23+'Avustus, alv'!E30</f>
        <v>0</v>
      </c>
      <c r="I25" s="697">
        <f>'Avustus, alv'!F23+'Avustus, alv'!F30</f>
        <v>0</v>
      </c>
      <c r="J25" s="1020">
        <f>'Avustus, alv'!G23+'Avustus, alv'!G30</f>
        <v>0</v>
      </c>
      <c r="L25" s="1956" t="s">
        <v>613</v>
      </c>
      <c r="M25" s="1957"/>
      <c r="N25" s="1957"/>
      <c r="O25" s="1958"/>
      <c r="P25" s="720"/>
      <c r="Q25" s="1127">
        <f>IF(Q16=0,0,(Q102-'7. T2 RESULTATB.'!G27-'7. T2 RESULTATB.'!G25)/'5. T4 FINANSIERINGSB.'!Q111)</f>
        <v>0</v>
      </c>
      <c r="R25" s="1127">
        <f>IF(R16=0,0,(R102-'7. T2 RESULTATB.'!I27-'7. T2 RESULTATB.'!I25)/'5. T4 FINANSIERINGSB.'!R111)</f>
        <v>0</v>
      </c>
      <c r="S25" s="1127">
        <f>IF(S16=0,0,(S102-'7. T2 RESULTATB.'!K27-'7. T2 RESULTATB.'!K25)/'5. T4 FINANSIERINGSB.'!S111)</f>
        <v>0</v>
      </c>
      <c r="T25" s="1128">
        <f>IF(T16=0,0,(T102-'7. T2 RESULTATB.'!M27-'7. T2 RESULTATB.'!M25)/'5. T4 FINANSIERINGSB.'!T111)</f>
        <v>0</v>
      </c>
    </row>
    <row r="26" spans="1:24" ht="12.65" customHeight="1">
      <c r="B26" s="486">
        <v>11</v>
      </c>
      <c r="C26" s="469" t="s">
        <v>286</v>
      </c>
      <c r="D26" s="469"/>
      <c r="E26" s="471" t="s">
        <v>16</v>
      </c>
      <c r="F26" s="711"/>
      <c r="G26" s="697">
        <f>'Avustus, alv'!D36+'Avustus, alv'!D43</f>
        <v>0</v>
      </c>
      <c r="H26" s="697">
        <f>'Avustus, alv'!E36+'Avustus, alv'!E43</f>
        <v>0</v>
      </c>
      <c r="I26" s="697">
        <f>'Avustus, alv'!F36+'Avustus, alv'!F43</f>
        <v>0</v>
      </c>
      <c r="J26" s="1020">
        <f>'Avustus, alv'!G36+'Avustus, alv'!G43</f>
        <v>0</v>
      </c>
      <c r="L26" s="177" t="s">
        <v>602</v>
      </c>
      <c r="M26" s="516"/>
      <c r="N26" s="517"/>
      <c r="O26" s="144"/>
      <c r="P26" s="144"/>
      <c r="Q26" s="147"/>
      <c r="R26" s="151"/>
      <c r="S26" s="151"/>
      <c r="T26" s="1822"/>
    </row>
    <row r="27" spans="1:24" ht="12.65" customHeight="1">
      <c r="B27" s="486">
        <v>12</v>
      </c>
      <c r="C27" s="469" t="s">
        <v>559</v>
      </c>
      <c r="D27" s="469"/>
      <c r="E27" s="472" t="s">
        <v>20</v>
      </c>
      <c r="F27" s="711"/>
      <c r="G27" s="697">
        <f>G58</f>
        <v>0</v>
      </c>
      <c r="H27" s="697">
        <f>H59</f>
        <v>0</v>
      </c>
      <c r="I27" s="697">
        <f>I59</f>
        <v>0</v>
      </c>
      <c r="J27" s="1020">
        <f>J59</f>
        <v>0</v>
      </c>
      <c r="L27" s="1950" t="s">
        <v>96</v>
      </c>
      <c r="M27" s="1951"/>
      <c r="N27" s="1951"/>
      <c r="O27" s="1952"/>
      <c r="P27" s="721"/>
      <c r="Q27" s="1317">
        <f>IF('6. T3 BALANS'!G74=0,0,('6. T3 BALANS'!G48+'6. T3 BALANS'!G49)/'6. T3 BALANS'!G74)</f>
        <v>0</v>
      </c>
      <c r="R27" s="1317">
        <f>IF('6. T3 BALANS'!H74=0,0,('6. T3 BALANS'!H48+'6. T3 BALANS'!H49)/'6. T3 BALANS'!H74)</f>
        <v>0</v>
      </c>
      <c r="S27" s="1317">
        <f>IF('6. T3 BALANS'!I74=0,0,('6. T3 BALANS'!I48+'6. T3 BALANS'!I49)/'6. T3 BALANS'!I74)</f>
        <v>0</v>
      </c>
      <c r="T27" s="1425">
        <f>IF('6. T3 BALANS'!J74=0,0,('6. T3 BALANS'!J48+'6. T3 BALANS'!J49)/'6. T3 BALANS'!J74)</f>
        <v>0</v>
      </c>
    </row>
    <row r="28" spans="1:24" ht="12.65" customHeight="1">
      <c r="A28" s="249"/>
      <c r="B28" s="486">
        <v>13</v>
      </c>
      <c r="C28" s="469" t="s">
        <v>287</v>
      </c>
      <c r="D28" s="469"/>
      <c r="E28" s="471" t="s">
        <v>16</v>
      </c>
      <c r="F28" s="713"/>
      <c r="G28" s="697">
        <f>'6. T3 BALANS'!G48</f>
        <v>0</v>
      </c>
      <c r="H28" s="697">
        <f>'6. T3 BALANS'!H48-'6. T3 BALANS'!G48</f>
        <v>0</v>
      </c>
      <c r="I28" s="697">
        <f>'6. T3 BALANS'!I48-'6. T3 BALANS'!H48</f>
        <v>0</v>
      </c>
      <c r="J28" s="1020">
        <f>'6. T3 BALANS'!J48-'6. T3 BALANS'!I48</f>
        <v>0</v>
      </c>
      <c r="L28" s="550"/>
      <c r="M28" s="974" t="s">
        <v>301</v>
      </c>
      <c r="N28" s="975"/>
      <c r="O28" s="976"/>
      <c r="P28" s="977"/>
      <c r="Q28" s="1335">
        <f>IF('6. T3 BALANS'!G74=0,0,IF(Q27&gt;1,"Bra",IF(Q27&lt;0.5,"Svag","Tillfredställande")))</f>
        <v>0</v>
      </c>
      <c r="R28" s="1335">
        <f>IF('6. T3 BALANS'!H74=0,0,IF(R27&gt;1,"Bra",IF(R27&lt;0.5,"Svag","Tillfredställande")))</f>
        <v>0</v>
      </c>
      <c r="S28" s="1335">
        <f>IF('6. T3 BALANS'!I74=0,0,IF(S27&gt;1,"Bra",IF(S27&lt;0.5,"Svag","Tillfredställande")))</f>
        <v>0</v>
      </c>
      <c r="T28" s="1336">
        <f>IF('6. T3 BALANS'!J74=0,0,IF(T27&gt;1,"Bra",IF(T27&lt;0.5,"Svag","Tillfredställande")))</f>
        <v>0</v>
      </c>
    </row>
    <row r="29" spans="1:24" ht="12.65" customHeight="1">
      <c r="A29" s="6"/>
      <c r="B29" s="486">
        <v>14</v>
      </c>
      <c r="C29" s="1936" t="s">
        <v>539</v>
      </c>
      <c r="D29" s="1936"/>
      <c r="E29" s="471" t="s">
        <v>16</v>
      </c>
      <c r="F29" s="711"/>
      <c r="G29" s="697">
        <f>'2. T7 LÅN'!G32</f>
        <v>0</v>
      </c>
      <c r="H29" s="697">
        <f>'2. T7 LÅN'!J32</f>
        <v>0</v>
      </c>
      <c r="I29" s="697">
        <f>'2. T7 LÅN'!M32</f>
        <v>0</v>
      </c>
      <c r="J29" s="1020">
        <f>'2. T7 LÅN'!P32</f>
        <v>0</v>
      </c>
      <c r="L29" s="1959" t="s">
        <v>97</v>
      </c>
      <c r="M29" s="1960"/>
      <c r="N29" s="1960"/>
      <c r="O29" s="1961"/>
      <c r="P29" s="722"/>
      <c r="Q29" s="1316">
        <f>IF('6. T3 BALANS'!G74=0,0,('6. T3 BALANS'!G39+'6. T3 BALANS'!G48+'6. T3 BALANS'!G49)/'6. T3 BALANS'!G74)</f>
        <v>0</v>
      </c>
      <c r="R29" s="1316">
        <f>IF('6. T3 BALANS'!H74=0,0,('6. T3 BALANS'!H39+'6. T3 BALANS'!H48+'6. T3 BALANS'!H49)/'6. T3 BALANS'!H74)</f>
        <v>0</v>
      </c>
      <c r="S29" s="1316">
        <f>IF('6. T3 BALANS'!I74=0,0,('6. T3 BALANS'!I39+'6. T3 BALANS'!I48+'6. T3 BALANS'!I49)/'6. T3 BALANS'!I74)</f>
        <v>0</v>
      </c>
      <c r="T29" s="1156">
        <f>IF('6. T3 BALANS'!J74=0,0,('6. T3 BALANS'!J39+'6. T3 BALANS'!J48+'6. T3 BALANS'!J49)/'6. T3 BALANS'!J74)</f>
        <v>0</v>
      </c>
    </row>
    <row r="30" spans="1:24" ht="12.65" customHeight="1">
      <c r="A30" s="249"/>
      <c r="B30" s="212">
        <f t="shared" ref="B30:B33" si="2">B29+1</f>
        <v>15</v>
      </c>
      <c r="C30" s="627" t="s">
        <v>503</v>
      </c>
      <c r="D30" s="627"/>
      <c r="E30" s="471" t="s">
        <v>16</v>
      </c>
      <c r="F30" s="711"/>
      <c r="G30" s="1110">
        <v>0</v>
      </c>
      <c r="H30" s="697">
        <f>-IF('6. T3 BALANS'!H61-'6. T3 BALANS'!G61&lt;0,'6. T3 BALANS'!H61-'6. T3 BALANS'!G61,0)</f>
        <v>0</v>
      </c>
      <c r="I30" s="697">
        <f>-IF('6. T3 BALANS'!I61-'6. T3 BALANS'!H61&lt;0,'6. T3 BALANS'!I61-'6. T3 BALANS'!H61,0)</f>
        <v>0</v>
      </c>
      <c r="J30" s="1020">
        <f>-IF('6. T3 BALANS'!J61-'6. T3 BALANS'!I61&lt;0,'6. T3 BALANS'!J61-'6. T3 BALANS'!I61,0)</f>
        <v>0</v>
      </c>
      <c r="L30" s="551"/>
      <c r="M30" s="974" t="s">
        <v>301</v>
      </c>
      <c r="N30" s="975"/>
      <c r="O30" s="976"/>
      <c r="P30" s="977"/>
      <c r="Q30" s="1335">
        <f>IF('6. T3 BALANS'!G74=0,0,IF(Q29&gt;2,"Bra",IF(Q29&lt;1,"Svag","Tillfredställandel")))</f>
        <v>0</v>
      </c>
      <c r="R30" s="1335">
        <f>IF('6. T3 BALANS'!H74=0,0,IF(R29&gt;2,"Bra",IF(R29&lt;1,"Svag","Tillfredställandel")))</f>
        <v>0</v>
      </c>
      <c r="S30" s="1335">
        <f>IF('6. T3 BALANS'!I74=0,0,IF(S29&gt;2,"Bra",IF(S29&lt;1,"Svag","Tillfredställande")))</f>
        <v>0</v>
      </c>
      <c r="T30" s="1336">
        <f>IF('6. T3 BALANS'!J74=0,0,IF(T29&gt;2,"Bra",IF(T29&lt;1,"Svag","Tillfredställandel")))</f>
        <v>0</v>
      </c>
    </row>
    <row r="31" spans="1:24" ht="12.65" customHeight="1">
      <c r="A31" s="41"/>
      <c r="B31" s="212">
        <f t="shared" si="2"/>
        <v>16</v>
      </c>
      <c r="C31" s="627" t="s">
        <v>504</v>
      </c>
      <c r="D31" s="627"/>
      <c r="E31" s="471" t="s">
        <v>16</v>
      </c>
      <c r="F31" s="711"/>
      <c r="G31" s="1110">
        <v>0</v>
      </c>
      <c r="H31" s="697">
        <f>-IF('6. T3 BALANS'!H69-'6. T3 BALANS'!G69&lt;0,'6. T3 BALANS'!H69-'6. T3 BALANS'!G69,0)</f>
        <v>0</v>
      </c>
      <c r="I31" s="697">
        <f>-IF('6. T3 BALANS'!I69-'6. T3 BALANS'!H69&lt;0,'6. T3 BALANS'!I69-'6. T3 BALANS'!H69,0)</f>
        <v>0</v>
      </c>
      <c r="J31" s="1020">
        <f>-IF('6. T3 BALANS'!J69-'6. T3 BALANS'!I69&lt;0,'6. T3 BALANS'!J69-'6. T3 BALANS'!I69,0)</f>
        <v>0</v>
      </c>
      <c r="L31" s="1959" t="s">
        <v>302</v>
      </c>
      <c r="M31" s="1960"/>
      <c r="N31" s="1960"/>
      <c r="O31" s="1961"/>
      <c r="P31" s="721"/>
      <c r="Q31" s="1129">
        <f>IF(G14=0,0,('AT2 Lainat, sotum., alv'!N24)/'5. T4 FINANSIERINGSB.'!G14)</f>
        <v>0</v>
      </c>
      <c r="R31" s="1129">
        <f>IF(H14=0,0,('AT2 Lainat, sotum., alv'!T24)/'5. T4 FINANSIERINGSB.'!H14)</f>
        <v>0</v>
      </c>
      <c r="S31" s="1129">
        <f>IF(I14=0,0,('AT2 Lainat, sotum., alv'!Z24)/'5. T4 FINANSIERINGSB.'!I14)</f>
        <v>0</v>
      </c>
      <c r="T31" s="1825">
        <f>IF(J14=0,0,('AT2 Lainat, sotum., alv'!AF24)/'5. T4 FINANSIERINGSB.'!J14)</f>
        <v>0</v>
      </c>
    </row>
    <row r="32" spans="1:24" ht="12.65" customHeight="1">
      <c r="A32" s="249"/>
      <c r="B32" s="212">
        <f t="shared" si="2"/>
        <v>17</v>
      </c>
      <c r="C32" s="613" t="s">
        <v>527</v>
      </c>
      <c r="D32" s="627"/>
      <c r="E32" s="471" t="s">
        <v>16</v>
      </c>
      <c r="F32" s="711"/>
      <c r="G32" s="1110"/>
      <c r="H32" s="697">
        <f>-IF('6. T3 BALANS'!H71-'6. T3 BALANS'!G71&lt;0,'6. T3 BALANS'!H71-'6. T3 BALANS'!G71,0)</f>
        <v>0</v>
      </c>
      <c r="I32" s="697">
        <f>-IF('6. T3 BALANS'!I71-'6. T3 BALANS'!H71&lt;0,'6. T3 BALANS'!I71-'6. T3 BALANS'!H71,0)</f>
        <v>0</v>
      </c>
      <c r="J32" s="1020">
        <f>-IF('6. T3 BALANS'!J71-'6. T3 BALANS'!I71&lt;0,'6. T3 BALANS'!J71-'6. T3 BALANS'!I71,0)</f>
        <v>0</v>
      </c>
      <c r="L32" s="1959" t="s">
        <v>303</v>
      </c>
      <c r="M32" s="1960"/>
      <c r="N32" s="1960"/>
      <c r="O32" s="1961"/>
      <c r="P32" s="722"/>
      <c r="Q32" s="1130">
        <f>IF(-'7. T2 RESULTATB.'!G25+'2. T7 LÅN'!G32=0,0,(G14-'7. T2 RESULTATB.'!G25)/(-'7. T2 RESULTATB.'!G25+'2. T7 LÅN'!G32))</f>
        <v>0</v>
      </c>
      <c r="R32" s="1130">
        <f>IF(-'7. T2 RESULTATB.'!I25+'2. T7 LÅN'!J32=0,0,(H14-'7. T2 RESULTATB.'!I25)/(-'7. T2 RESULTATB.'!I25+'2. T7 LÅN'!J32))</f>
        <v>0</v>
      </c>
      <c r="S32" s="1130">
        <f>IF(-'7. T2 RESULTATB.'!K25+'2. T7 LÅN'!M32=0,0,(I14-'7. T2 RESULTATB.'!K25)/(-'7. T2 RESULTATB.'!K25+'2. T7 LÅN'!M32))</f>
        <v>0</v>
      </c>
      <c r="T32" s="1328">
        <f>IF(-'7. T2 RESULTATB.'!M25+'2. T7 LÅN'!P32=0,0,(J14-'7. T2 RESULTATB.'!M25)/(-'7. T2 RESULTATB.'!M25+'2. T7 LÅN'!P32))</f>
        <v>0</v>
      </c>
    </row>
    <row r="33" spans="1:25" ht="12.65" customHeight="1">
      <c r="A33" s="249"/>
      <c r="B33" s="212">
        <f t="shared" si="2"/>
        <v>18</v>
      </c>
      <c r="C33" s="178" t="s">
        <v>505</v>
      </c>
      <c r="D33" s="627"/>
      <c r="E33" s="471" t="s">
        <v>16</v>
      </c>
      <c r="F33" s="711"/>
      <c r="G33" s="1110"/>
      <c r="H33" s="697">
        <f>-IF('6. T3 BALANS'!H73-'6. T3 BALANS'!G73&lt;0,'6. T3 BALANS'!H73-'6. T3 BALANS'!G73,0)</f>
        <v>0</v>
      </c>
      <c r="I33" s="697">
        <f>-IF('6. T3 BALANS'!I73-'6. T3 BALANS'!H73&lt;0,'6. T3 BALANS'!I73-'6. T3 BALANS'!H73,0)</f>
        <v>0</v>
      </c>
      <c r="J33" s="1020">
        <f>-IF('6. T3 BALANS'!J73-'6. T3 BALANS'!I73&lt;0,'6. T3 BALANS'!J73-'6. T3 BALANS'!I73,0)</f>
        <v>0</v>
      </c>
      <c r="L33" s="551"/>
      <c r="M33" s="974" t="s">
        <v>301</v>
      </c>
      <c r="N33" s="975"/>
      <c r="O33" s="976"/>
      <c r="P33" s="977"/>
      <c r="Q33" s="1335">
        <f>IF('7. T2 RESULTATB.'!G25+'2. T7 LÅN'!G32=0,0,IF(Q32&gt;2,"Bra",IF(Q32&lt;1,"Svag","Tillfredställande")))</f>
        <v>0</v>
      </c>
      <c r="R33" s="1335">
        <f>IF('7. T2 RESULTATB.'!I25+'2. T7 LÅN'!H32=0,0,IF(R32&gt;2,"Bra",IF(R32&lt;1,"Svag","Tillfredställande")))</f>
        <v>0</v>
      </c>
      <c r="S33" s="1335">
        <f>IF('7. T2 RESULTATB.'!K25+'2. T7 LÅN'!I32=0,0,IF(S32&gt;2,"Bra",IF(S32&lt;1,"Svag","Tillfredställande")))</f>
        <v>0</v>
      </c>
      <c r="T33" s="1337">
        <f>IF('7. T2 RESULTATB.'!M25+'2. T7 LÅN'!J32=0,0,IF(T32&gt;2,"Bra",IF(T32&lt;1,"Svag","Tillfredställande")))</f>
        <v>0</v>
      </c>
    </row>
    <row r="34" spans="1:25" ht="12.65" customHeight="1">
      <c r="A34" s="249"/>
      <c r="B34" s="486">
        <v>19</v>
      </c>
      <c r="C34" s="469" t="s">
        <v>288</v>
      </c>
      <c r="D34" s="469"/>
      <c r="E34" s="472" t="s">
        <v>20</v>
      </c>
      <c r="F34" s="711"/>
      <c r="G34" s="373">
        <v>0</v>
      </c>
      <c r="H34" s="373">
        <v>0</v>
      </c>
      <c r="I34" s="373">
        <v>0</v>
      </c>
      <c r="J34" s="1111">
        <v>0</v>
      </c>
      <c r="L34" s="177" t="s">
        <v>603</v>
      </c>
      <c r="M34" s="149"/>
      <c r="N34" s="149"/>
      <c r="O34" s="149"/>
      <c r="P34" s="149"/>
      <c r="Q34" s="151"/>
      <c r="R34" s="151"/>
      <c r="S34" s="151"/>
      <c r="T34" s="1329"/>
    </row>
    <row r="35" spans="1:25" ht="12.65" customHeight="1">
      <c r="A35" s="41"/>
      <c r="B35" s="486">
        <v>20</v>
      </c>
      <c r="C35" s="469" t="s">
        <v>289</v>
      </c>
      <c r="D35" s="469"/>
      <c r="E35" s="471" t="s">
        <v>16</v>
      </c>
      <c r="F35" s="711"/>
      <c r="G35" s="697">
        <f>'2. T7 LÅN'!G37</f>
        <v>0</v>
      </c>
      <c r="H35" s="697">
        <f>'2. T7 LÅN'!J37</f>
        <v>0</v>
      </c>
      <c r="I35" s="697">
        <f>'2. T7 LÅN'!M37</f>
        <v>0</v>
      </c>
      <c r="J35" s="1020">
        <f>'2. T7 LÅN'!P37</f>
        <v>0</v>
      </c>
      <c r="L35" s="1950" t="s">
        <v>492</v>
      </c>
      <c r="M35" s="1951"/>
      <c r="N35" s="1951"/>
      <c r="O35" s="1952"/>
      <c r="P35" s="720"/>
      <c r="Q35" s="1127">
        <f>IF('6. T3 BALANS'!G98=0,0,'6. T3 BALANS'!G56/('6. T3 BALANS'!G98-'6. T3 BALANS'!G94))</f>
        <v>0</v>
      </c>
      <c r="R35" s="1127">
        <f>IF('6. T3 BALANS'!H98=0,0,'6. T3 BALANS'!H56/('6. T3 BALANS'!H98-'6. T3 BALANS'!H94))</f>
        <v>0</v>
      </c>
      <c r="S35" s="1127">
        <f>IF('6. T3 BALANS'!I98=0,0,'6. T3 BALANS'!I56/('6. T3 BALANS'!I98-'6. T3 BALANS'!I94))</f>
        <v>0</v>
      </c>
      <c r="T35" s="1330">
        <f>IF('6. T3 BALANS'!J98=0,0,'6. T3 BALANS'!J56/('6. T3 BALANS'!J98-'6. T3 BALANS'!J94))</f>
        <v>0</v>
      </c>
    </row>
    <row r="36" spans="1:25" ht="12.65" customHeight="1">
      <c r="A36" s="249"/>
      <c r="B36" s="486">
        <v>21</v>
      </c>
      <c r="C36" s="469" t="s">
        <v>645</v>
      </c>
      <c r="D36" s="469"/>
      <c r="E36" s="472" t="s">
        <v>20</v>
      </c>
      <c r="F36" s="711"/>
      <c r="G36" s="697">
        <f>'6. T3 BALANS'!G83+'6. T3 BALANS'!G89</f>
        <v>0</v>
      </c>
      <c r="H36" s="697">
        <f>'6. T3 BALANS'!H83+'6. T3 BALANS'!H89-'6. T3 BALANS'!G83-'6. T3 BALANS'!G89</f>
        <v>0</v>
      </c>
      <c r="I36" s="697">
        <f>'6. T3 BALANS'!I83+'6. T3 BALANS'!I89-'6. T3 BALANS'!H83-'6. T3 BALANS'!H89</f>
        <v>0</v>
      </c>
      <c r="J36" s="1020">
        <f>'6. T3 BALANS'!J83+'6. T3 BALANS'!J89-'6. T3 BALANS'!I83-'6. T3 BALANS'!I89</f>
        <v>0</v>
      </c>
      <c r="L36" s="551"/>
      <c r="M36" s="974" t="s">
        <v>301</v>
      </c>
      <c r="N36" s="975"/>
      <c r="O36" s="976"/>
      <c r="P36" s="978"/>
      <c r="Q36" s="1335">
        <f>IF(Q35=0,0,IF(Q35&gt;40%,"Bra",IF(Q35&lt;20%,"Svag","Tillfredställande")))</f>
        <v>0</v>
      </c>
      <c r="R36" s="1335">
        <f>IF(R35=0,0,IF(R35&gt;40%,"Bra",IF(R35&lt;20%,"Svag","Tillfredställande")))</f>
        <v>0</v>
      </c>
      <c r="S36" s="1335">
        <f>IF(S35=0,0,IF(S35&gt;40%,"Bra",IF(S35&lt;20%,"Svag","Tillfredställande")))</f>
        <v>0</v>
      </c>
      <c r="T36" s="1337">
        <f>IF(T35=0,0,IF(T35&gt;40%,"Bra",IF(T35&lt;20%,"Svag","Tillfredställande")))</f>
        <v>0</v>
      </c>
    </row>
    <row r="37" spans="1:25" ht="12.65" customHeight="1">
      <c r="A37" s="6"/>
      <c r="B37" s="486">
        <v>22</v>
      </c>
      <c r="C37" s="469" t="s">
        <v>290</v>
      </c>
      <c r="D37" s="469"/>
      <c r="E37" s="471" t="s">
        <v>16</v>
      </c>
      <c r="F37" s="713"/>
      <c r="G37" s="1110">
        <v>0</v>
      </c>
      <c r="H37" s="697">
        <f>-IF('6. T3 BALANS'!H77-'6. T3 BALANS'!G77&lt;0,'6. T3 BALANS'!H77-'6. T3 BALANS'!G77,0)-IF('6. T3 BALANS'!H78-'6. T3 BALANS'!G78&lt;0,'6. T3 BALANS'!H78-'6. T3 BALANS'!G78,0)</f>
        <v>0</v>
      </c>
      <c r="I37" s="697">
        <f>-IF('6. T3 BALANS'!I77-'6. T3 BALANS'!H77&lt;0,'6. T3 BALANS'!I77-'6. T3 BALANS'!H77,0)-IF('6. T3 BALANS'!I78-'6. T3 BALANS'!H78&lt;0,'6. T3 BALANS'!I78-'6. T3 BALANS'!H78,0)</f>
        <v>0</v>
      </c>
      <c r="J37" s="1020">
        <f>-IF('6. T3 BALANS'!J77-'6. T3 BALANS'!I77&lt;0,'6. T3 BALANS'!J77-'6. T3 BALANS'!I77,0)-IF('6. T3 BALANS'!J78-'6. T3 BALANS'!I78&lt;0,'6. T3 BALANS'!J78-'6. T3 BALANS'!I78,0)</f>
        <v>0</v>
      </c>
      <c r="L37" s="447" t="s">
        <v>553</v>
      </c>
      <c r="M37" s="1013"/>
      <c r="N37" s="526"/>
      <c r="O37" s="546"/>
      <c r="P37" s="723"/>
      <c r="Q37" s="1133">
        <f>IF('6. T3 BALANS'!G56=0,0,('6. T3 BALANS'!G67+'6. T3 BALANS'!G75+'6. T3 BALANS'!G78-'6. T3 BALANS'!G48-'6. T3 BALANS'!G49)/'6. T3 BALANS'!G56)</f>
        <v>0</v>
      </c>
      <c r="R37" s="1133">
        <f>IF('6. T3 BALANS'!H56=0,0,('6. T3 BALANS'!H67+'6. T3 BALANS'!H75+'6. T3 BALANS'!H78-'6. T3 BALANS'!H48-'6. T3 BALANS'!H49)/'6. T3 BALANS'!H56)</f>
        <v>0</v>
      </c>
      <c r="S37" s="1133">
        <f>IF('6. T3 BALANS'!I56=0,0,('6. T3 BALANS'!I67+'6. T3 BALANS'!I75+'6. T3 BALANS'!I78-'6. T3 BALANS'!I48-'6. T3 BALANS'!I49)/'6. T3 BALANS'!I56)</f>
        <v>0</v>
      </c>
      <c r="T37" s="1331">
        <f>IF('6. T3 BALANS'!J56=0,0,('6. T3 BALANS'!J67+'6. T3 BALANS'!J75+'6. T3 BALANS'!J78-'6. T3 BALANS'!J48-'6. T3 BALANS'!J49)/'6. T3 BALANS'!J56)</f>
        <v>0</v>
      </c>
      <c r="Y37">
        <v>0</v>
      </c>
    </row>
    <row r="38" spans="1:25" ht="12.65" customHeight="1">
      <c r="A38" s="6"/>
      <c r="B38" s="486">
        <v>23</v>
      </c>
      <c r="C38" s="469" t="s">
        <v>291</v>
      </c>
      <c r="D38" s="469"/>
      <c r="E38" s="471" t="s">
        <v>16</v>
      </c>
      <c r="F38" s="711"/>
      <c r="G38" s="1112">
        <f>Q48</f>
        <v>0</v>
      </c>
      <c r="H38" s="680">
        <f>R48</f>
        <v>0</v>
      </c>
      <c r="I38" s="680">
        <f>S48</f>
        <v>0</v>
      </c>
      <c r="J38" s="1113">
        <f>T48</f>
        <v>0</v>
      </c>
      <c r="L38" s="551"/>
      <c r="M38" s="974" t="s">
        <v>301</v>
      </c>
      <c r="N38" s="975"/>
      <c r="O38" s="979"/>
      <c r="P38" s="980"/>
      <c r="Q38" s="1335" t="str">
        <f>IF('6. T3 BALANS'!G98=0,"",IF('6. T3 BALANS'!G56&lt;0,"Svag",IF(Q37&lt;0,"Nettoskuldfri",IF(Q37&gt;1,"","Bra"))))</f>
        <v/>
      </c>
      <c r="R38" s="1335" t="str">
        <f>IF('6. T3 BALANS'!H98=0,"",IF('6. T3 BALANS'!H56&lt;0,"Svag",IF(R37&lt;0,"Nettoskuldfri",IF(R37&gt;1,"","Bra"))))</f>
        <v/>
      </c>
      <c r="S38" s="1335" t="str">
        <f>IF('6. T3 BALANS'!I98=0,"",IF('6. T3 BALANS'!I56&lt;0,"Svag",IF(S37&lt;0,"Nettoskuldfri",IF(S37&gt;1,"","Bra"))))</f>
        <v/>
      </c>
      <c r="T38" s="1336" t="str">
        <f>IF('6. T3 BALANS'!J98=0,"",IF('6. T3 BALANS'!J56&lt;0,"Svag",IF(T37&lt;0,"Nettoskuldfri",IF(T37&gt;1,"","Bra"))))</f>
        <v/>
      </c>
      <c r="V38" s="572" t="s">
        <v>0</v>
      </c>
    </row>
    <row r="39" spans="1:25" ht="12.65" customHeight="1">
      <c r="A39" s="249"/>
      <c r="B39" s="486">
        <v>24</v>
      </c>
      <c r="C39" s="1937" t="s">
        <v>174</v>
      </c>
      <c r="D39" s="1937"/>
      <c r="E39" s="472" t="s">
        <v>16</v>
      </c>
      <c r="F39" s="713"/>
      <c r="G39" s="697">
        <f>'1. T1 INVESTERINGSP.'!D38</f>
        <v>0</v>
      </c>
      <c r="H39" s="697">
        <f>'1. T1 INVESTERINGSP.'!E38</f>
        <v>0</v>
      </c>
      <c r="I39" s="697">
        <f>'1. T1 INVESTERINGSP.'!F38</f>
        <v>0</v>
      </c>
      <c r="J39" s="1020">
        <f>'1. T1 INVESTERINGSP.'!G38</f>
        <v>0</v>
      </c>
      <c r="L39" s="552" t="s">
        <v>604</v>
      </c>
      <c r="M39" s="545"/>
      <c r="N39" s="545"/>
      <c r="O39" s="545"/>
      <c r="P39" s="553"/>
      <c r="Q39" s="143"/>
      <c r="R39" s="143"/>
      <c r="S39" s="143"/>
      <c r="T39" s="1131"/>
    </row>
    <row r="40" spans="1:25" ht="12.65" customHeight="1">
      <c r="A40" s="41"/>
      <c r="B40" s="486">
        <v>25</v>
      </c>
      <c r="C40" s="526" t="s">
        <v>283</v>
      </c>
      <c r="D40" s="526"/>
      <c r="E40" s="628"/>
      <c r="F40" s="711"/>
      <c r="G40" s="697">
        <f>G23+G24+G25+G26+G27+G28+G29+G35-G36+G37+G38+G39+G34+G30+G31+G32+G33</f>
        <v>0</v>
      </c>
      <c r="H40" s="697">
        <f t="shared" ref="H40:J40" si="3">H23+H24+H25+H26+H27+H28+H29+H35-H36+H37+H38+H39+H34+H30+H31+H32+H33</f>
        <v>0</v>
      </c>
      <c r="I40" s="697">
        <f t="shared" si="3"/>
        <v>0</v>
      </c>
      <c r="J40" s="1020">
        <f t="shared" si="3"/>
        <v>0</v>
      </c>
      <c r="K40" s="2"/>
      <c r="L40" s="1959" t="s">
        <v>305</v>
      </c>
      <c r="M40" s="1960"/>
      <c r="N40" s="1960"/>
      <c r="O40" s="1961"/>
      <c r="P40" s="723"/>
      <c r="Q40" s="1076">
        <f>('3. E1 KOSTNADER'!D11+'3. E1 KOSTNADER'!D32+'3. E1 KOSTNADER'!D39+'3. E1 KOSTNADER'!D41)/'7. T2 RESULTATB.'!G33</f>
        <v>0</v>
      </c>
      <c r="R40" s="1076">
        <f>('3. E1 KOSTNADER'!F11+'3. E1 KOSTNADER'!F32+'3. E1 KOSTNADER'!F39+'3. E1 KOSTNADER'!F41)/'7. T2 RESULTATB.'!I33</f>
        <v>0</v>
      </c>
      <c r="S40" s="1076">
        <f>('3. E1 KOSTNADER'!H11+'3. E1 KOSTNADER'!H32+'3. E1 KOSTNADER'!H39+'3. E1 KOSTNADER'!H41)/'7. T2 RESULTATB.'!K33</f>
        <v>0</v>
      </c>
      <c r="T40" s="1132">
        <f>('3. E1 KOSTNADER'!J11+'3. E1 KOSTNADER'!J32+'3. E1 KOSTNADER'!J39+'3. E1 KOSTNADER'!J41)/'7. T2 RESULTATB.'!M33</f>
        <v>0</v>
      </c>
    </row>
    <row r="41" spans="1:25" ht="12.65" customHeight="1" thickBot="1">
      <c r="A41" s="249"/>
      <c r="B41" s="486">
        <v>26</v>
      </c>
      <c r="C41" s="467" t="s">
        <v>515</v>
      </c>
      <c r="D41" s="467"/>
      <c r="E41" s="628"/>
      <c r="F41" s="714"/>
      <c r="G41" s="1114">
        <f>G20-G40</f>
        <v>0</v>
      </c>
      <c r="H41" s="1114">
        <f>H20-H40</f>
        <v>0</v>
      </c>
      <c r="I41" s="1114">
        <f>I20-I40</f>
        <v>0</v>
      </c>
      <c r="J41" s="1107">
        <f>J20-J40</f>
        <v>0</v>
      </c>
      <c r="L41" s="1959" t="s">
        <v>306</v>
      </c>
      <c r="M41" s="1960"/>
      <c r="N41" s="1960"/>
      <c r="O41" s="1961"/>
      <c r="P41" s="724"/>
      <c r="Q41" s="697">
        <f>'3. E1 KOSTNADER'!D44/'7. T2 RESULTATB.'!G33</f>
        <v>0</v>
      </c>
      <c r="R41" s="697">
        <f>'3. E1 KOSTNADER'!F44/'7. T2 RESULTATB.'!I33</f>
        <v>0</v>
      </c>
      <c r="S41" s="697">
        <f>'3. E1 KOSTNADER'!H44/'7. T2 RESULTATB.'!K33</f>
        <v>0</v>
      </c>
      <c r="T41" s="1020">
        <f>'3. E1 KOSTNADER'!J44/'7. T2 RESULTATB.'!M33</f>
        <v>0</v>
      </c>
    </row>
    <row r="42" spans="1:25" ht="12.65" customHeight="1" thickBot="1">
      <c r="A42" s="41"/>
      <c r="B42" s="492">
        <v>27</v>
      </c>
      <c r="C42" s="515" t="s">
        <v>292</v>
      </c>
      <c r="D42" s="515"/>
      <c r="E42" s="498">
        <v>0</v>
      </c>
      <c r="F42" s="499"/>
      <c r="G42" s="1115">
        <f>G41+F42</f>
        <v>0</v>
      </c>
      <c r="H42" s="1115">
        <f>H41+G42</f>
        <v>0</v>
      </c>
      <c r="I42" s="1115">
        <f>I41+H42</f>
        <v>0</v>
      </c>
      <c r="J42" s="1116">
        <f>J41+I42</f>
        <v>0</v>
      </c>
      <c r="L42" s="347" t="s">
        <v>605</v>
      </c>
      <c r="M42" s="139"/>
      <c r="N42" s="139"/>
      <c r="O42" s="470"/>
      <c r="P42" s="718"/>
      <c r="Q42" s="1495">
        <f>'5. T4 FINANSIERINGSB.'!G11</f>
        <v>2025</v>
      </c>
      <c r="R42" s="1495">
        <f>'5. T4 FINANSIERINGSB.'!H11</f>
        <v>2026</v>
      </c>
      <c r="S42" s="1495">
        <f>'5. T4 FINANSIERINGSB.'!I11</f>
        <v>2027</v>
      </c>
      <c r="T42" s="1496">
        <f>'5. T4 FINANSIERINGSB.'!J11</f>
        <v>2028</v>
      </c>
    </row>
    <row r="43" spans="1:25" ht="12.75" customHeight="1" thickBot="1">
      <c r="A43" s="249"/>
      <c r="G43" s="41"/>
      <c r="H43" s="41"/>
      <c r="I43" s="41"/>
      <c r="J43" s="41"/>
      <c r="L43" s="542" t="s">
        <v>307</v>
      </c>
      <c r="M43" s="139"/>
      <c r="N43" s="139"/>
      <c r="O43" s="470"/>
      <c r="P43" s="717"/>
      <c r="Q43" s="697">
        <f>'6. T3 BALANS'!G98</f>
        <v>0</v>
      </c>
      <c r="R43" s="697">
        <f>'6. T3 BALANS'!H98</f>
        <v>0</v>
      </c>
      <c r="S43" s="697">
        <f>'6. T3 BALANS'!I98</f>
        <v>0</v>
      </c>
      <c r="T43" s="1020">
        <f>'6. T3 BALANS'!J98</f>
        <v>0</v>
      </c>
    </row>
    <row r="44" spans="1:25" ht="12.75" customHeight="1">
      <c r="A44" s="6"/>
      <c r="B44" s="1939" t="s">
        <v>598</v>
      </c>
      <c r="C44" s="1940"/>
      <c r="D44" s="1940"/>
      <c r="E44" s="1941"/>
      <c r="F44" s="1492"/>
      <c r="G44" s="1493" t="str">
        <f t="shared" ref="G44:J45" si="4">G10</f>
        <v>Prognos 1</v>
      </c>
      <c r="H44" s="1493" t="str">
        <f t="shared" si="4"/>
        <v>Prognos 2</v>
      </c>
      <c r="I44" s="1493" t="str">
        <f t="shared" si="4"/>
        <v>Prognos 3</v>
      </c>
      <c r="J44" s="1494" t="str">
        <f t="shared" si="4"/>
        <v>Prognos 4</v>
      </c>
      <c r="L44" s="549" t="s">
        <v>308</v>
      </c>
      <c r="M44" s="526"/>
      <c r="N44" s="526"/>
      <c r="O44" s="544"/>
      <c r="P44" s="717"/>
      <c r="Q44" s="697">
        <f>-('6. T3 BALANS'!G67+'6. T3 BALANS'!G74)</f>
        <v>0</v>
      </c>
      <c r="R44" s="697">
        <f>-('6. T3 BALANS'!H67+'6. T3 BALANS'!H74)</f>
        <v>0</v>
      </c>
      <c r="S44" s="697">
        <f>-('6. T3 BALANS'!I67+'6. T3 BALANS'!I74)</f>
        <v>0</v>
      </c>
      <c r="T44" s="1020">
        <f>-('6. T3 BALANS'!J67+'6. T3 BALANS'!J74)</f>
        <v>0</v>
      </c>
    </row>
    <row r="45" spans="1:25" ht="12.75" customHeight="1">
      <c r="A45" s="249"/>
      <c r="B45" s="1942"/>
      <c r="C45" s="1943"/>
      <c r="D45" s="1943"/>
      <c r="E45" s="1944"/>
      <c r="F45" s="1481"/>
      <c r="G45" s="1491">
        <f t="shared" si="4"/>
        <v>2025</v>
      </c>
      <c r="H45" s="1491">
        <f t="shared" si="4"/>
        <v>2026</v>
      </c>
      <c r="I45" s="1491">
        <f t="shared" si="4"/>
        <v>2027</v>
      </c>
      <c r="J45" s="1473">
        <f t="shared" si="4"/>
        <v>2028</v>
      </c>
      <c r="L45" s="1959" t="s">
        <v>309</v>
      </c>
      <c r="M45" s="1960"/>
      <c r="N45" s="1960"/>
      <c r="O45" s="1961"/>
      <c r="P45" s="725"/>
      <c r="Q45" s="680">
        <v>0</v>
      </c>
      <c r="R45" s="680">
        <v>0</v>
      </c>
      <c r="S45" s="680">
        <v>0</v>
      </c>
      <c r="T45" s="1113">
        <v>0</v>
      </c>
    </row>
    <row r="46" spans="1:25" ht="12.75" customHeight="1">
      <c r="A46" s="41"/>
      <c r="B46" s="212">
        <v>28</v>
      </c>
      <c r="C46" s="178" t="s">
        <v>231</v>
      </c>
      <c r="E46" s="464" t="s">
        <v>16</v>
      </c>
      <c r="F46" s="715"/>
      <c r="G46" s="1117">
        <f>IF('7. T2 RESULTATB.'!G14=0,0,'5. T4 FINANSIERINGSB.'!G47*'7. T2 RESULTATB.'!G11)</f>
        <v>0</v>
      </c>
      <c r="H46" s="1117">
        <f>IF('7. T2 RESULTATB.'!I14=0,0,'5. T4 FINANSIERINGSB.'!H47*'7. T2 RESULTATB.'!I11)</f>
        <v>0</v>
      </c>
      <c r="I46" s="1117">
        <f>IF('7. T2 RESULTATB.'!K14=0,0,'5. T4 FINANSIERINGSB.'!I47*'7. T2 RESULTATB.'!K11)</f>
        <v>0</v>
      </c>
      <c r="J46" s="1118">
        <f>IF('7. T2 RESULTATB.'!M14=0,0,'5. T4 FINANSIERINGSB.'!J47*'7. T2 RESULTATB.'!M11)</f>
        <v>0</v>
      </c>
      <c r="L46" s="1959" t="s">
        <v>310</v>
      </c>
      <c r="M46" s="1960"/>
      <c r="N46" s="1960"/>
      <c r="O46" s="1961"/>
      <c r="P46" s="725"/>
      <c r="Q46" s="680">
        <v>0</v>
      </c>
      <c r="R46" s="680">
        <v>0</v>
      </c>
      <c r="S46" s="680">
        <v>0</v>
      </c>
      <c r="T46" s="1113">
        <v>0</v>
      </c>
    </row>
    <row r="47" spans="1:25" ht="12.75" customHeight="1">
      <c r="A47" s="249"/>
      <c r="B47" s="212"/>
      <c r="C47" s="1934" t="s">
        <v>554</v>
      </c>
      <c r="D47" s="1934"/>
      <c r="E47" s="967"/>
      <c r="F47" s="968"/>
      <c r="G47" s="1014">
        <v>0.1</v>
      </c>
      <c r="H47" s="1014">
        <f>G47</f>
        <v>0.1</v>
      </c>
      <c r="I47" s="1014">
        <f>H47</f>
        <v>0.1</v>
      </c>
      <c r="J47" s="1015">
        <f>I47</f>
        <v>0.1</v>
      </c>
      <c r="L47" s="549" t="s">
        <v>311</v>
      </c>
      <c r="M47" s="547"/>
      <c r="N47" s="547"/>
      <c r="O47" s="546"/>
      <c r="P47" s="726"/>
      <c r="Q47" s="1117">
        <f>Q43+Q44-Q45-Q46</f>
        <v>0</v>
      </c>
      <c r="R47" s="1117">
        <f>R43+R44-R45-R46</f>
        <v>0</v>
      </c>
      <c r="S47" s="1117">
        <f>S43+S44-S45-S46</f>
        <v>0</v>
      </c>
      <c r="T47" s="1118">
        <f>T43+T44-T45-T46</f>
        <v>0</v>
      </c>
    </row>
    <row r="48" spans="1:25" ht="12.75" customHeight="1">
      <c r="A48" s="6"/>
      <c r="B48" s="212">
        <v>29</v>
      </c>
      <c r="C48" s="608" t="s">
        <v>313</v>
      </c>
      <c r="D48" s="608"/>
      <c r="E48" s="571" t="s">
        <v>16</v>
      </c>
      <c r="F48" s="713"/>
      <c r="G48" s="697">
        <f>G49*('4. E2 OMSÄTTNING'!E10+'4. E2 OMSÄTTNING'!E13)/365</f>
        <v>0</v>
      </c>
      <c r="H48" s="697">
        <f>H49*('4. E2 OMSÄTTNING'!F10+'4. E2 OMSÄTTNING'!F13)/365</f>
        <v>0</v>
      </c>
      <c r="I48" s="697">
        <f>I49*('4. E2 OMSÄTTNING'!G10+'4. E2 OMSÄTTNING'!G13)/365</f>
        <v>0</v>
      </c>
      <c r="J48" s="1020">
        <f>J49*('4. E2 OMSÄTTNING'!H10+'4. E2 OMSÄTTNING'!H13)/365</f>
        <v>0</v>
      </c>
      <c r="L48" s="549" t="s">
        <v>493</v>
      </c>
      <c r="M48" s="526"/>
      <c r="N48" s="526"/>
      <c r="O48" s="544"/>
      <c r="P48" s="727"/>
      <c r="Q48" s="680"/>
      <c r="R48" s="680">
        <f>IF(Q47&lt;0,0,8%*Q47)</f>
        <v>0</v>
      </c>
      <c r="S48" s="680">
        <f>IF(R47&lt;0,0,8%*R47)</f>
        <v>0</v>
      </c>
      <c r="T48" s="1113">
        <f>IF(S47&lt;0,0,8%*S47)</f>
        <v>0</v>
      </c>
    </row>
    <row r="49" spans="1:20" ht="12.75" customHeight="1">
      <c r="A49" s="41"/>
      <c r="B49" s="212"/>
      <c r="C49" s="1945" t="s">
        <v>240</v>
      </c>
      <c r="D49" s="1945"/>
      <c r="E49" s="969"/>
      <c r="F49" s="970"/>
      <c r="G49" s="1119">
        <v>14</v>
      </c>
      <c r="H49" s="1119">
        <f t="shared" ref="H49:J50" si="5">G49</f>
        <v>14</v>
      </c>
      <c r="I49" s="1119">
        <f t="shared" si="5"/>
        <v>14</v>
      </c>
      <c r="J49" s="1120">
        <f t="shared" si="5"/>
        <v>14</v>
      </c>
      <c r="L49" s="1963" t="s">
        <v>312</v>
      </c>
      <c r="M49" s="1964"/>
      <c r="N49" s="1964"/>
      <c r="O49" s="1964"/>
      <c r="P49" s="1965"/>
      <c r="Q49" s="981">
        <f>IF(Q48=0,0,Q48/P47)</f>
        <v>0</v>
      </c>
      <c r="R49" s="1338">
        <f>IF(R48=0,0,R48/Q47)</f>
        <v>0</v>
      </c>
      <c r="S49" s="1338">
        <f>IF(S48=0,0,S48/R47)</f>
        <v>0</v>
      </c>
      <c r="T49" s="1339">
        <f>IF(T48=0,0,T48/S47)</f>
        <v>0</v>
      </c>
    </row>
    <row r="50" spans="1:20" ht="12.75" customHeight="1">
      <c r="A50" s="249"/>
      <c r="B50" s="212">
        <v>30</v>
      </c>
      <c r="C50" s="607" t="s">
        <v>314</v>
      </c>
      <c r="D50" s="607"/>
      <c r="E50" s="466" t="s">
        <v>16</v>
      </c>
      <c r="F50" s="713"/>
      <c r="G50" s="680">
        <v>0</v>
      </c>
      <c r="H50" s="680">
        <f t="shared" si="5"/>
        <v>0</v>
      </c>
      <c r="I50" s="680">
        <f t="shared" si="5"/>
        <v>0</v>
      </c>
      <c r="J50" s="1113">
        <f t="shared" si="5"/>
        <v>0</v>
      </c>
      <c r="L50" s="2417"/>
      <c r="M50" s="2418"/>
      <c r="N50" s="2418"/>
      <c r="O50" s="2418"/>
      <c r="P50" s="2418"/>
      <c r="Q50" s="2418"/>
      <c r="R50" s="2418"/>
      <c r="S50" s="2418"/>
      <c r="T50" s="2419"/>
    </row>
    <row r="51" spans="1:20" ht="12.75" customHeight="1">
      <c r="A51" s="249"/>
      <c r="B51" s="212">
        <v>31</v>
      </c>
      <c r="C51" s="1938" t="s">
        <v>558</v>
      </c>
      <c r="D51" s="1938"/>
      <c r="E51" s="466" t="s">
        <v>16</v>
      </c>
      <c r="F51" s="713"/>
      <c r="G51" s="373">
        <f>30%*('3. E1 KOSTNADER'!D74+'3. E1 KOSTNADER'!D81+'3. E1 KOSTNADER'!D113+'3. E1 KOSTNADER'!D114+'3. E1 KOSTNADER'!D120)</f>
        <v>0</v>
      </c>
      <c r="H51" s="373">
        <f>30%*('3. E1 KOSTNADER'!F74+'3. E1 KOSTNADER'!F81+'3. E1 KOSTNADER'!F113+'3. E1 KOSTNADER'!F114+'3. E1 KOSTNADER'!F120)</f>
        <v>0</v>
      </c>
      <c r="I51" s="373">
        <f>30%*('3. E1 KOSTNADER'!H74+'3. E1 KOSTNADER'!H81+'3. E1 KOSTNADER'!H113+'3. E1 KOSTNADER'!H114+'3. E1 KOSTNADER'!H120)</f>
        <v>0</v>
      </c>
      <c r="J51" s="1111">
        <f>30%*('3. E1 KOSTNADER'!J74+'3. E1 KOSTNADER'!J81+'3. E1 KOSTNADER'!J113+'3. E1 KOSTNADER'!J114+'3. E1 KOSTNADER'!J120)</f>
        <v>0</v>
      </c>
      <c r="L51" s="2417"/>
      <c r="M51" s="2418"/>
      <c r="N51" s="2418"/>
      <c r="O51" s="2418"/>
      <c r="P51" s="2418"/>
      <c r="Q51" s="2418"/>
      <c r="R51" s="2418"/>
      <c r="S51" s="2418"/>
      <c r="T51" s="2419"/>
    </row>
    <row r="52" spans="1:20" ht="12.75" customHeight="1">
      <c r="A52" s="249"/>
      <c r="B52" s="212">
        <v>32</v>
      </c>
      <c r="C52" s="607" t="s">
        <v>552</v>
      </c>
      <c r="D52" s="607"/>
      <c r="E52" s="466" t="s">
        <v>16</v>
      </c>
      <c r="F52" s="713"/>
      <c r="G52" s="697">
        <f>G53*'7. T2 RESULTATB.'!G11</f>
        <v>0</v>
      </c>
      <c r="H52" s="697">
        <f>H53*'7. T2 RESULTATB.'!I11</f>
        <v>0</v>
      </c>
      <c r="I52" s="697">
        <f>I53*'7. T2 RESULTATB.'!K11</f>
        <v>0</v>
      </c>
      <c r="J52" s="1020">
        <f>J53*'7. T2 RESULTATB.'!M11</f>
        <v>0</v>
      </c>
      <c r="L52" s="2417"/>
      <c r="M52" s="2418"/>
      <c r="N52" s="2418"/>
      <c r="O52" s="2418"/>
      <c r="P52" s="2418"/>
      <c r="Q52" s="2418"/>
      <c r="R52" s="2418"/>
      <c r="S52" s="2418"/>
      <c r="T52" s="2419"/>
    </row>
    <row r="53" spans="1:20" ht="12.75" customHeight="1">
      <c r="B53" s="212"/>
      <c r="C53" s="1934" t="s">
        <v>543</v>
      </c>
      <c r="D53" s="1934"/>
      <c r="E53" s="971"/>
      <c r="F53" s="972"/>
      <c r="G53" s="1121">
        <v>0.05</v>
      </c>
      <c r="H53" s="1122">
        <f>G53</f>
        <v>0.05</v>
      </c>
      <c r="I53" s="1122">
        <f>H53</f>
        <v>0.05</v>
      </c>
      <c r="J53" s="1123">
        <f>I53</f>
        <v>0.05</v>
      </c>
      <c r="L53" s="2417"/>
      <c r="M53" s="2418"/>
      <c r="N53" s="2418"/>
      <c r="O53" s="2418"/>
      <c r="P53" s="2418"/>
      <c r="Q53" s="2418"/>
      <c r="R53" s="2418"/>
      <c r="S53" s="2418"/>
      <c r="T53" s="2419"/>
    </row>
    <row r="54" spans="1:20" ht="12.75" customHeight="1">
      <c r="B54" s="212">
        <v>33</v>
      </c>
      <c r="C54" s="512" t="s">
        <v>315</v>
      </c>
      <c r="D54" s="512"/>
      <c r="E54" s="466" t="s">
        <v>17</v>
      </c>
      <c r="F54" s="713"/>
      <c r="G54" s="697">
        <f>IF('7. T2 RESULTATB.'!G11=0,0,G55*('4. E2 OMSÄTTNING'!E11+'AT2 Lainat, sotum., alv'!D58+'AT2 Lainat, sotum., alv'!D60)/365)</f>
        <v>0</v>
      </c>
      <c r="H54" s="697">
        <f>IF('7. T2 RESULTATB.'!I11=0,0,H55*('4. E2 OMSÄTTNING'!F11+'AT2 Lainat, sotum., alv'!F58+'AT2 Lainat, sotum., alv'!F60)/365)</f>
        <v>0</v>
      </c>
      <c r="I54" s="697">
        <f>IF('7. T2 RESULTATB.'!K11=0,0,I55*('4. E2 OMSÄTTNING'!G11+'AT2 Lainat, sotum., alv'!H58+'AT2 Lainat, sotum., alv'!H60)/365)</f>
        <v>0</v>
      </c>
      <c r="J54" s="1020">
        <f>IF('7. T2 RESULTATB.'!M11=0,0,J55*('4. E2 OMSÄTTNING'!H11+'AT2 Lainat, sotum., alv'!J58+'AT2 Lainat, sotum., alv'!J60)/365)</f>
        <v>0</v>
      </c>
      <c r="L54" s="2417"/>
      <c r="M54" s="2418"/>
      <c r="N54" s="2418"/>
      <c r="O54" s="2418"/>
      <c r="P54" s="2418"/>
      <c r="Q54" s="2418"/>
      <c r="R54" s="2418"/>
      <c r="S54" s="2418"/>
      <c r="T54" s="2419"/>
    </row>
    <row r="55" spans="1:20" ht="12.75" customHeight="1">
      <c r="B55" s="212"/>
      <c r="C55" s="1934" t="s">
        <v>275</v>
      </c>
      <c r="D55" s="1934"/>
      <c r="E55" s="971"/>
      <c r="F55" s="970"/>
      <c r="G55" s="1119">
        <v>14</v>
      </c>
      <c r="H55" s="1119">
        <f>G55</f>
        <v>14</v>
      </c>
      <c r="I55" s="1119">
        <f>H55</f>
        <v>14</v>
      </c>
      <c r="J55" s="1120">
        <f>I55</f>
        <v>14</v>
      </c>
      <c r="L55" s="2417"/>
      <c r="M55" s="2418"/>
      <c r="N55" s="2418"/>
      <c r="O55" s="2418"/>
      <c r="P55" s="2418"/>
      <c r="Q55" s="2418"/>
      <c r="R55" s="2418"/>
      <c r="S55" s="2418"/>
      <c r="T55" s="2419"/>
    </row>
    <row r="56" spans="1:20" ht="12.75" customHeight="1">
      <c r="B56" s="212">
        <v>34</v>
      </c>
      <c r="C56" s="512" t="s">
        <v>316</v>
      </c>
      <c r="D56" s="512"/>
      <c r="E56" s="466" t="s">
        <v>17</v>
      </c>
      <c r="F56" s="713"/>
      <c r="G56" s="697">
        <f>G57*'7. T2 RESULTATB.'!G11</f>
        <v>0</v>
      </c>
      <c r="H56" s="697">
        <f>H57*'7. T2 RESULTATB.'!I11</f>
        <v>0</v>
      </c>
      <c r="I56" s="697">
        <f>I57*'7. T2 RESULTATB.'!K11</f>
        <v>0</v>
      </c>
      <c r="J56" s="1020">
        <f>J57*'7. T2 RESULTATB.'!M11</f>
        <v>0</v>
      </c>
      <c r="L56" s="2417"/>
      <c r="M56" s="2418"/>
      <c r="N56" s="2418"/>
      <c r="O56" s="2418"/>
      <c r="P56" s="2418"/>
      <c r="Q56" s="2418"/>
      <c r="R56" s="2418"/>
      <c r="S56" s="2418"/>
      <c r="T56" s="2419"/>
    </row>
    <row r="57" spans="1:20" ht="12.75" customHeight="1">
      <c r="B57" s="212"/>
      <c r="C57" s="1934" t="s">
        <v>526</v>
      </c>
      <c r="D57" s="1934"/>
      <c r="E57" s="971"/>
      <c r="F57" s="973"/>
      <c r="G57" s="1124">
        <v>0</v>
      </c>
      <c r="H57" s="1124">
        <f>G57</f>
        <v>0</v>
      </c>
      <c r="I57" s="1124">
        <f>H57</f>
        <v>0</v>
      </c>
      <c r="J57" s="1123">
        <f>I57</f>
        <v>0</v>
      </c>
      <c r="L57" s="2417"/>
      <c r="M57" s="2418"/>
      <c r="N57" s="2418"/>
      <c r="O57" s="2418"/>
      <c r="P57" s="2418"/>
      <c r="Q57" s="2418"/>
      <c r="R57" s="2418"/>
      <c r="S57" s="2418"/>
      <c r="T57" s="2419"/>
    </row>
    <row r="58" spans="1:20" ht="12.75" customHeight="1">
      <c r="B58" s="212">
        <v>35</v>
      </c>
      <c r="C58" s="512" t="s">
        <v>317</v>
      </c>
      <c r="D58" s="512"/>
      <c r="E58" s="466" t="s">
        <v>37</v>
      </c>
      <c r="F58" s="713"/>
      <c r="G58" s="697">
        <f>G46+G48+G52-G54-G56+G50+G51</f>
        <v>0</v>
      </c>
      <c r="H58" s="697">
        <f>H46+H48+H52-H54-H56+H50+H51</f>
        <v>0</v>
      </c>
      <c r="I58" s="697">
        <f>I46+I48+I52-I54-I56+I50+I51</f>
        <v>0</v>
      </c>
      <c r="J58" s="1020">
        <f>J46+J48+J52-J54-J56+J50+J51</f>
        <v>0</v>
      </c>
      <c r="L58" s="2417"/>
      <c r="M58" s="2418"/>
      <c r="N58" s="2418"/>
      <c r="O58" s="2418"/>
      <c r="P58" s="2418"/>
      <c r="Q58" s="2418"/>
      <c r="R58" s="2418"/>
      <c r="S58" s="2418"/>
      <c r="T58" s="2419"/>
    </row>
    <row r="59" spans="1:20" ht="12.75" customHeight="1" thickBot="1">
      <c r="B59" s="582">
        <v>36</v>
      </c>
      <c r="C59" s="614" t="s">
        <v>318</v>
      </c>
      <c r="D59" s="614"/>
      <c r="E59" s="465" t="s">
        <v>20</v>
      </c>
      <c r="F59" s="716"/>
      <c r="G59" s="1125"/>
      <c r="H59" s="1114">
        <f>H58-G58</f>
        <v>0</v>
      </c>
      <c r="I59" s="1114">
        <f>I58-H58</f>
        <v>0</v>
      </c>
      <c r="J59" s="1107">
        <f>J58-I58</f>
        <v>0</v>
      </c>
      <c r="L59" s="2420"/>
      <c r="M59" s="2421"/>
      <c r="N59" s="2421"/>
      <c r="O59" s="2421"/>
      <c r="P59" s="2421"/>
      <c r="Q59" s="2421"/>
      <c r="R59" s="2421"/>
      <c r="S59" s="2421"/>
      <c r="T59" s="2422"/>
    </row>
    <row r="60" spans="1:20" ht="12.75" customHeight="1">
      <c r="J60" s="265">
        <f>'1. T1 INVESTERINGSP.'!H65</f>
        <v>0</v>
      </c>
      <c r="L60" s="52"/>
    </row>
    <row r="61" spans="1:20" ht="12.75" customHeight="1">
      <c r="B61" s="1933" t="str">
        <f>'1. T1 INVESTERINGSP.'!B66</f>
        <v>Tjänsten erbjuds av: Dynamo Närpes och Kristinestads näringslivscentral</v>
      </c>
      <c r="C61" s="1933"/>
      <c r="D61" s="1933"/>
      <c r="E61" s="1933"/>
      <c r="F61" s="1933"/>
      <c r="G61" s="1933"/>
      <c r="H61" s="609"/>
      <c r="I61" s="609"/>
      <c r="J61" s="609"/>
      <c r="L61" s="52" t="str">
        <f>STARTSIDAN!$G$26</f>
        <v xml:space="preserve">FT6 Det nya företagets resultatplan </v>
      </c>
    </row>
    <row r="62" spans="1:20" ht="12.75" customHeight="1"/>
    <row r="63" spans="1:20">
      <c r="G63" s="609"/>
      <c r="H63" s="609"/>
      <c r="I63" s="609"/>
      <c r="J63" s="609"/>
    </row>
    <row r="64" spans="1:20">
      <c r="B64" s="369" t="s">
        <v>190</v>
      </c>
    </row>
    <row r="65" spans="2:2">
      <c r="B65" s="52" t="s">
        <v>191</v>
      </c>
    </row>
    <row r="66" spans="2:2">
      <c r="B66" s="52" t="s">
        <v>192</v>
      </c>
    </row>
    <row r="68" spans="2:2" s="572" customFormat="1">
      <c r="B68" s="1775"/>
    </row>
    <row r="69" spans="2:2" s="572" customFormat="1">
      <c r="B69" s="1775"/>
    </row>
    <row r="70" spans="2:2" s="572" customFormat="1">
      <c r="B70" s="1775"/>
    </row>
    <row r="71" spans="2:2" s="572" customFormat="1">
      <c r="B71" s="1775"/>
    </row>
    <row r="72" spans="2:2" s="572" customFormat="1">
      <c r="B72" s="1775"/>
    </row>
    <row r="73" spans="2:2" s="572" customFormat="1">
      <c r="B73" s="1775"/>
    </row>
    <row r="74" spans="2:2" s="572" customFormat="1">
      <c r="B74" s="1775"/>
    </row>
    <row r="75" spans="2:2" s="572" customFormat="1">
      <c r="B75" s="1775"/>
    </row>
    <row r="76" spans="2:2" s="572" customFormat="1">
      <c r="B76" s="1775"/>
    </row>
    <row r="77" spans="2:2" s="572" customFormat="1">
      <c r="B77" s="1775"/>
    </row>
    <row r="78" spans="2:2" s="572" customFormat="1">
      <c r="B78" s="1775"/>
    </row>
    <row r="79" spans="2:2" s="572" customFormat="1">
      <c r="B79" s="1775"/>
    </row>
    <row r="80" spans="2:2" s="572" customFormat="1">
      <c r="B80" s="1775"/>
    </row>
    <row r="81" spans="2:2" s="572" customFormat="1">
      <c r="B81" s="1775"/>
    </row>
    <row r="82" spans="2:2" s="572" customFormat="1">
      <c r="B82" s="1775"/>
    </row>
    <row r="83" spans="2:2" s="572" customFormat="1">
      <c r="B83" s="1775"/>
    </row>
    <row r="84" spans="2:2" s="572" customFormat="1">
      <c r="B84" s="1775"/>
    </row>
    <row r="85" spans="2:2" s="572" customFormat="1">
      <c r="B85" s="1775"/>
    </row>
    <row r="86" spans="2:2" s="572" customFormat="1">
      <c r="B86" s="1775"/>
    </row>
    <row r="87" spans="2:2" s="572" customFormat="1">
      <c r="B87" s="1775"/>
    </row>
    <row r="99" spans="12:22" hidden="1"/>
    <row r="100" spans="12:22" hidden="1">
      <c r="L100" s="1382" t="s">
        <v>620</v>
      </c>
      <c r="M100" s="1377"/>
      <c r="N100" s="1377"/>
      <c r="O100" s="1377"/>
      <c r="P100" s="1377"/>
      <c r="Q100" s="1377" t="s">
        <v>621</v>
      </c>
      <c r="R100" s="1377" t="s">
        <v>21</v>
      </c>
      <c r="S100" s="1377" t="s">
        <v>23</v>
      </c>
      <c r="T100" s="1377" t="s">
        <v>86</v>
      </c>
    </row>
    <row r="101" spans="12:22" hidden="1">
      <c r="L101" s="1378" t="s">
        <v>622</v>
      </c>
      <c r="M101" s="1378"/>
      <c r="N101" s="1378"/>
      <c r="O101" s="1378"/>
      <c r="P101" s="1378"/>
      <c r="Q101" s="1378"/>
      <c r="R101" s="1378"/>
      <c r="S101" s="1378"/>
      <c r="T101" s="1378"/>
    </row>
    <row r="102" spans="12:22" hidden="1">
      <c r="L102" s="1378" t="s">
        <v>623</v>
      </c>
      <c r="M102" s="1378"/>
      <c r="N102" s="1378"/>
      <c r="O102" s="1378"/>
      <c r="P102" s="1378"/>
      <c r="Q102" s="1379">
        <f>Q20+'7. T2 RESULTATB.'!G24-'7. T2 RESULTATB.'!G25+'7. T2 RESULTATB.'!G27</f>
        <v>0</v>
      </c>
      <c r="R102" s="1379">
        <f>R20+'7. T2 RESULTATB.'!I24-'7. T2 RESULTATB.'!I25+'7. T2 RESULTATB.'!I27</f>
        <v>0</v>
      </c>
      <c r="S102" s="1379">
        <f>S20+'7. T2 RESULTATB.'!K24-'7. T2 RESULTATB.'!K25+'7. T2 RESULTATB.'!K27</f>
        <v>0</v>
      </c>
      <c r="T102" s="1379">
        <f>T20+'7. T2 RESULTATB.'!M24-'7. T2 RESULTATB.'!M25+'7. T2 RESULTATB.'!M27</f>
        <v>0</v>
      </c>
      <c r="V102">
        <v>0</v>
      </c>
    </row>
    <row r="103" spans="12:22" hidden="1">
      <c r="L103" s="1378" t="s">
        <v>624</v>
      </c>
      <c r="M103" s="1378"/>
      <c r="N103" s="1378"/>
      <c r="O103" s="1378"/>
      <c r="P103" s="1378"/>
      <c r="Q103" s="1379">
        <f>P104</f>
        <v>0</v>
      </c>
      <c r="R103" s="1379">
        <f>Q104</f>
        <v>0</v>
      </c>
      <c r="S103" s="1379">
        <f>R104</f>
        <v>0</v>
      </c>
      <c r="T103" s="1379">
        <f>S104</f>
        <v>0</v>
      </c>
    </row>
    <row r="104" spans="12:22" hidden="1">
      <c r="L104" s="1378" t="s">
        <v>625</v>
      </c>
      <c r="M104" s="1378"/>
      <c r="N104" s="1378"/>
      <c r="O104" s="1378"/>
      <c r="P104" s="1379">
        <f>'6. T3 BALANS'!F56</f>
        <v>0</v>
      </c>
      <c r="Q104" s="1379">
        <f>'6. T3 BALANS'!G56</f>
        <v>0</v>
      </c>
      <c r="R104" s="1379">
        <f>'6. T3 BALANS'!H56</f>
        <v>0</v>
      </c>
      <c r="S104" s="1379">
        <f>'6. T3 BALANS'!I56</f>
        <v>0</v>
      </c>
      <c r="T104" s="1379">
        <f>'6. T3 BALANS'!J56</f>
        <v>0</v>
      </c>
    </row>
    <row r="105" spans="12:22" hidden="1">
      <c r="L105" s="1378" t="s">
        <v>626</v>
      </c>
      <c r="M105" s="1378"/>
      <c r="N105" s="1378"/>
      <c r="O105" s="1378"/>
      <c r="P105" s="1378"/>
      <c r="Q105" s="1378">
        <f>(Q103+Q104)/2</f>
        <v>0</v>
      </c>
      <c r="R105" s="1378">
        <f>(R103+R104)/2</f>
        <v>0</v>
      </c>
      <c r="S105" s="1378">
        <f>(S103+S104)/2</f>
        <v>0</v>
      </c>
      <c r="T105" s="1378">
        <f>(T103+T104)/2</f>
        <v>0</v>
      </c>
    </row>
    <row r="106" spans="12:22" hidden="1">
      <c r="L106" s="1378"/>
      <c r="M106" s="1378"/>
      <c r="N106" s="1378"/>
      <c r="O106" s="1378"/>
      <c r="P106" s="1378"/>
      <c r="Q106" s="1378"/>
      <c r="R106" s="1378"/>
      <c r="S106" s="1378"/>
      <c r="T106" s="1378"/>
    </row>
    <row r="107" spans="12:22" hidden="1">
      <c r="L107" s="1378" t="s">
        <v>627</v>
      </c>
      <c r="M107" s="1378"/>
      <c r="N107" s="1378"/>
      <c r="O107" s="1378"/>
      <c r="P107" s="1378"/>
      <c r="Q107" s="1379">
        <f>P108</f>
        <v>0</v>
      </c>
      <c r="R107" s="1379">
        <f>Q108</f>
        <v>0</v>
      </c>
      <c r="S107" s="1379">
        <f t="shared" ref="S107:T107" si="6">R108</f>
        <v>0</v>
      </c>
      <c r="T107" s="1379">
        <f t="shared" si="6"/>
        <v>0</v>
      </c>
    </row>
    <row r="108" spans="12:22" hidden="1">
      <c r="L108" s="1378" t="s">
        <v>628</v>
      </c>
      <c r="M108" s="1378"/>
      <c r="N108" s="1378"/>
      <c r="O108" s="1378"/>
      <c r="P108" s="1378"/>
      <c r="Q108" s="1379">
        <f>'6. T3 BALANS'!G67+'6. T3 BALANS'!G75+'6. T3 BALANS'!G78+'6. T3 BALANS'!G82</f>
        <v>0</v>
      </c>
      <c r="R108" s="1379">
        <f>'6. T3 BALANS'!H67+'6. T3 BALANS'!H75+'6. T3 BALANS'!H78+'6. T3 BALANS'!H82</f>
        <v>0</v>
      </c>
      <c r="S108" s="1379">
        <f>'6. T3 BALANS'!I67+'6. T3 BALANS'!I75+'6. T3 BALANS'!I78+'6. T3 BALANS'!I82</f>
        <v>0</v>
      </c>
      <c r="T108" s="1379">
        <f>'6. T3 BALANS'!J6+'6. T3 BALANS'!J75+'6. T3 BALANS'!J78+'6. T3 BALANS'!J82</f>
        <v>0</v>
      </c>
    </row>
    <row r="109" spans="12:22" hidden="1">
      <c r="L109" s="1378" t="s">
        <v>629</v>
      </c>
      <c r="M109" s="1378"/>
      <c r="N109" s="1378"/>
      <c r="O109" s="1378"/>
      <c r="P109" s="1378"/>
      <c r="Q109" s="1378">
        <f>(Q107+Q108)/2</f>
        <v>0</v>
      </c>
      <c r="R109" s="1378">
        <f>(R107+R108)/2</f>
        <v>0</v>
      </c>
      <c r="S109" s="1378">
        <f>(S107+S108)/2</f>
        <v>0</v>
      </c>
      <c r="T109" s="1378">
        <f>(T107+T108)/2</f>
        <v>0</v>
      </c>
    </row>
    <row r="110" spans="12:22" hidden="1">
      <c r="L110" s="1378"/>
      <c r="M110" s="1378"/>
      <c r="N110" s="1378"/>
      <c r="O110" s="1378"/>
      <c r="P110" s="1378"/>
      <c r="Q110" s="1378"/>
      <c r="R110" s="1378"/>
      <c r="S110" s="1378"/>
      <c r="T110" s="1378"/>
    </row>
    <row r="111" spans="12:22" hidden="1">
      <c r="L111" s="1383" t="s">
        <v>630</v>
      </c>
      <c r="M111" s="1383"/>
      <c r="N111" s="1383"/>
      <c r="O111" s="1383"/>
      <c r="P111" s="1383"/>
      <c r="Q111" s="1384">
        <f>IF(Q105&lt;0,Q109,Q105+Q109)</f>
        <v>0</v>
      </c>
      <c r="R111" s="1384">
        <f>IF(R105&lt;0,R109,R105+R109)</f>
        <v>0</v>
      </c>
      <c r="S111" s="1384">
        <f t="shared" ref="S111:T111" si="7">IF(S105&lt;0,S109,S105+S109)</f>
        <v>0</v>
      </c>
      <c r="T111" s="1384">
        <f t="shared" si="7"/>
        <v>0</v>
      </c>
    </row>
    <row r="112" spans="12:22" hidden="1">
      <c r="L112" s="1378" t="s">
        <v>631</v>
      </c>
      <c r="M112" s="1380"/>
      <c r="N112" s="1380"/>
      <c r="O112" s="1380"/>
      <c r="P112" s="1380"/>
      <c r="Q112" s="1380"/>
      <c r="R112" s="1380"/>
      <c r="S112" s="1380"/>
      <c r="T112" s="1380"/>
    </row>
    <row r="113" spans="12:20" hidden="1">
      <c r="L113" s="1378" t="s">
        <v>632</v>
      </c>
      <c r="M113" s="1380"/>
      <c r="N113" s="1380"/>
      <c r="O113" s="1380"/>
      <c r="P113" s="1380"/>
      <c r="Q113" s="1380"/>
      <c r="R113" s="1380"/>
      <c r="S113" s="1380"/>
      <c r="T113" s="1380"/>
    </row>
    <row r="114" spans="12:20" hidden="1">
      <c r="L114" s="1962" t="s">
        <v>633</v>
      </c>
      <c r="M114" s="1962"/>
      <c r="N114" s="1962"/>
      <c r="O114" s="1962"/>
      <c r="P114" s="1962"/>
      <c r="Q114" s="1381">
        <f>Q108</f>
        <v>0</v>
      </c>
      <c r="R114" s="1381">
        <f t="shared" ref="R114:T114" si="8">R108</f>
        <v>0</v>
      </c>
      <c r="S114" s="1381">
        <f t="shared" si="8"/>
        <v>0</v>
      </c>
      <c r="T114" s="1381">
        <f t="shared" si="8"/>
        <v>0</v>
      </c>
    </row>
    <row r="115" spans="12:20" hidden="1">
      <c r="L115" s="139" t="s">
        <v>634</v>
      </c>
      <c r="M115" s="4"/>
      <c r="N115" s="4"/>
      <c r="O115" s="4"/>
      <c r="P115" s="4"/>
      <c r="Q115" s="32">
        <f>'6. T3 BALANS'!G48+'6. T3 BALANS'!G49</f>
        <v>0</v>
      </c>
      <c r="R115" s="32">
        <f>'6. T3 BALANS'!H48+'6. T3 BALANS'!H49</f>
        <v>0</v>
      </c>
      <c r="S115" s="32">
        <f>'6. T3 BALANS'!I48+'6. T3 BALANS'!I49</f>
        <v>0</v>
      </c>
      <c r="T115" s="32">
        <f>'6. T3 BALANS'!J48+'6. T3 BALANS'!J49</f>
        <v>0</v>
      </c>
    </row>
  </sheetData>
  <sheetProtection algorithmName="SHA-512" hashValue="vWb4dTh9SvZxofZgT+4y8x+kaa3Ma9QIQqizsvo9Jzarf2Ezn4Ejy7gFx1eNWiWsbeud+EtJ89XJQgxhOxzmug==" saltValue="miQ+pGwHhQLU2MWGHGF9rQ==" spinCount="100000" sheet="1" objects="1" scenarios="1" selectLockedCells="1"/>
  <mergeCells count="42">
    <mergeCell ref="E2:F2"/>
    <mergeCell ref="L114:P114"/>
    <mergeCell ref="L49:P49"/>
    <mergeCell ref="L46:O46"/>
    <mergeCell ref="L45:O45"/>
    <mergeCell ref="L40:O40"/>
    <mergeCell ref="L41:O41"/>
    <mergeCell ref="L25:O25"/>
    <mergeCell ref="L18:O18"/>
    <mergeCell ref="L20:O20"/>
    <mergeCell ref="L21:O21"/>
    <mergeCell ref="M22:O22"/>
    <mergeCell ref="L35:O35"/>
    <mergeCell ref="L32:O32"/>
    <mergeCell ref="L31:O31"/>
    <mergeCell ref="L29:O29"/>
    <mergeCell ref="L27:O27"/>
    <mergeCell ref="E3:F3"/>
    <mergeCell ref="L3:M3"/>
    <mergeCell ref="G5:J5"/>
    <mergeCell ref="G6:J6"/>
    <mergeCell ref="G7:J7"/>
    <mergeCell ref="G8:J8"/>
    <mergeCell ref="L16:O16"/>
    <mergeCell ref="L19:O19"/>
    <mergeCell ref="Q5:T5"/>
    <mergeCell ref="Q6:T6"/>
    <mergeCell ref="Q7:T7"/>
    <mergeCell ref="Q8:T8"/>
    <mergeCell ref="L10:O11"/>
    <mergeCell ref="C16:D16"/>
    <mergeCell ref="B44:E45"/>
    <mergeCell ref="C47:D47"/>
    <mergeCell ref="C49:D49"/>
    <mergeCell ref="C53:D53"/>
    <mergeCell ref="B61:G61"/>
    <mergeCell ref="C55:D55"/>
    <mergeCell ref="C57:D57"/>
    <mergeCell ref="C19:D19"/>
    <mergeCell ref="C29:D29"/>
    <mergeCell ref="C39:D39"/>
    <mergeCell ref="C51:D51"/>
  </mergeCells>
  <conditionalFormatting sqref="Q22:T22">
    <cfRule type="containsText" dxfId="32" priority="15" operator="containsText" text="Bra">
      <formula>NOT(ISERROR(SEARCH("Bra",Q22)))</formula>
    </cfRule>
    <cfRule type="containsText" dxfId="31" priority="16" operator="containsText" text="Tillfredställande">
      <formula>NOT(ISERROR(SEARCH("Tillfredställande",Q22)))</formula>
    </cfRule>
    <cfRule type="containsText" dxfId="30" priority="17" operator="containsText" text="Svag">
      <formula>NOT(ISERROR(SEARCH("Svag",Q22)))</formula>
    </cfRule>
  </conditionalFormatting>
  <conditionalFormatting sqref="Q28:T28">
    <cfRule type="containsText" dxfId="29" priority="12" operator="containsText" text="Bra">
      <formula>NOT(ISERROR(SEARCH("Bra",Q28)))</formula>
    </cfRule>
    <cfRule type="containsText" dxfId="28" priority="13" operator="containsText" text="Tillfredställande">
      <formula>NOT(ISERROR(SEARCH("Tillfredställande",Q28)))</formula>
    </cfRule>
    <cfRule type="containsText" dxfId="27" priority="14" operator="containsText" text="Svag">
      <formula>NOT(ISERROR(SEARCH("Svag",Q28)))</formula>
    </cfRule>
  </conditionalFormatting>
  <conditionalFormatting sqref="Q30:T30">
    <cfRule type="containsText" dxfId="26" priority="9" operator="containsText" text="Bra">
      <formula>NOT(ISERROR(SEARCH("Bra",Q30)))</formula>
    </cfRule>
    <cfRule type="containsText" dxfId="25" priority="10" operator="containsText" text="Tillfredställande">
      <formula>NOT(ISERROR(SEARCH("Tillfredställande",Q30)))</formula>
    </cfRule>
    <cfRule type="containsText" dxfId="24" priority="11" operator="containsText" text="Svag">
      <formula>NOT(ISERROR(SEARCH("Svag",Q30)))</formula>
    </cfRule>
  </conditionalFormatting>
  <conditionalFormatting sqref="Q33:T33">
    <cfRule type="containsText" dxfId="23" priority="6" operator="containsText" text="Bra">
      <formula>NOT(ISERROR(SEARCH("Bra",Q33)))</formula>
    </cfRule>
    <cfRule type="containsText" dxfId="22" priority="7" operator="containsText" text="Tillfredställande">
      <formula>NOT(ISERROR(SEARCH("Tillfredställande",Q33)))</formula>
    </cfRule>
    <cfRule type="containsText" dxfId="21" priority="8" operator="containsText" text="Svag">
      <formula>NOT(ISERROR(SEARCH("Svag",Q33)))</formula>
    </cfRule>
  </conditionalFormatting>
  <conditionalFormatting sqref="Q36:T36">
    <cfRule type="containsText" dxfId="20" priority="3" operator="containsText" text="Bra">
      <formula>NOT(ISERROR(SEARCH("Bra",Q36)))</formula>
    </cfRule>
    <cfRule type="containsText" dxfId="19" priority="4" operator="containsText" text="Tillfredställande">
      <formula>NOT(ISERROR(SEARCH("Tillfredställande",Q36)))</formula>
    </cfRule>
    <cfRule type="containsText" dxfId="18" priority="5" operator="containsText" text="Svag">
      <formula>NOT(ISERROR(SEARCH("Svag",Q36)))</formula>
    </cfRule>
  </conditionalFormatting>
  <conditionalFormatting sqref="Q38:T38">
    <cfRule type="containsText" dxfId="17" priority="1" operator="containsText" text="Bra">
      <formula>NOT(ISERROR(SEARCH("Bra",Q38)))</formula>
    </cfRule>
    <cfRule type="containsText" dxfId="16" priority="2" operator="containsText" text="Nettoskuldfri">
      <formula>NOT(ISERROR(SEARCH("Nettoskuldfri",Q38)))</formula>
    </cfRule>
    <cfRule type="containsText" dxfId="15" priority="20" operator="containsText" text="Svag">
      <formula>NOT(ISERROR(SEARCH("Svag",Q38)))</formula>
    </cfRule>
  </conditionalFormatting>
  <printOptions horizontalCentered="1"/>
  <pageMargins left="0.23622047244094491" right="0.23622047244094491" top="0.74803149606299213" bottom="0.74803149606299213" header="0.31496062992125984" footer="0.31496062992125984"/>
  <pageSetup paperSize="9" scale="95" orientation="portrait" verticalDpi="4" r:id="rId1"/>
  <colBreaks count="1" manualBreakCount="1">
    <brk id="10" min="1" max="59"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152A1"/>
  </sheetPr>
  <dimension ref="A2:U122"/>
  <sheetViews>
    <sheetView showGridLines="0" showZeros="0" defaultGridColor="0" colorId="23" zoomScaleNormal="100" zoomScalePageLayoutView="85" workbookViewId="0">
      <selection activeCell="D17" sqref="D17"/>
    </sheetView>
  </sheetViews>
  <sheetFormatPr defaultRowHeight="12.45"/>
  <cols>
    <col min="1" max="1" width="11.3046875" style="41" customWidth="1"/>
    <col min="2" max="2" width="3.4609375" customWidth="1"/>
    <col min="3" max="3" width="21.07421875" customWidth="1"/>
    <col min="4" max="4" width="10" customWidth="1"/>
    <col min="5" max="5" width="5.69140625" customWidth="1"/>
    <col min="6" max="10" width="10.69140625" customWidth="1"/>
    <col min="11" max="11" width="2.4609375" customWidth="1"/>
    <col min="12" max="15" width="10.3046875" customWidth="1"/>
    <col min="16" max="19" width="11.69140625" customWidth="1"/>
    <col min="20" max="20" width="4.84375" customWidth="1"/>
  </cols>
  <sheetData>
    <row r="2" spans="1:20" ht="24" customHeight="1">
      <c r="B2" s="91" t="s">
        <v>71</v>
      </c>
      <c r="C2" s="25" t="s">
        <v>218</v>
      </c>
      <c r="D2" s="25"/>
      <c r="F2" s="49" t="s">
        <v>149</v>
      </c>
      <c r="J2" s="62"/>
      <c r="L2" s="91" t="s">
        <v>220</v>
      </c>
      <c r="M2" s="25"/>
    </row>
    <row r="3" spans="1:20">
      <c r="B3" s="41"/>
      <c r="F3" s="1427">
        <f>'7. T2 RESULTATB.'!E3</f>
        <v>0</v>
      </c>
      <c r="L3" s="1834"/>
      <c r="M3" s="1834"/>
    </row>
    <row r="4" spans="1:20">
      <c r="B4" s="41"/>
      <c r="G4" s="84">
        <v>0</v>
      </c>
    </row>
    <row r="5" spans="1:20">
      <c r="B5" s="2399" t="s">
        <v>151</v>
      </c>
      <c r="C5" s="2414"/>
      <c r="D5" s="2414"/>
      <c r="E5" s="2414"/>
      <c r="F5" s="2414"/>
      <c r="G5" s="2415" t="s">
        <v>152</v>
      </c>
      <c r="H5" s="2416"/>
      <c r="I5" s="2414"/>
      <c r="J5" s="2414"/>
      <c r="K5" s="45"/>
      <c r="L5" s="429"/>
      <c r="M5" s="430"/>
      <c r="N5" s="431"/>
      <c r="O5" s="430"/>
      <c r="P5" s="430"/>
      <c r="Q5" s="430"/>
      <c r="R5" s="430"/>
      <c r="S5" s="430"/>
      <c r="T5" s="432"/>
    </row>
    <row r="6" spans="1:20">
      <c r="B6" s="170">
        <f>'7. T2 RESULTATB.'!B5:D5</f>
        <v>0</v>
      </c>
      <c r="C6" s="253"/>
      <c r="D6" s="253"/>
      <c r="E6" s="254"/>
      <c r="F6" s="254"/>
      <c r="G6" s="1954">
        <f>'7. T2 RESULTATB.'!E5</f>
        <v>0</v>
      </c>
      <c r="H6" s="1955"/>
      <c r="I6" s="1955"/>
      <c r="J6" s="1955"/>
      <c r="L6" s="433" t="s">
        <v>150</v>
      </c>
      <c r="M6" s="149"/>
      <c r="N6" s="364"/>
      <c r="O6" s="149"/>
      <c r="P6" s="149"/>
      <c r="Q6" s="149"/>
      <c r="R6" s="149"/>
      <c r="S6" s="149"/>
      <c r="T6" s="434"/>
    </row>
    <row r="7" spans="1:20">
      <c r="B7" s="250" t="s">
        <v>153</v>
      </c>
      <c r="C7" s="252"/>
      <c r="D7" s="252"/>
      <c r="E7" s="252"/>
      <c r="F7" s="252"/>
      <c r="G7" s="251" t="s">
        <v>154</v>
      </c>
      <c r="H7" s="255"/>
      <c r="I7" s="252"/>
      <c r="J7" s="252"/>
      <c r="K7" s="45"/>
      <c r="L7" s="435"/>
      <c r="M7" s="149"/>
      <c r="N7" s="364"/>
      <c r="O7" s="149"/>
      <c r="P7" s="149"/>
      <c r="Q7" s="149"/>
      <c r="R7" s="149"/>
      <c r="S7" s="149"/>
      <c r="T7" s="434"/>
    </row>
    <row r="8" spans="1:20">
      <c r="B8" s="1979">
        <f>'7. T2 RESULTATB.'!I5</f>
        <v>0</v>
      </c>
      <c r="C8" s="1979"/>
      <c r="D8" s="1979"/>
      <c r="E8" s="1979"/>
      <c r="F8" s="1980"/>
      <c r="G8" s="1426">
        <f>'7. T2 RESULTATB.'!L5</f>
        <v>0</v>
      </c>
      <c r="H8" s="254"/>
      <c r="I8" s="254"/>
      <c r="J8" s="254"/>
      <c r="L8" s="435"/>
      <c r="M8" s="149"/>
      <c r="N8" s="365"/>
      <c r="O8" s="149"/>
      <c r="P8" s="149"/>
      <c r="Q8" s="149"/>
      <c r="R8" s="149"/>
      <c r="S8" s="149"/>
      <c r="T8" s="434"/>
    </row>
    <row r="9" spans="1:20" ht="12.9" thickBot="1">
      <c r="B9" s="41"/>
      <c r="L9" s="435"/>
      <c r="M9" s="149"/>
      <c r="N9" s="149"/>
      <c r="O9" s="149"/>
      <c r="P9" s="149"/>
      <c r="Q9" s="149"/>
      <c r="R9" s="149"/>
      <c r="S9" s="149"/>
      <c r="T9" s="434"/>
    </row>
    <row r="10" spans="1:20" ht="12.75" customHeight="1">
      <c r="B10" s="1525"/>
      <c r="C10" s="1526"/>
      <c r="D10" s="1526"/>
      <c r="E10" s="1527"/>
      <c r="F10" s="1528"/>
      <c r="G10" s="1528" t="str">
        <f>'1. T1 INVESTERINGSP.'!D15</f>
        <v>Prognos 1</v>
      </c>
      <c r="H10" s="1529" t="s">
        <v>159</v>
      </c>
      <c r="I10" s="1529" t="s">
        <v>160</v>
      </c>
      <c r="J10" s="1530" t="s">
        <v>161</v>
      </c>
      <c r="L10" s="2012" t="s">
        <v>219</v>
      </c>
      <c r="M10" s="2013"/>
      <c r="N10" s="2013"/>
      <c r="O10" s="2013"/>
      <c r="P10" s="2013"/>
      <c r="Q10" s="2013"/>
      <c r="R10" s="2013"/>
      <c r="S10" s="2013"/>
      <c r="T10" s="2014"/>
    </row>
    <row r="11" spans="1:20" ht="12.75" customHeight="1">
      <c r="A11" s="53"/>
      <c r="B11" s="1987" t="s">
        <v>219</v>
      </c>
      <c r="C11" s="1988"/>
      <c r="D11" s="1988"/>
      <c r="E11" s="1989"/>
      <c r="F11" s="1491"/>
      <c r="G11" s="1470">
        <f>'4. E2 OMSÄTTNING'!E8</f>
        <v>2025</v>
      </c>
      <c r="H11" s="1470">
        <f>'4. E2 OMSÄTTNING'!F8</f>
        <v>2026</v>
      </c>
      <c r="I11" s="1531">
        <f>'4. E2 OMSÄTTNING'!G8</f>
        <v>2027</v>
      </c>
      <c r="J11" s="1532">
        <f>'1. T1 INVESTERINGSP.'!G16</f>
        <v>2028</v>
      </c>
      <c r="L11" s="355"/>
      <c r="M11" s="319"/>
      <c r="N11" s="319"/>
      <c r="O11" s="319"/>
      <c r="P11" s="319"/>
      <c r="Q11" s="319"/>
      <c r="R11" s="319"/>
      <c r="S11" s="319"/>
      <c r="T11" s="414"/>
    </row>
    <row r="12" spans="1:20" ht="12.75" customHeight="1" thickBot="1">
      <c r="A12"/>
      <c r="B12" s="1533"/>
      <c r="C12" s="1478"/>
      <c r="D12" s="1478"/>
      <c r="E12" s="1479"/>
      <c r="F12" s="1534"/>
      <c r="G12" s="1485" t="s">
        <v>195</v>
      </c>
      <c r="H12" s="1485" t="s">
        <v>195</v>
      </c>
      <c r="I12" s="1485" t="s">
        <v>195</v>
      </c>
      <c r="J12" s="1535" t="s">
        <v>195</v>
      </c>
      <c r="L12" s="355"/>
      <c r="M12" s="319" t="s">
        <v>0</v>
      </c>
      <c r="N12" s="319"/>
      <c r="O12" s="319"/>
      <c r="P12" s="319"/>
      <c r="Q12" s="319"/>
      <c r="R12" s="319"/>
      <c r="S12" s="319"/>
      <c r="T12" s="414"/>
    </row>
    <row r="13" spans="1:20">
      <c r="A13" s="53"/>
      <c r="B13" s="1359" t="s">
        <v>73</v>
      </c>
      <c r="C13" s="116" t="s">
        <v>221</v>
      </c>
      <c r="D13" s="116"/>
      <c r="E13" s="166"/>
      <c r="F13" s="743"/>
      <c r="G13" s="1033">
        <f>G14+G18+G34</f>
        <v>0</v>
      </c>
      <c r="H13" s="1033">
        <f>H14+H18+H34</f>
        <v>0</v>
      </c>
      <c r="I13" s="1033">
        <f>I14+I18+I34</f>
        <v>0</v>
      </c>
      <c r="J13" s="1034">
        <f>J14+J18+J34</f>
        <v>0</v>
      </c>
      <c r="L13" s="355"/>
      <c r="M13" s="319"/>
      <c r="N13" s="319"/>
      <c r="O13" s="319"/>
      <c r="P13" s="319"/>
      <c r="Q13" s="319"/>
      <c r="R13" s="319"/>
      <c r="S13" s="319"/>
      <c r="T13" s="414"/>
    </row>
    <row r="14" spans="1:20">
      <c r="B14" s="587" t="s">
        <v>66</v>
      </c>
      <c r="C14" s="210" t="s">
        <v>173</v>
      </c>
      <c r="D14" s="210"/>
      <c r="E14" s="211"/>
      <c r="F14" s="744"/>
      <c r="G14" s="1035">
        <f>F14+G15-G16-G17</f>
        <v>0</v>
      </c>
      <c r="H14" s="1035">
        <f>G14+H15-H16-H17</f>
        <v>0</v>
      </c>
      <c r="I14" s="1036">
        <f>H14+I15-I16-I17</f>
        <v>0</v>
      </c>
      <c r="J14" s="1037">
        <f>I14+J15-J16-J17</f>
        <v>0</v>
      </c>
      <c r="L14" s="355"/>
      <c r="M14" s="319"/>
      <c r="N14" s="319"/>
      <c r="O14" s="319"/>
      <c r="P14" s="319"/>
      <c r="Q14" s="319"/>
      <c r="R14" s="319"/>
      <c r="S14" s="319"/>
      <c r="T14" s="414"/>
    </row>
    <row r="15" spans="1:20">
      <c r="A15" s="6"/>
      <c r="B15" s="486" t="s">
        <v>0</v>
      </c>
      <c r="C15" s="469" t="s">
        <v>222</v>
      </c>
      <c r="D15" s="469"/>
      <c r="E15" s="531" t="s">
        <v>16</v>
      </c>
      <c r="F15" s="711"/>
      <c r="G15" s="697">
        <f>'Avustus, alv'!D47</f>
        <v>0</v>
      </c>
      <c r="H15" s="697">
        <f>'Avustus, alv'!E47</f>
        <v>0</v>
      </c>
      <c r="I15" s="1038">
        <f>'Avustus, alv'!F47</f>
        <v>0</v>
      </c>
      <c r="J15" s="681">
        <f>'Avustus, alv'!G47</f>
        <v>0</v>
      </c>
      <c r="L15" s="2008" t="s">
        <v>496</v>
      </c>
      <c r="M15" s="2009"/>
      <c r="N15" s="2009"/>
      <c r="O15" s="2009"/>
      <c r="P15" s="319"/>
      <c r="Q15" s="319"/>
      <c r="R15" s="319"/>
      <c r="S15" s="319"/>
      <c r="T15" s="414"/>
    </row>
    <row r="16" spans="1:20">
      <c r="A16" s="249"/>
      <c r="B16" s="486" t="s">
        <v>0</v>
      </c>
      <c r="C16" s="469" t="s">
        <v>223</v>
      </c>
      <c r="D16" s="469"/>
      <c r="E16" s="532" t="s">
        <v>17</v>
      </c>
      <c r="F16" s="711"/>
      <c r="G16" s="1320">
        <v>0</v>
      </c>
      <c r="H16" s="680"/>
      <c r="I16" s="1039"/>
      <c r="J16" s="1040"/>
      <c r="L16" s="379">
        <f>G$11</f>
        <v>2025</v>
      </c>
      <c r="M16" s="379">
        <f>H$11</f>
        <v>2026</v>
      </c>
      <c r="N16" s="379">
        <f>I$11</f>
        <v>2027</v>
      </c>
      <c r="O16" s="379">
        <f>J$11</f>
        <v>2028</v>
      </c>
      <c r="P16" s="319"/>
      <c r="Q16" s="625"/>
      <c r="R16" s="319"/>
      <c r="S16" s="319"/>
      <c r="T16" s="414"/>
    </row>
    <row r="17" spans="1:20">
      <c r="B17" s="588"/>
      <c r="C17" s="196" t="s">
        <v>224</v>
      </c>
      <c r="D17" s="213" t="s">
        <v>225</v>
      </c>
      <c r="E17" s="230">
        <v>0.2</v>
      </c>
      <c r="F17" s="711"/>
      <c r="G17" s="373">
        <f>(F14+G15*L17/12-G16)*$E17</f>
        <v>0</v>
      </c>
      <c r="H17" s="680">
        <f>(G14+H15*M17/12-H16)*$E$17</f>
        <v>0</v>
      </c>
      <c r="I17" s="680">
        <f>(H14+I15*N17/12-I16)*$E$17</f>
        <v>0</v>
      </c>
      <c r="J17" s="1040">
        <f>(I14+J15*O17/12-J16)*$E$17</f>
        <v>0</v>
      </c>
      <c r="L17" s="380">
        <v>12</v>
      </c>
      <c r="M17" s="380">
        <v>12</v>
      </c>
      <c r="N17" s="380">
        <v>12</v>
      </c>
      <c r="O17" s="380">
        <v>12</v>
      </c>
      <c r="P17" s="319"/>
      <c r="Q17" s="319"/>
      <c r="R17" s="319"/>
      <c r="S17" s="319"/>
      <c r="T17" s="414"/>
    </row>
    <row r="18" spans="1:20">
      <c r="A18" s="249"/>
      <c r="B18" s="587" t="s">
        <v>67</v>
      </c>
      <c r="C18" s="210" t="s">
        <v>226</v>
      </c>
      <c r="D18" s="210"/>
      <c r="E18" s="211"/>
      <c r="F18" s="745"/>
      <c r="G18" s="1041">
        <f>G19+G22+G26+G30</f>
        <v>0</v>
      </c>
      <c r="H18" s="1041">
        <f>H19+H22+H26+H30</f>
        <v>0</v>
      </c>
      <c r="I18" s="1042">
        <f>I19+I22+I26+I30</f>
        <v>0</v>
      </c>
      <c r="J18" s="1043">
        <f>J19+J22+J26+J30</f>
        <v>0</v>
      </c>
      <c r="L18" s="355"/>
      <c r="M18" s="319"/>
      <c r="N18" s="319"/>
      <c r="O18" s="319"/>
      <c r="P18" s="319"/>
      <c r="Q18" s="319"/>
      <c r="R18" s="319"/>
      <c r="S18" s="319"/>
      <c r="T18" s="414"/>
    </row>
    <row r="19" spans="1:20">
      <c r="A19" s="249"/>
      <c r="B19" s="486" t="s">
        <v>0</v>
      </c>
      <c r="C19" s="576" t="s">
        <v>466</v>
      </c>
      <c r="D19" s="576"/>
      <c r="E19" s="533"/>
      <c r="F19" s="744"/>
      <c r="G19" s="1035">
        <f>F19+G20-G21</f>
        <v>0</v>
      </c>
      <c r="H19" s="1035">
        <f>G19+H20-H21</f>
        <v>0</v>
      </c>
      <c r="I19" s="1036">
        <f>H19+I20-I21</f>
        <v>0</v>
      </c>
      <c r="J19" s="1037">
        <f>I19+J20-J21</f>
        <v>0</v>
      </c>
      <c r="L19" s="355"/>
      <c r="M19" s="319"/>
      <c r="N19" s="319"/>
      <c r="O19" s="319"/>
      <c r="P19" s="319"/>
      <c r="Q19" s="319"/>
      <c r="R19" s="319"/>
      <c r="S19" s="319"/>
      <c r="T19" s="414"/>
    </row>
    <row r="20" spans="1:20">
      <c r="A20" s="249"/>
      <c r="B20" s="486" t="s">
        <v>0</v>
      </c>
      <c r="C20" s="469" t="s">
        <v>222</v>
      </c>
      <c r="D20" s="469"/>
      <c r="E20" s="471" t="s">
        <v>16</v>
      </c>
      <c r="F20" s="711"/>
      <c r="G20" s="697">
        <f>'Avustus, alv'!D7</f>
        <v>0</v>
      </c>
      <c r="H20" s="697">
        <f>'Avustus, alv'!E7</f>
        <v>0</v>
      </c>
      <c r="I20" s="1038">
        <f>'Avustus, alv'!F7</f>
        <v>0</v>
      </c>
      <c r="J20" s="681">
        <f>'Avustus, alv'!G7</f>
        <v>0</v>
      </c>
      <c r="L20" s="436"/>
      <c r="M20" s="319"/>
      <c r="N20" s="319"/>
      <c r="O20" s="319"/>
      <c r="P20" s="319"/>
      <c r="Q20" s="319"/>
      <c r="R20" s="319"/>
      <c r="S20" s="319"/>
      <c r="T20" s="414"/>
    </row>
    <row r="21" spans="1:20">
      <c r="B21" s="486" t="s">
        <v>0</v>
      </c>
      <c r="C21" s="469" t="s">
        <v>223</v>
      </c>
      <c r="D21" s="469"/>
      <c r="E21" s="532" t="s">
        <v>17</v>
      </c>
      <c r="F21" s="711"/>
      <c r="G21" s="1320">
        <v>0</v>
      </c>
      <c r="H21" s="680">
        <v>0</v>
      </c>
      <c r="I21" s="1039"/>
      <c r="J21" s="1040"/>
      <c r="L21" s="355"/>
      <c r="M21" s="319"/>
      <c r="N21" s="319"/>
      <c r="O21" s="319"/>
      <c r="P21" s="319"/>
      <c r="Q21" s="319"/>
      <c r="R21" s="319"/>
      <c r="S21" s="319"/>
      <c r="T21" s="414"/>
    </row>
    <row r="22" spans="1:20">
      <c r="A22" s="249"/>
      <c r="B22" s="486"/>
      <c r="C22" s="576" t="s">
        <v>227</v>
      </c>
      <c r="D22" s="576"/>
      <c r="E22" s="533"/>
      <c r="F22" s="744"/>
      <c r="G22" s="1035">
        <f>F22+G23-G24-G25</f>
        <v>0</v>
      </c>
      <c r="H22" s="1035">
        <f>G22+H23-H24-H25</f>
        <v>0</v>
      </c>
      <c r="I22" s="1036">
        <f>H22+I23-I24-I25</f>
        <v>0</v>
      </c>
      <c r="J22" s="1037">
        <f>I22+J23-J24-J25</f>
        <v>0</v>
      </c>
      <c r="L22" s="355"/>
      <c r="M22" s="319"/>
      <c r="N22" s="319"/>
      <c r="O22" s="319"/>
      <c r="P22" s="319"/>
      <c r="Q22" s="319"/>
      <c r="R22" s="319"/>
      <c r="S22" s="319"/>
      <c r="T22" s="414"/>
    </row>
    <row r="23" spans="1:20">
      <c r="A23" s="6"/>
      <c r="B23" s="486" t="s">
        <v>0</v>
      </c>
      <c r="C23" s="469" t="s">
        <v>222</v>
      </c>
      <c r="D23" s="469"/>
      <c r="E23" s="471" t="s">
        <v>16</v>
      </c>
      <c r="F23" s="711"/>
      <c r="G23" s="697">
        <f>'Avustus, alv'!D14+'Avustus, alv'!D18</f>
        <v>0</v>
      </c>
      <c r="H23" s="697">
        <f>'Avustus, alv'!E14+'Avustus, alv'!E18</f>
        <v>0</v>
      </c>
      <c r="I23" s="1038">
        <f>'Avustus, alv'!F14+'Avustus, alv'!F18</f>
        <v>0</v>
      </c>
      <c r="J23" s="681">
        <f>'Avustus, alv'!G14+'Avustus, alv'!G18</f>
        <v>0</v>
      </c>
      <c r="L23" s="2008" t="s">
        <v>496</v>
      </c>
      <c r="M23" s="2009"/>
      <c r="N23" s="2009"/>
      <c r="O23" s="2009"/>
      <c r="P23" s="319"/>
      <c r="Q23" s="319"/>
      <c r="R23" s="319"/>
      <c r="S23" s="319"/>
      <c r="T23" s="414"/>
    </row>
    <row r="24" spans="1:20">
      <c r="A24" s="6"/>
      <c r="B24" s="486" t="s">
        <v>0</v>
      </c>
      <c r="C24" s="469" t="s">
        <v>223</v>
      </c>
      <c r="D24" s="469"/>
      <c r="E24" s="532" t="s">
        <v>17</v>
      </c>
      <c r="F24" s="711"/>
      <c r="G24" s="1320">
        <v>0</v>
      </c>
      <c r="H24" s="680">
        <v>0</v>
      </c>
      <c r="I24" s="1039">
        <v>0</v>
      </c>
      <c r="J24" s="1040">
        <v>0</v>
      </c>
      <c r="L24" s="379">
        <f>G$11</f>
        <v>2025</v>
      </c>
      <c r="M24" s="379">
        <f>H$11</f>
        <v>2026</v>
      </c>
      <c r="N24" s="379">
        <f>I$11</f>
        <v>2027</v>
      </c>
      <c r="O24" s="379">
        <f>J$11</f>
        <v>2028</v>
      </c>
      <c r="P24" s="319"/>
      <c r="Q24" s="319"/>
      <c r="R24" s="319"/>
      <c r="S24" s="319"/>
      <c r="T24" s="414"/>
    </row>
    <row r="25" spans="1:20">
      <c r="A25" s="249"/>
      <c r="B25" s="486"/>
      <c r="C25" s="469" t="s">
        <v>224</v>
      </c>
      <c r="D25" s="468" t="s">
        <v>225</v>
      </c>
      <c r="E25" s="534">
        <v>7.0000000000000007E-2</v>
      </c>
      <c r="F25" s="711"/>
      <c r="G25" s="373">
        <f>(F22+G23*L25/12-G24)*$E25</f>
        <v>0</v>
      </c>
      <c r="H25" s="680">
        <f>(G22+H23*M25/12-H24)*$E$25</f>
        <v>0</v>
      </c>
      <c r="I25" s="680">
        <f>(H22+I23*N25/12-I24)*$E$25</f>
        <v>0</v>
      </c>
      <c r="J25" s="1040">
        <f>(I22+J23*O25/12-J24)*$E$25</f>
        <v>0</v>
      </c>
      <c r="L25" s="380">
        <v>12</v>
      </c>
      <c r="M25" s="380">
        <v>12</v>
      </c>
      <c r="N25" s="380">
        <v>12</v>
      </c>
      <c r="O25" s="380">
        <v>12</v>
      </c>
      <c r="P25" s="319"/>
      <c r="Q25" s="319"/>
      <c r="R25" s="319"/>
      <c r="S25" s="319"/>
      <c r="T25" s="414"/>
    </row>
    <row r="26" spans="1:20">
      <c r="B26" s="486"/>
      <c r="C26" s="576" t="s">
        <v>228</v>
      </c>
      <c r="D26" s="576"/>
      <c r="E26" s="533"/>
      <c r="F26" s="742"/>
      <c r="G26" s="1035">
        <f>F26+G27-G28-G29</f>
        <v>0</v>
      </c>
      <c r="H26" s="1035">
        <f>G26+H27-H28-H29</f>
        <v>0</v>
      </c>
      <c r="I26" s="1036">
        <f>H26+I27-I28-I29</f>
        <v>0</v>
      </c>
      <c r="J26" s="1037">
        <f>I26+J27-J28-J29</f>
        <v>0</v>
      </c>
      <c r="L26" s="335"/>
      <c r="M26" s="199"/>
      <c r="N26" s="199"/>
      <c r="O26" s="199"/>
      <c r="P26" s="319"/>
      <c r="Q26" s="319"/>
      <c r="R26" s="319"/>
      <c r="S26" s="319"/>
      <c r="T26" s="414"/>
    </row>
    <row r="27" spans="1:20">
      <c r="A27" s="249"/>
      <c r="B27" s="486" t="s">
        <v>0</v>
      </c>
      <c r="C27" s="469" t="s">
        <v>222</v>
      </c>
      <c r="D27" s="469"/>
      <c r="E27" s="471" t="s">
        <v>16</v>
      </c>
      <c r="F27" s="711"/>
      <c r="G27" s="697">
        <f>'Avustus, alv'!D27+'Avustus, alv'!D33</f>
        <v>0</v>
      </c>
      <c r="H27" s="697">
        <f>'Avustus, alv'!E27+'Avustus, alv'!E33</f>
        <v>0</v>
      </c>
      <c r="I27" s="697">
        <f>'Avustus, alv'!F27+'Avustus, alv'!F33</f>
        <v>0</v>
      </c>
      <c r="J27" s="681">
        <f>'Avustus, alv'!G27+'Avustus, alv'!G33</f>
        <v>0</v>
      </c>
      <c r="L27" s="2008" t="s">
        <v>496</v>
      </c>
      <c r="M27" s="2009"/>
      <c r="N27" s="2009"/>
      <c r="O27" s="2009"/>
      <c r="P27" s="319"/>
      <c r="Q27" s="319"/>
      <c r="R27" s="319"/>
      <c r="S27" s="319"/>
      <c r="T27" s="414"/>
    </row>
    <row r="28" spans="1:20">
      <c r="B28" s="486" t="s">
        <v>0</v>
      </c>
      <c r="C28" s="469" t="s">
        <v>223</v>
      </c>
      <c r="D28" s="469"/>
      <c r="E28" s="532" t="s">
        <v>17</v>
      </c>
      <c r="F28" s="711"/>
      <c r="G28" s="1320">
        <v>0</v>
      </c>
      <c r="H28" s="680">
        <v>0</v>
      </c>
      <c r="I28" s="1039"/>
      <c r="J28" s="1040"/>
      <c r="L28" s="379">
        <f>G$11</f>
        <v>2025</v>
      </c>
      <c r="M28" s="379">
        <f>H$11</f>
        <v>2026</v>
      </c>
      <c r="N28" s="379">
        <f>I$11</f>
        <v>2027</v>
      </c>
      <c r="O28" s="379">
        <f>J$11</f>
        <v>2028</v>
      </c>
      <c r="P28" s="319"/>
      <c r="Q28" s="319"/>
      <c r="R28" s="319"/>
      <c r="S28" s="319"/>
      <c r="T28" s="414"/>
    </row>
    <row r="29" spans="1:20">
      <c r="A29" s="249"/>
      <c r="B29" s="486"/>
      <c r="C29" s="469" t="s">
        <v>224</v>
      </c>
      <c r="D29" s="468" t="s">
        <v>0</v>
      </c>
      <c r="E29" s="534">
        <v>0.2</v>
      </c>
      <c r="F29" s="746"/>
      <c r="G29" s="373">
        <f>(F26+G27*L29/12-G28)*$E29</f>
        <v>0</v>
      </c>
      <c r="H29" s="680">
        <f>(G26+H27*M29/12-H28)*$E$29</f>
        <v>0</v>
      </c>
      <c r="I29" s="680">
        <f>(H26+I27*N29/12-I28)*$E$29</f>
        <v>0</v>
      </c>
      <c r="J29" s="1040">
        <f>(I26+J27*O29/12-J28)*$E$29</f>
        <v>0</v>
      </c>
      <c r="L29" s="380">
        <v>12</v>
      </c>
      <c r="M29" s="380">
        <v>12</v>
      </c>
      <c r="N29" s="380">
        <v>12</v>
      </c>
      <c r="O29" s="380">
        <v>12</v>
      </c>
      <c r="P29" s="319"/>
      <c r="Q29" s="319"/>
      <c r="R29" s="319"/>
      <c r="S29" s="319"/>
      <c r="T29" s="414"/>
    </row>
    <row r="30" spans="1:20">
      <c r="A30" s="6"/>
      <c r="B30" s="486"/>
      <c r="C30" s="1991" t="s">
        <v>229</v>
      </c>
      <c r="D30" s="1991"/>
      <c r="E30" s="1992"/>
      <c r="F30" s="744"/>
      <c r="G30" s="1035">
        <f>F30+G31-G32-G33</f>
        <v>0</v>
      </c>
      <c r="H30" s="1035">
        <f>G30+H31-H32-H33</f>
        <v>0</v>
      </c>
      <c r="I30" s="1036">
        <f>H30+I31-I32-I33</f>
        <v>0</v>
      </c>
      <c r="J30" s="1037">
        <f>I30+J31-J32-J33</f>
        <v>0</v>
      </c>
      <c r="L30" s="335"/>
      <c r="M30" s="199"/>
      <c r="N30" s="199"/>
      <c r="O30" s="199"/>
      <c r="P30" s="319"/>
      <c r="Q30" s="319"/>
      <c r="R30" s="319"/>
      <c r="S30" s="319"/>
      <c r="T30" s="414"/>
    </row>
    <row r="31" spans="1:20">
      <c r="A31" s="249"/>
      <c r="B31" s="486" t="s">
        <v>0</v>
      </c>
      <c r="C31" s="469" t="s">
        <v>222</v>
      </c>
      <c r="D31" s="469"/>
      <c r="E31" s="471" t="s">
        <v>16</v>
      </c>
      <c r="F31" s="711"/>
      <c r="G31" s="697">
        <f>'Avustus, alv'!D40</f>
        <v>0</v>
      </c>
      <c r="H31" s="697">
        <f>'Avustus, alv'!E40</f>
        <v>0</v>
      </c>
      <c r="I31" s="1038">
        <f>'Avustus, alv'!F40</f>
        <v>0</v>
      </c>
      <c r="J31" s="681">
        <f>'Avustus, alv'!G40</f>
        <v>0</v>
      </c>
      <c r="L31" s="2008" t="s">
        <v>496</v>
      </c>
      <c r="M31" s="2009"/>
      <c r="N31" s="2009"/>
      <c r="O31" s="2009"/>
      <c r="P31" s="319"/>
      <c r="Q31" s="319"/>
      <c r="R31" s="319"/>
      <c r="S31" s="319"/>
      <c r="T31" s="414"/>
    </row>
    <row r="32" spans="1:20">
      <c r="B32" s="486" t="s">
        <v>0</v>
      </c>
      <c r="C32" s="469" t="s">
        <v>223</v>
      </c>
      <c r="D32" s="469"/>
      <c r="E32" s="532" t="s">
        <v>17</v>
      </c>
      <c r="F32" s="711"/>
      <c r="G32" s="1320">
        <v>0</v>
      </c>
      <c r="H32" s="680"/>
      <c r="I32" s="1039"/>
      <c r="J32" s="1040">
        <v>0</v>
      </c>
      <c r="L32" s="379">
        <f>G$11</f>
        <v>2025</v>
      </c>
      <c r="M32" s="379">
        <f>H$11</f>
        <v>2026</v>
      </c>
      <c r="N32" s="379">
        <f>I$11</f>
        <v>2027</v>
      </c>
      <c r="O32" s="379">
        <f>J$11</f>
        <v>2028</v>
      </c>
      <c r="P32" s="319"/>
      <c r="Q32" s="319"/>
      <c r="R32" s="319"/>
      <c r="S32" s="319"/>
      <c r="T32" s="414"/>
    </row>
    <row r="33" spans="1:20">
      <c r="A33" s="249"/>
      <c r="B33" s="588"/>
      <c r="C33" s="196" t="s">
        <v>224</v>
      </c>
      <c r="D33" s="213" t="s">
        <v>225</v>
      </c>
      <c r="E33" s="230">
        <v>0.2</v>
      </c>
      <c r="F33" s="711"/>
      <c r="G33" s="373">
        <f>(F30+G31*L33/12-G32)*$E33</f>
        <v>0</v>
      </c>
      <c r="H33" s="680">
        <f>(G30+H31*M33/12-H32)*$E$33</f>
        <v>0</v>
      </c>
      <c r="I33" s="680">
        <f>(H30+I31*N33/12-I32)*$E$33</f>
        <v>0</v>
      </c>
      <c r="J33" s="1040">
        <f>(I30+J31*O33/12-J32)*$E$33</f>
        <v>0</v>
      </c>
      <c r="L33" s="380">
        <v>12</v>
      </c>
      <c r="M33" s="380">
        <v>12</v>
      </c>
      <c r="N33" s="380">
        <v>12</v>
      </c>
      <c r="O33" s="380">
        <v>12</v>
      </c>
      <c r="P33" s="319"/>
      <c r="Q33" s="319"/>
      <c r="R33" s="319"/>
      <c r="S33" s="319"/>
      <c r="T33" s="414"/>
    </row>
    <row r="34" spans="1:20">
      <c r="A34" s="6"/>
      <c r="B34" s="587" t="s">
        <v>68</v>
      </c>
      <c r="C34" s="210" t="s">
        <v>174</v>
      </c>
      <c r="D34" s="535"/>
      <c r="E34" s="536"/>
      <c r="F34" s="747"/>
      <c r="G34" s="1041">
        <f>F34+G35-G36</f>
        <v>0</v>
      </c>
      <c r="H34" s="1044">
        <f>G34+H35-H36</f>
        <v>0</v>
      </c>
      <c r="I34" s="1044">
        <f>H34+I35-I36</f>
        <v>0</v>
      </c>
      <c r="J34" s="1045">
        <f>I34+J35-J36</f>
        <v>0</v>
      </c>
      <c r="L34" s="437"/>
      <c r="M34" s="428"/>
      <c r="N34" s="428"/>
      <c r="O34" s="428"/>
      <c r="P34" s="319"/>
      <c r="Q34" s="319"/>
      <c r="R34" s="319"/>
      <c r="S34" s="319"/>
      <c r="T34" s="414"/>
    </row>
    <row r="35" spans="1:20">
      <c r="B35" s="485"/>
      <c r="C35" s="469" t="s">
        <v>222</v>
      </c>
      <c r="D35" s="468"/>
      <c r="E35" s="537" t="s">
        <v>16</v>
      </c>
      <c r="F35" s="747"/>
      <c r="G35" s="1320">
        <f>'1. T1 INVESTERINGSP.'!D38</f>
        <v>0</v>
      </c>
      <c r="H35" s="680">
        <f>'1. T1 INVESTERINGSP.'!E38</f>
        <v>0</v>
      </c>
      <c r="I35" s="680">
        <f>'1. T1 INVESTERINGSP.'!F38</f>
        <v>0</v>
      </c>
      <c r="J35" s="1040">
        <f>'1. T1 INVESTERINGSP.'!G38</f>
        <v>0</v>
      </c>
      <c r="L35" s="437"/>
      <c r="M35" s="428"/>
      <c r="N35" s="428"/>
      <c r="O35" s="428"/>
      <c r="P35" s="319"/>
      <c r="Q35" s="319"/>
      <c r="R35" s="319"/>
      <c r="S35" s="319"/>
      <c r="T35" s="414"/>
    </row>
    <row r="36" spans="1:20" ht="12.9" thickBot="1">
      <c r="A36" s="249"/>
      <c r="B36" s="487"/>
      <c r="C36" s="1012" t="s">
        <v>223</v>
      </c>
      <c r="D36" s="589"/>
      <c r="E36" s="590" t="s">
        <v>17</v>
      </c>
      <c r="F36" s="748"/>
      <c r="G36" s="1046">
        <v>0</v>
      </c>
      <c r="H36" s="1286">
        <v>0</v>
      </c>
      <c r="I36" s="1286">
        <v>0</v>
      </c>
      <c r="J36" s="1287">
        <v>0</v>
      </c>
      <c r="L36" s="355"/>
      <c r="M36" s="319"/>
      <c r="N36" s="319"/>
      <c r="O36" s="319"/>
      <c r="P36" s="319"/>
      <c r="Q36" s="319"/>
      <c r="R36" s="319"/>
      <c r="S36" s="319"/>
      <c r="T36" s="414"/>
    </row>
    <row r="37" spans="1:20" ht="6" customHeight="1" thickBot="1">
      <c r="B37" s="575"/>
      <c r="C37" s="583"/>
      <c r="D37" s="584"/>
      <c r="E37" s="585"/>
      <c r="F37" s="586"/>
      <c r="G37" s="1047"/>
      <c r="H37" s="1047"/>
      <c r="I37" s="1047"/>
      <c r="J37" s="1047"/>
      <c r="K37" s="137"/>
      <c r="L37" s="394"/>
      <c r="M37" s="178"/>
      <c r="N37" s="178"/>
      <c r="O37" s="178"/>
      <c r="P37" s="178"/>
      <c r="Q37" s="178"/>
      <c r="R37" s="178"/>
      <c r="S37" s="178"/>
      <c r="T37" s="332"/>
    </row>
    <row r="38" spans="1:20">
      <c r="A38"/>
      <c r="B38" s="1360" t="s">
        <v>72</v>
      </c>
      <c r="C38" s="483" t="s">
        <v>230</v>
      </c>
      <c r="D38" s="483"/>
      <c r="E38" s="484"/>
      <c r="F38" s="749"/>
      <c r="G38" s="1048">
        <f>G39+G41+G48+G49</f>
        <v>0</v>
      </c>
      <c r="H38" s="1048">
        <f>H39+H41+H48+H49</f>
        <v>0</v>
      </c>
      <c r="I38" s="1048">
        <f>I39+I41+I48+I49</f>
        <v>0</v>
      </c>
      <c r="J38" s="1049">
        <f>J39+J41+J48+J49</f>
        <v>0</v>
      </c>
      <c r="L38" s="355"/>
      <c r="M38" s="319"/>
      <c r="N38" s="319"/>
      <c r="O38" s="319"/>
      <c r="P38" s="319"/>
      <c r="Q38" s="319"/>
      <c r="R38" s="319"/>
      <c r="S38" s="319"/>
      <c r="T38" s="414"/>
    </row>
    <row r="39" spans="1:20">
      <c r="A39"/>
      <c r="B39" s="485" t="s">
        <v>69</v>
      </c>
      <c r="C39" s="538" t="s">
        <v>231</v>
      </c>
      <c r="D39" s="538"/>
      <c r="E39" s="531" t="s">
        <v>16</v>
      </c>
      <c r="F39" s="754"/>
      <c r="G39" s="1035">
        <f>'5. T4 FINANSIERINGSB.'!G46</f>
        <v>0</v>
      </c>
      <c r="H39" s="1035">
        <f>'5. T4 FINANSIERINGSB.'!H46</f>
        <v>0</v>
      </c>
      <c r="I39" s="1036">
        <f>'5. T4 FINANSIERINGSB.'!I46</f>
        <v>0</v>
      </c>
      <c r="J39" s="1037">
        <f>'5. T4 FINANSIERINGSB.'!J46</f>
        <v>0</v>
      </c>
      <c r="L39" s="355"/>
      <c r="M39" s="319"/>
      <c r="N39" s="319"/>
      <c r="O39" s="319"/>
      <c r="P39" s="319"/>
      <c r="Q39" s="319"/>
      <c r="R39" s="319"/>
      <c r="S39" s="319"/>
      <c r="T39" s="414"/>
    </row>
    <row r="40" spans="1:20">
      <c r="A40" s="6"/>
      <c r="B40" s="485"/>
      <c r="C40" s="1996" t="s">
        <v>557</v>
      </c>
      <c r="D40" s="1997"/>
      <c r="E40" s="1997"/>
      <c r="F40" s="958"/>
      <c r="G40" s="1050">
        <f>'5. T4 FINANSIERINGSB.'!G47</f>
        <v>0.1</v>
      </c>
      <c r="H40" s="1050">
        <f>'5. T4 FINANSIERINGSB.'!H47</f>
        <v>0.1</v>
      </c>
      <c r="I40" s="1050">
        <f>'5. T4 FINANSIERINGSB.'!I47</f>
        <v>0.1</v>
      </c>
      <c r="J40" s="1051">
        <f>'5. T4 FINANSIERINGSB.'!J47</f>
        <v>0.1</v>
      </c>
      <c r="L40" s="355"/>
      <c r="M40" s="319"/>
      <c r="N40" s="319"/>
      <c r="O40" s="319"/>
      <c r="P40" s="319"/>
      <c r="Q40" s="319"/>
      <c r="R40" s="319"/>
      <c r="S40" s="319"/>
      <c r="T40" s="414"/>
    </row>
    <row r="41" spans="1:20">
      <c r="A41" s="249"/>
      <c r="B41" s="485" t="s">
        <v>67</v>
      </c>
      <c r="C41" s="538" t="s">
        <v>232</v>
      </c>
      <c r="D41" s="538"/>
      <c r="E41" s="531" t="s">
        <v>16</v>
      </c>
      <c r="F41" s="744"/>
      <c r="G41" s="1035">
        <f>G42+G46+G47+G44</f>
        <v>0</v>
      </c>
      <c r="H41" s="1035">
        <f>H42+H46+H47+H44</f>
        <v>0</v>
      </c>
      <c r="I41" s="1035">
        <f>I42+I46+I47+I44</f>
        <v>0</v>
      </c>
      <c r="J41" s="1037">
        <f>J42+J46+J47+J44</f>
        <v>0</v>
      </c>
      <c r="L41" s="355"/>
      <c r="M41" s="319"/>
      <c r="N41" s="319"/>
      <c r="O41" s="319"/>
      <c r="P41" s="319"/>
      <c r="Q41" s="319"/>
      <c r="R41" s="319"/>
      <c r="S41" s="319"/>
      <c r="T41" s="414"/>
    </row>
    <row r="42" spans="1:20">
      <c r="B42" s="486" t="s">
        <v>0</v>
      </c>
      <c r="C42" s="469" t="s">
        <v>233</v>
      </c>
      <c r="D42" s="469"/>
      <c r="E42" s="471" t="s">
        <v>16</v>
      </c>
      <c r="F42" s="747"/>
      <c r="G42" s="697">
        <f>'5. T4 FINANSIERINGSB.'!G48</f>
        <v>0</v>
      </c>
      <c r="H42" s="697">
        <f>'5. T4 FINANSIERINGSB.'!H48</f>
        <v>0</v>
      </c>
      <c r="I42" s="1038">
        <f>'5. T4 FINANSIERINGSB.'!I48</f>
        <v>0</v>
      </c>
      <c r="J42" s="681">
        <f>'5. T4 FINANSIERINGSB.'!J48</f>
        <v>0</v>
      </c>
      <c r="L42" s="355"/>
      <c r="M42" s="319"/>
      <c r="N42" s="319"/>
      <c r="O42" s="319"/>
      <c r="P42" s="319"/>
      <c r="Q42" s="319"/>
      <c r="R42" s="319"/>
      <c r="S42" s="319"/>
      <c r="T42" s="414"/>
    </row>
    <row r="43" spans="1:20">
      <c r="A43"/>
      <c r="B43" s="486"/>
      <c r="C43" s="1993" t="s">
        <v>240</v>
      </c>
      <c r="D43" s="1994"/>
      <c r="E43" s="1995"/>
      <c r="F43" s="959"/>
      <c r="G43" s="1052">
        <f>'5. T4 FINANSIERINGSB.'!G49</f>
        <v>14</v>
      </c>
      <c r="H43" s="1052">
        <f>'5. T4 FINANSIERINGSB.'!H49</f>
        <v>14</v>
      </c>
      <c r="I43" s="1053">
        <f>'5. T4 FINANSIERINGSB.'!I49</f>
        <v>14</v>
      </c>
      <c r="J43" s="1054">
        <f>'5. T4 FINANSIERINGSB.'!J49</f>
        <v>14</v>
      </c>
      <c r="L43" s="355"/>
      <c r="M43" s="319"/>
      <c r="N43" s="319"/>
      <c r="O43" s="319"/>
      <c r="P43" s="319"/>
      <c r="Q43" s="319"/>
      <c r="R43" s="319"/>
      <c r="S43" s="319"/>
      <c r="T43" s="414"/>
    </row>
    <row r="44" spans="1:20">
      <c r="A44"/>
      <c r="B44" s="486"/>
      <c r="C44" s="469" t="s">
        <v>234</v>
      </c>
      <c r="D44" s="469"/>
      <c r="E44" s="471" t="s">
        <v>16</v>
      </c>
      <c r="F44" s="747"/>
      <c r="G44" s="697">
        <f>'5. T4 FINANSIERINGSB.'!G52</f>
        <v>0</v>
      </c>
      <c r="H44" s="697">
        <f>'5. T4 FINANSIERINGSB.'!H52</f>
        <v>0</v>
      </c>
      <c r="I44" s="1038">
        <f>'5. T4 FINANSIERINGSB.'!I52</f>
        <v>0</v>
      </c>
      <c r="J44" s="681">
        <f>'5. T4 FINANSIERINGSB.'!J52</f>
        <v>0</v>
      </c>
      <c r="L44" s="355"/>
      <c r="M44" s="319"/>
      <c r="N44" s="319"/>
      <c r="O44" s="319"/>
      <c r="P44" s="319"/>
      <c r="Q44" s="319"/>
      <c r="R44" s="319"/>
      <c r="S44" s="319"/>
      <c r="T44" s="414"/>
    </row>
    <row r="45" spans="1:20">
      <c r="A45"/>
      <c r="B45" s="486"/>
      <c r="C45" s="1993" t="s">
        <v>543</v>
      </c>
      <c r="D45" s="1994"/>
      <c r="E45" s="1995"/>
      <c r="F45" s="959"/>
      <c r="G45" s="1050">
        <f>'5. T4 FINANSIERINGSB.'!G53</f>
        <v>0.05</v>
      </c>
      <c r="H45" s="1050">
        <f>'5. T4 FINANSIERINGSB.'!H53</f>
        <v>0.05</v>
      </c>
      <c r="I45" s="1055">
        <f>'5. T4 FINANSIERINGSB.'!I53</f>
        <v>0.05</v>
      </c>
      <c r="J45" s="1051">
        <f>'5. T4 FINANSIERINGSB.'!J53</f>
        <v>0.05</v>
      </c>
      <c r="L45" s="355"/>
      <c r="M45" s="319"/>
      <c r="N45" s="319"/>
      <c r="O45" s="319"/>
      <c r="P45" s="319"/>
      <c r="Q45" s="319"/>
      <c r="R45" s="319"/>
      <c r="S45" s="319"/>
      <c r="T45" s="414"/>
    </row>
    <row r="46" spans="1:20">
      <c r="B46" s="486"/>
      <c r="C46" s="1937" t="s">
        <v>235</v>
      </c>
      <c r="D46" s="1937"/>
      <c r="E46" s="471" t="s">
        <v>16</v>
      </c>
      <c r="F46" s="747"/>
      <c r="G46" s="697">
        <f>'5. T4 FINANSIERINGSB.'!G50</f>
        <v>0</v>
      </c>
      <c r="H46" s="697">
        <f>'5. T4 FINANSIERINGSB.'!H50</f>
        <v>0</v>
      </c>
      <c r="I46" s="697">
        <f>'5. T4 FINANSIERINGSB.'!I50</f>
        <v>0</v>
      </c>
      <c r="J46" s="681">
        <f>'5. T4 FINANSIERINGSB.'!J50</f>
        <v>0</v>
      </c>
      <c r="L46" s="355"/>
      <c r="M46" s="319"/>
      <c r="N46" s="319"/>
      <c r="O46" s="319"/>
      <c r="P46" s="319"/>
      <c r="Q46" s="319"/>
      <c r="R46" s="319"/>
      <c r="S46" s="319"/>
      <c r="T46" s="414"/>
    </row>
    <row r="47" spans="1:20">
      <c r="A47"/>
      <c r="B47" s="486"/>
      <c r="C47" s="1937" t="s">
        <v>236</v>
      </c>
      <c r="D47" s="1937"/>
      <c r="E47" s="471" t="s">
        <v>16</v>
      </c>
      <c r="F47" s="747"/>
      <c r="G47" s="697">
        <f>'5. T4 FINANSIERINGSB.'!G51</f>
        <v>0</v>
      </c>
      <c r="H47" s="697">
        <f>'5. T4 FINANSIERINGSB.'!H51</f>
        <v>0</v>
      </c>
      <c r="I47" s="697">
        <f>'5. T4 FINANSIERINGSB.'!I51</f>
        <v>0</v>
      </c>
      <c r="J47" s="681">
        <f>'5. T4 FINANSIERINGSB.'!J51</f>
        <v>0</v>
      </c>
      <c r="L47" s="355">
        <v>0</v>
      </c>
      <c r="M47" s="319"/>
      <c r="N47" s="319"/>
      <c r="O47" s="319"/>
      <c r="P47" s="319"/>
      <c r="Q47" s="419"/>
      <c r="R47" s="319"/>
      <c r="S47" s="319"/>
      <c r="T47" s="438"/>
    </row>
    <row r="48" spans="1:20">
      <c r="B48" s="485" t="s">
        <v>68</v>
      </c>
      <c r="C48" s="1991" t="s">
        <v>237</v>
      </c>
      <c r="D48" s="1991"/>
      <c r="E48" s="531" t="s">
        <v>16</v>
      </c>
      <c r="F48" s="754"/>
      <c r="G48" s="1056">
        <v>0</v>
      </c>
      <c r="H48" s="1056">
        <f>G48</f>
        <v>0</v>
      </c>
      <c r="I48" s="1056">
        <f>H48</f>
        <v>0</v>
      </c>
      <c r="J48" s="1057">
        <f>I48</f>
        <v>0</v>
      </c>
      <c r="L48" s="355"/>
      <c r="M48" s="319">
        <v>0</v>
      </c>
      <c r="N48" s="319"/>
      <c r="O48" s="319"/>
      <c r="P48" s="319"/>
      <c r="Q48" s="319"/>
      <c r="R48" s="319"/>
      <c r="S48" s="319"/>
      <c r="T48" s="414"/>
    </row>
    <row r="49" spans="1:20" ht="12.9" thickBot="1">
      <c r="B49" s="487" t="s">
        <v>70</v>
      </c>
      <c r="C49" s="480" t="s">
        <v>238</v>
      </c>
      <c r="D49" s="480"/>
      <c r="E49" s="488" t="s">
        <v>16</v>
      </c>
      <c r="F49" s="755"/>
      <c r="G49" s="1058">
        <f>G98-G13-G39-G41-G48</f>
        <v>0</v>
      </c>
      <c r="H49" s="1058">
        <f>H98-H13-H39-H41-H48</f>
        <v>0</v>
      </c>
      <c r="I49" s="1059">
        <f>I98-I13-I39-I41-I48</f>
        <v>0</v>
      </c>
      <c r="J49" s="1060">
        <f>J98-J13-J39-J41-J48</f>
        <v>0</v>
      </c>
      <c r="L49" s="439"/>
      <c r="M49" s="319"/>
      <c r="N49" s="319"/>
      <c r="O49" s="319"/>
      <c r="P49" s="319"/>
      <c r="Q49" s="319"/>
      <c r="R49" s="319"/>
      <c r="S49" s="319"/>
      <c r="T49" s="414"/>
    </row>
    <row r="50" spans="1:20" ht="6" customHeight="1" thickBot="1">
      <c r="B50" s="479"/>
      <c r="C50" s="480"/>
      <c r="D50" s="480"/>
      <c r="E50" s="481"/>
      <c r="F50" s="482"/>
      <c r="G50" s="1061"/>
      <c r="H50" s="1061"/>
      <c r="I50" s="1061"/>
      <c r="J50" s="1061"/>
      <c r="L50" s="440"/>
      <c r="M50" s="178"/>
      <c r="N50" s="178"/>
      <c r="O50" s="178"/>
      <c r="P50" s="178"/>
      <c r="Q50" s="178"/>
      <c r="R50" s="178"/>
      <c r="S50" s="178"/>
      <c r="T50" s="332"/>
    </row>
    <row r="51" spans="1:20" ht="12.9" thickBot="1">
      <c r="B51" s="1984" t="s">
        <v>239</v>
      </c>
      <c r="C51" s="1985"/>
      <c r="D51" s="1985"/>
      <c r="E51" s="1986"/>
      <c r="F51" s="278" t="s">
        <v>0</v>
      </c>
      <c r="G51" s="1062">
        <f>G38+G13</f>
        <v>0</v>
      </c>
      <c r="H51" s="1062">
        <f>H38+H13</f>
        <v>0</v>
      </c>
      <c r="I51" s="1063">
        <f>I38+I13</f>
        <v>0</v>
      </c>
      <c r="J51" s="1064">
        <f>J38+J13</f>
        <v>0</v>
      </c>
      <c r="L51" s="355"/>
      <c r="M51" s="319"/>
      <c r="N51" s="319"/>
      <c r="O51" s="319"/>
      <c r="P51" s="319"/>
      <c r="Q51" s="319"/>
      <c r="R51" s="319"/>
      <c r="S51" s="319"/>
      <c r="T51" s="414"/>
    </row>
    <row r="52" spans="1:20" ht="12.75" customHeight="1" thickBot="1">
      <c r="B52" s="41"/>
      <c r="C52" s="1" t="s">
        <v>0</v>
      </c>
      <c r="D52" s="1"/>
      <c r="G52" s="41"/>
      <c r="H52" s="41"/>
      <c r="I52" s="41"/>
      <c r="J52" s="41"/>
      <c r="L52" s="441"/>
      <c r="M52" s="344"/>
      <c r="N52" s="344"/>
      <c r="O52" s="344"/>
      <c r="P52" s="344"/>
      <c r="Q52" s="344"/>
      <c r="R52" s="344"/>
      <c r="S52" s="344"/>
      <c r="T52" s="442"/>
    </row>
    <row r="53" spans="1:20" ht="12.75" customHeight="1" thickBot="1">
      <c r="B53" s="1474"/>
      <c r="C53" s="1475"/>
      <c r="D53" s="1475"/>
      <c r="E53" s="1476"/>
      <c r="F53" s="1488"/>
      <c r="G53" s="1488" t="str">
        <f t="shared" ref="G53:J54" si="0">G10</f>
        <v>Prognos 1</v>
      </c>
      <c r="H53" s="1488" t="str">
        <f t="shared" si="0"/>
        <v>Prognos 2</v>
      </c>
      <c r="I53" s="1536" t="str">
        <f t="shared" si="0"/>
        <v>Prognos 3</v>
      </c>
      <c r="J53" s="1537" t="str">
        <f t="shared" si="0"/>
        <v>Prognos 4</v>
      </c>
      <c r="L53" s="2015" t="str">
        <f>B54</f>
        <v>PASSIVA</v>
      </c>
      <c r="M53" s="2016"/>
      <c r="N53" s="2016"/>
      <c r="O53" s="2016"/>
      <c r="P53" s="2016"/>
      <c r="Q53" s="2016"/>
      <c r="R53" s="2016"/>
      <c r="S53" s="2016"/>
      <c r="T53" s="2017"/>
    </row>
    <row r="54" spans="1:20" ht="12.75" customHeight="1">
      <c r="B54" s="1990" t="s">
        <v>241</v>
      </c>
      <c r="C54" s="1988"/>
      <c r="D54" s="1988"/>
      <c r="E54" s="1989"/>
      <c r="F54" s="1470"/>
      <c r="G54" s="1470">
        <f t="shared" si="0"/>
        <v>2025</v>
      </c>
      <c r="H54" s="1470">
        <f t="shared" si="0"/>
        <v>2026</v>
      </c>
      <c r="I54" s="1531">
        <f t="shared" si="0"/>
        <v>2027</v>
      </c>
      <c r="J54" s="1471">
        <f t="shared" si="0"/>
        <v>2028</v>
      </c>
      <c r="L54" s="443"/>
      <c r="M54" s="407"/>
      <c r="N54" s="407"/>
      <c r="O54" s="407"/>
      <c r="P54" s="407"/>
      <c r="Q54" s="407"/>
      <c r="R54" s="407"/>
      <c r="S54" s="407"/>
      <c r="T54" s="444"/>
    </row>
    <row r="55" spans="1:20" ht="12.75" customHeight="1" thickBot="1">
      <c r="B55" s="1538"/>
      <c r="C55" s="1478"/>
      <c r="D55" s="1478"/>
      <c r="E55" s="1479"/>
      <c r="F55" s="1539"/>
      <c r="G55" s="1485" t="s">
        <v>195</v>
      </c>
      <c r="H55" s="1485" t="s">
        <v>195</v>
      </c>
      <c r="I55" s="1485" t="s">
        <v>195</v>
      </c>
      <c r="J55" s="1540" t="s">
        <v>195</v>
      </c>
      <c r="L55" s="355"/>
      <c r="M55" s="319"/>
      <c r="N55" s="319"/>
      <c r="O55" s="319"/>
      <c r="P55" s="319"/>
      <c r="Q55" s="319"/>
      <c r="R55" s="319"/>
      <c r="S55" s="319"/>
      <c r="T55" s="414"/>
    </row>
    <row r="56" spans="1:20">
      <c r="A56"/>
      <c r="B56" s="1360" t="s">
        <v>74</v>
      </c>
      <c r="C56" s="116" t="s">
        <v>242</v>
      </c>
      <c r="D56" s="116"/>
      <c r="E56" s="510"/>
      <c r="F56" s="749"/>
      <c r="G56" s="1048">
        <f>G57+G58-G59+G60+G61</f>
        <v>0</v>
      </c>
      <c r="H56" s="1048">
        <f>H57+H58-H59+H60+H61</f>
        <v>0</v>
      </c>
      <c r="I56" s="1048">
        <f>I57+I58-I59+I60+I61</f>
        <v>0</v>
      </c>
      <c r="J56" s="1049">
        <f>J57+J58-J59+J60+J61</f>
        <v>0</v>
      </c>
      <c r="L56" s="355"/>
      <c r="M56" s="319"/>
      <c r="N56" s="319"/>
      <c r="O56" s="319"/>
      <c r="P56" s="319"/>
      <c r="Q56" s="319"/>
      <c r="R56" s="319"/>
      <c r="S56" s="319"/>
      <c r="T56" s="414"/>
    </row>
    <row r="57" spans="1:20" s="1" customFormat="1">
      <c r="A57" s="41"/>
      <c r="B57" s="489"/>
      <c r="C57" s="178" t="s">
        <v>243</v>
      </c>
      <c r="D57" s="178"/>
      <c r="E57" s="332"/>
      <c r="F57" s="712"/>
      <c r="G57" s="697">
        <f>'1. T1 INVESTERINGSP.'!D48</f>
        <v>0</v>
      </c>
      <c r="H57" s="697">
        <f>G57+'1. T1 INVESTERINGSP.'!E48</f>
        <v>0</v>
      </c>
      <c r="I57" s="697">
        <f>H57+'1. T1 INVESTERINGSP.'!F48</f>
        <v>0</v>
      </c>
      <c r="J57" s="681">
        <f>I57+'1. T1 INVESTERINGSP.'!G48</f>
        <v>0</v>
      </c>
      <c r="K57" s="4"/>
      <c r="L57" s="445" t="s">
        <v>0</v>
      </c>
      <c r="M57" s="160"/>
      <c r="N57" s="160"/>
      <c r="O57" s="160"/>
      <c r="P57" s="160"/>
      <c r="Q57" s="160"/>
      <c r="R57" s="160"/>
      <c r="S57" s="160"/>
      <c r="T57" s="438"/>
    </row>
    <row r="58" spans="1:20" s="1" customFormat="1">
      <c r="A58" s="41"/>
      <c r="B58" s="489"/>
      <c r="C58" s="469" t="s">
        <v>244</v>
      </c>
      <c r="D58" s="469"/>
      <c r="E58" s="511"/>
      <c r="F58" s="712"/>
      <c r="G58" s="1065">
        <f>F58-F59+F60</f>
        <v>0</v>
      </c>
      <c r="H58" s="691">
        <f>G58-G59+G60</f>
        <v>0</v>
      </c>
      <c r="I58" s="1017">
        <f>H58-H59+H60</f>
        <v>0</v>
      </c>
      <c r="J58" s="690">
        <f>I58-I59+I60</f>
        <v>0</v>
      </c>
      <c r="K58" s="4"/>
      <c r="L58" s="355"/>
      <c r="M58" s="319"/>
      <c r="N58" s="319"/>
      <c r="O58" s="319"/>
      <c r="P58" s="319"/>
      <c r="Q58" s="319"/>
      <c r="R58" s="319"/>
      <c r="S58" s="319"/>
      <c r="T58" s="414"/>
    </row>
    <row r="59" spans="1:20" s="1" customFormat="1">
      <c r="A59" s="41"/>
      <c r="B59" s="489"/>
      <c r="C59" s="1937" t="s">
        <v>245</v>
      </c>
      <c r="D59" s="1937"/>
      <c r="E59" s="1978"/>
      <c r="F59" s="711"/>
      <c r="G59" s="1066">
        <f>'5. T4 FINANSIERINGSB.'!G38</f>
        <v>0</v>
      </c>
      <c r="H59" s="1066">
        <f>'5. T4 FINANSIERINGSB.'!H38</f>
        <v>0</v>
      </c>
      <c r="I59" s="1066">
        <f>'5. T4 FINANSIERINGSB.'!I38</f>
        <v>0</v>
      </c>
      <c r="J59" s="1067">
        <f>'5. T4 FINANSIERINGSB.'!J38</f>
        <v>0</v>
      </c>
      <c r="K59" s="4"/>
      <c r="L59" s="355">
        <v>0</v>
      </c>
      <c r="M59" s="319"/>
      <c r="N59" s="319"/>
      <c r="O59" s="319"/>
      <c r="P59" s="319"/>
      <c r="Q59" s="319"/>
      <c r="R59" s="319"/>
      <c r="S59" s="319"/>
      <c r="T59" s="414"/>
    </row>
    <row r="60" spans="1:20" s="1" customFormat="1">
      <c r="A60" s="41"/>
      <c r="B60" s="489"/>
      <c r="C60" s="469" t="s">
        <v>246</v>
      </c>
      <c r="D60" s="469"/>
      <c r="E60" s="511"/>
      <c r="F60" s="712"/>
      <c r="G60" s="691">
        <f>'7. T2 RESULTATB.'!G31</f>
        <v>0</v>
      </c>
      <c r="H60" s="691">
        <f>'7. T2 RESULTATB.'!I31</f>
        <v>0</v>
      </c>
      <c r="I60" s="1017">
        <f>'7. T2 RESULTATB.'!K31</f>
        <v>0</v>
      </c>
      <c r="J60" s="690">
        <f>'7. T2 RESULTATB.'!M31</f>
        <v>0</v>
      </c>
      <c r="K60" s="4"/>
      <c r="L60" s="355"/>
      <c r="M60" s="319"/>
      <c r="N60" s="319"/>
      <c r="O60" s="319"/>
      <c r="P60" s="319"/>
      <c r="Q60" s="319"/>
      <c r="R60" s="319"/>
      <c r="S60" s="319"/>
      <c r="T60" s="414"/>
    </row>
    <row r="61" spans="1:20" s="1" customFormat="1">
      <c r="A61" s="41"/>
      <c r="B61" s="489"/>
      <c r="C61" s="469" t="s">
        <v>247</v>
      </c>
      <c r="D61" s="469"/>
      <c r="E61" s="511"/>
      <c r="F61" s="712"/>
      <c r="G61" s="1068">
        <f>'1. T1 INVESTERINGSP.'!D49</f>
        <v>0</v>
      </c>
      <c r="H61" s="689">
        <f>G61+'1. T1 INVESTERINGSP.'!E49</f>
        <v>0</v>
      </c>
      <c r="I61" s="689">
        <f>H61+'1. T1 INVESTERINGSP.'!F49</f>
        <v>0</v>
      </c>
      <c r="J61" s="1040">
        <f>I61+'1. T1 INVESTERINGSP.'!G49</f>
        <v>0</v>
      </c>
      <c r="K61" s="4"/>
      <c r="L61" s="355"/>
      <c r="M61" s="319"/>
      <c r="N61" s="319"/>
      <c r="O61" s="319"/>
      <c r="P61" s="319"/>
      <c r="Q61" s="319"/>
      <c r="R61" s="319"/>
      <c r="S61" s="319"/>
      <c r="T61" s="414"/>
    </row>
    <row r="62" spans="1:20">
      <c r="A62" s="249"/>
      <c r="B62" s="490" t="s">
        <v>75</v>
      </c>
      <c r="C62" s="202" t="s">
        <v>248</v>
      </c>
      <c r="D62" s="202"/>
      <c r="E62" s="204"/>
      <c r="F62" s="750"/>
      <c r="G62" s="1069">
        <f>G63+G64</f>
        <v>0</v>
      </c>
      <c r="H62" s="1069">
        <f>H63+H64</f>
        <v>0</v>
      </c>
      <c r="I62" s="1070">
        <f>I63+I64</f>
        <v>0</v>
      </c>
      <c r="J62" s="1071">
        <f>J63+J64</f>
        <v>0</v>
      </c>
      <c r="L62" s="355"/>
      <c r="M62" s="319"/>
      <c r="N62" s="319"/>
      <c r="O62" s="319"/>
      <c r="P62" s="319"/>
      <c r="Q62" s="319"/>
      <c r="R62" s="319"/>
      <c r="S62" s="319"/>
      <c r="T62" s="414"/>
    </row>
    <row r="63" spans="1:20">
      <c r="B63" s="491" t="s">
        <v>0</v>
      </c>
      <c r="C63" s="201" t="s">
        <v>249</v>
      </c>
      <c r="D63" s="201"/>
      <c r="E63" s="1349" t="s">
        <v>90</v>
      </c>
      <c r="F63" s="711"/>
      <c r="G63" s="1320"/>
      <c r="H63" s="1320"/>
      <c r="I63" s="1352"/>
      <c r="J63" s="1351"/>
      <c r="L63" s="355"/>
      <c r="M63" s="319"/>
      <c r="N63" s="319"/>
      <c r="O63" s="319"/>
      <c r="P63" s="319"/>
      <c r="Q63" s="319"/>
      <c r="R63" s="319"/>
      <c r="S63" s="319"/>
      <c r="T63" s="414"/>
    </row>
    <row r="64" spans="1:20">
      <c r="A64" s="6"/>
      <c r="B64" s="491" t="s">
        <v>0</v>
      </c>
      <c r="C64" s="2004" t="s">
        <v>497</v>
      </c>
      <c r="D64" s="2004"/>
      <c r="E64" s="2005"/>
      <c r="F64" s="711"/>
      <c r="G64" s="697">
        <f>G65*('3. E1 KOSTNADER'!D13*'3. E1 KOSTNADER'!D15+'3. E1 KOSTNADER'!D17+'3. E1 KOSTNADER'!D24)</f>
        <v>0</v>
      </c>
      <c r="H64" s="697">
        <f>H65*('3. E1 KOSTNADER'!F13*'3. E1 KOSTNADER'!F15+'3. E1 KOSTNADER'!F17+'3. E1 KOSTNADER'!F24)</f>
        <v>0</v>
      </c>
      <c r="I64" s="697">
        <f>I65*('3. E1 KOSTNADER'!H13*'3. E1 KOSTNADER'!H15+'3. E1 KOSTNADER'!H17+'3. E1 KOSTNADER'!H24)</f>
        <v>0</v>
      </c>
      <c r="J64" s="681">
        <f>J65*('3. E1 KOSTNADER'!J13*'3. E1 KOSTNADER'!J15+'3. E1 KOSTNADER'!J17+'3. E1 KOSTNADER'!J24)</f>
        <v>0</v>
      </c>
      <c r="L64" s="355"/>
      <c r="M64" s="319"/>
      <c r="N64" s="319"/>
      <c r="O64" s="319"/>
      <c r="P64" s="319"/>
      <c r="Q64" s="319"/>
      <c r="R64" s="319"/>
      <c r="S64" s="319"/>
      <c r="T64" s="414"/>
    </row>
    <row r="65" spans="1:21">
      <c r="A65" s="249"/>
      <c r="B65" s="491"/>
      <c r="C65" s="1998" t="s">
        <v>250</v>
      </c>
      <c r="D65" s="1999"/>
      <c r="E65" s="2000"/>
      <c r="F65" s="960"/>
      <c r="G65" s="1072">
        <v>0</v>
      </c>
      <c r="H65" s="1072">
        <f>G65</f>
        <v>0</v>
      </c>
      <c r="I65" s="1073">
        <f>H65</f>
        <v>0</v>
      </c>
      <c r="J65" s="1074">
        <f>I65</f>
        <v>0</v>
      </c>
      <c r="L65" s="355"/>
      <c r="M65" s="319"/>
      <c r="N65" s="319"/>
      <c r="O65" s="319"/>
      <c r="P65" s="319"/>
      <c r="Q65" s="319"/>
      <c r="R65" s="319"/>
      <c r="S65" s="319"/>
      <c r="T65" s="414"/>
    </row>
    <row r="66" spans="1:21">
      <c r="B66" s="490" t="s">
        <v>82</v>
      </c>
      <c r="C66" s="2010" t="s">
        <v>251</v>
      </c>
      <c r="D66" s="2010"/>
      <c r="E66" s="2011"/>
      <c r="F66" s="740"/>
      <c r="G66" s="1283"/>
      <c r="H66" s="1283"/>
      <c r="I66" s="1284"/>
      <c r="J66" s="1285"/>
      <c r="L66" s="355"/>
      <c r="M66" s="319"/>
      <c r="N66" s="319"/>
      <c r="O66" s="319"/>
      <c r="P66" s="319"/>
      <c r="Q66" s="319"/>
      <c r="R66" s="319"/>
      <c r="S66" s="319"/>
      <c r="T66" s="414"/>
    </row>
    <row r="67" spans="1:21">
      <c r="A67" s="249"/>
      <c r="B67" s="490" t="s">
        <v>103</v>
      </c>
      <c r="C67" s="1982" t="s">
        <v>252</v>
      </c>
      <c r="D67" s="1982"/>
      <c r="E67" s="1983"/>
      <c r="F67" s="751"/>
      <c r="G67" s="1069">
        <f>G68+G69+G70+G73</f>
        <v>0</v>
      </c>
      <c r="H67" s="1069">
        <f>H68+H69+H70+H73</f>
        <v>0</v>
      </c>
      <c r="I67" s="1070">
        <f>I68+I69+I70+I73</f>
        <v>0</v>
      </c>
      <c r="J67" s="1071">
        <f>J68+J69+J70+J73</f>
        <v>0</v>
      </c>
      <c r="L67" s="355"/>
      <c r="M67" s="319"/>
      <c r="N67" s="319"/>
      <c r="O67" s="319"/>
      <c r="P67" s="319"/>
      <c r="Q67" s="319"/>
      <c r="R67" s="319"/>
      <c r="S67" s="319"/>
      <c r="T67" s="414"/>
    </row>
    <row r="68" spans="1:21">
      <c r="A68" s="249"/>
      <c r="B68" s="486" t="s">
        <v>0</v>
      </c>
      <c r="C68" s="2006" t="s">
        <v>253</v>
      </c>
      <c r="D68" s="2006"/>
      <c r="E68" s="2007"/>
      <c r="F68" s="713"/>
      <c r="G68" s="697">
        <f>'AT2 Lainat, sotum., alv'!T8+'AT2 Lainat, sotum., alv'!T9+'AT2 Lainat, sotum., alv'!T10+'AT2 Lainat, sotum., alv'!T11-'5. T4 FINANSIERINGSB.'!G34</f>
        <v>0</v>
      </c>
      <c r="H68" s="697">
        <f>'AT2 Lainat, sotum., alv'!Z8+'AT2 Lainat, sotum., alv'!Z9+'AT2 Lainat, sotum., alv'!Z10+'AT2 Lainat, sotum., alv'!Z11+'AT2 Lainat, sotum., alv'!Z12+'AT2 Lainat, sotum., alv'!Z13+'AT2 Lainat, sotum., alv'!Z14+'AT2 Lainat, sotum., alv'!Z15-'5. T4 FINANSIERINGSB.'!G34-'5. T4 FINANSIERINGSB.'!H34</f>
        <v>0</v>
      </c>
      <c r="I68" s="697">
        <f>'AT2 Lainat, sotum., alv'!AF8+'AT2 Lainat, sotum., alv'!AF9+'AT2 Lainat, sotum., alv'!AF10+'AT2 Lainat, sotum., alv'!AF11+'AT2 Lainat, sotum., alv'!AF12+'AT2 Lainat, sotum., alv'!AF13+'AT2 Lainat, sotum., alv'!AF14+'AT2 Lainat, sotum., alv'!AF15+'AT2 Lainat, sotum., alv'!AF16+'AT2 Lainat, sotum., alv'!AF17+'AT2 Lainat, sotum., alv'!AF18+'AT2 Lainat, sotum., alv'!AF19-'5. T4 FINANSIERINGSB.'!G34-'5. T4 FINANSIERINGSB.'!H34-'5. T4 FINANSIERINGSB.'!I34</f>
        <v>0</v>
      </c>
      <c r="J68" s="681">
        <f>'AT2 Lainat, sotum., alv'!AL24-'5. T4 FINANSIERINGSB.'!G34-'5. T4 FINANSIERINGSB.'!H34-'5. T4 FINANSIERINGSB.'!I34-'5. T4 FINANSIERINGSB.'!J34</f>
        <v>0</v>
      </c>
      <c r="L68" s="355"/>
      <c r="M68" s="319"/>
      <c r="N68" s="319"/>
      <c r="O68" s="319"/>
      <c r="P68" s="319"/>
      <c r="Q68" s="319"/>
      <c r="R68" s="319"/>
      <c r="S68" s="319"/>
      <c r="T68" s="414"/>
    </row>
    <row r="69" spans="1:21">
      <c r="A69" s="249"/>
      <c r="B69" s="486" t="s">
        <v>0</v>
      </c>
      <c r="C69" s="1937" t="s">
        <v>254</v>
      </c>
      <c r="D69" s="1937"/>
      <c r="E69" s="1978"/>
      <c r="F69" s="711"/>
      <c r="G69" s="1320">
        <f>'1. T1 INVESTERINGSP.'!D51</f>
        <v>0</v>
      </c>
      <c r="H69" s="680">
        <f>G69+'1. T1 INVESTERINGSP.'!E51</f>
        <v>0</v>
      </c>
      <c r="I69" s="680">
        <f>H69+'1. T1 INVESTERINGSP.'!F51</f>
        <v>0</v>
      </c>
      <c r="J69" s="1040">
        <f>I69+'1. T1 INVESTERINGSP.'!G51</f>
        <v>0</v>
      </c>
      <c r="L69" s="355"/>
      <c r="M69" s="319" t="s">
        <v>0</v>
      </c>
      <c r="N69" s="319"/>
      <c r="O69" s="319"/>
      <c r="P69" s="319"/>
      <c r="Q69" s="319"/>
      <c r="R69" s="319"/>
      <c r="S69" s="319"/>
      <c r="T69" s="414"/>
    </row>
    <row r="70" spans="1:21">
      <c r="B70" s="486" t="s">
        <v>0</v>
      </c>
      <c r="C70" s="469" t="s">
        <v>255</v>
      </c>
      <c r="D70" s="469"/>
      <c r="E70" s="471"/>
      <c r="F70" s="711"/>
      <c r="G70" s="697">
        <f>G71+G72</f>
        <v>0</v>
      </c>
      <c r="H70" s="697">
        <f>H71+H72</f>
        <v>0</v>
      </c>
      <c r="I70" s="1038">
        <f>I71+I72</f>
        <v>0</v>
      </c>
      <c r="J70" s="681">
        <f>J71+J72</f>
        <v>0</v>
      </c>
      <c r="L70" s="355"/>
      <c r="M70" s="319"/>
      <c r="N70" s="319"/>
      <c r="O70" s="319"/>
      <c r="P70" s="319"/>
      <c r="Q70" s="319"/>
      <c r="R70" s="319"/>
      <c r="S70" s="319"/>
      <c r="T70" s="414"/>
    </row>
    <row r="71" spans="1:21">
      <c r="A71" s="249"/>
      <c r="B71" s="486"/>
      <c r="C71" s="469" t="s">
        <v>256</v>
      </c>
      <c r="D71" s="469"/>
      <c r="E71" s="471"/>
      <c r="F71" s="711"/>
      <c r="G71" s="680">
        <v>0</v>
      </c>
      <c r="H71" s="680">
        <f>G71</f>
        <v>0</v>
      </c>
      <c r="I71" s="1039">
        <f t="shared" ref="I71:J71" si="1">H71</f>
        <v>0</v>
      </c>
      <c r="J71" s="1040">
        <f t="shared" si="1"/>
        <v>0</v>
      </c>
      <c r="L71" s="445">
        <f>IF(G71&gt;0,"TILLÄGG RÄNTAN AV LEVERANTÖRSKULDER I TABELL 2. T7 LÅN, PUNKT 'Övriga långfristiga lån, utan skuldebrev'!",IF(H71&gt;0,"TILLÄGG RÄNTAN AV LEVERANTÖRSKULDER I TABELL 2. T7 LÅN, PUNKT 'Övriga långfristiga lån, utan skuldebrev!",IF(I71&gt;0,"TILLÄGG RÄNTAN AV LEVERANTÖRSKULDER I TABELL 2. T7 LÅN, PUNKT 'Övriga långfristiga lån, utan skuldebrev'!",IF(J71&gt;0, "TILLÄGG RÄNTAN AV LEVERANTÖRSKULDER I TABELL 2. T7 LÅN, PUNKT 'Övriga långfristiga lån, utan skuldebrev'!",0))))</f>
        <v>0</v>
      </c>
      <c r="M71" s="605"/>
      <c r="N71" s="605"/>
      <c r="O71" s="605"/>
      <c r="P71" s="605"/>
      <c r="Q71" s="605"/>
      <c r="R71" s="605"/>
      <c r="S71" s="605"/>
      <c r="T71" s="619"/>
      <c r="U71" s="401"/>
    </row>
    <row r="72" spans="1:21">
      <c r="A72" s="6"/>
      <c r="B72" s="486"/>
      <c r="C72" s="469" t="s">
        <v>257</v>
      </c>
      <c r="D72" s="469"/>
      <c r="E72" s="471"/>
      <c r="F72" s="752"/>
      <c r="G72" s="697">
        <f>'AT2 Lainat, sotum., alv'!T32</f>
        <v>0</v>
      </c>
      <c r="H72" s="697">
        <f>'AT2 Lainat, sotum., alv'!Z32+'AT2 Lainat, sotum., alv'!Z35</f>
        <v>0</v>
      </c>
      <c r="I72" s="697">
        <f>'AT2 Lainat, sotum., alv'!AF32+'AT2 Lainat, sotum., alv'!AF35+'AT2 Lainat, sotum., alv'!AF38</f>
        <v>0</v>
      </c>
      <c r="J72" s="681">
        <f>IF('2. T7 LÅN'!O37=0,'AT2 Lainat, sotum., alv'!AL28+'AT2 Lainat, sotum., alv'!AL32+'AT2 Lainat, sotum., alv'!AL35+'AT2 Lainat, sotum., alv'!AL38,'AT2 Lainat, sotum., alv'!AL31+'AT2 Lainat, sotum., alv'!AL44)</f>
        <v>0</v>
      </c>
      <c r="L72" s="355"/>
      <c r="M72" s="319"/>
      <c r="N72" s="319"/>
      <c r="O72" s="319"/>
      <c r="P72" s="319"/>
      <c r="Q72" s="319"/>
      <c r="R72" s="319"/>
      <c r="S72" s="319"/>
      <c r="T72" s="414"/>
    </row>
    <row r="73" spans="1:21">
      <c r="A73" s="6"/>
      <c r="B73" s="486"/>
      <c r="C73" s="1937" t="s">
        <v>258</v>
      </c>
      <c r="D73" s="1937"/>
      <c r="E73" s="1978"/>
      <c r="F73" s="711"/>
      <c r="G73" s="1320">
        <f>'2. T7 LÅN'!C43-'2. T7 LÅN'!G43</f>
        <v>0</v>
      </c>
      <c r="H73" s="1320">
        <f>G73-'2. T7 LÅN'!J43</f>
        <v>0</v>
      </c>
      <c r="I73" s="1352">
        <f>H73-'2. T7 LÅN'!M43</f>
        <v>0</v>
      </c>
      <c r="J73" s="1351">
        <f>I73-'2. T7 LÅN'!P43</f>
        <v>0</v>
      </c>
      <c r="L73" s="355"/>
      <c r="M73" s="319"/>
      <c r="N73" s="319"/>
      <c r="O73" s="319"/>
      <c r="P73" s="319"/>
      <c r="Q73" s="319"/>
      <c r="R73" s="319"/>
      <c r="S73" s="319"/>
      <c r="T73" s="414"/>
    </row>
    <row r="74" spans="1:21">
      <c r="A74" s="249"/>
      <c r="B74" s="490" t="s">
        <v>104</v>
      </c>
      <c r="C74" s="1982" t="s">
        <v>259</v>
      </c>
      <c r="D74" s="1982"/>
      <c r="E74" s="1983"/>
      <c r="F74" s="751"/>
      <c r="G74" s="1069">
        <f>G75+G78+G79+G83+G89+G94</f>
        <v>0</v>
      </c>
      <c r="H74" s="1069">
        <f>H75+H78+H79+H83+H89+H94</f>
        <v>0</v>
      </c>
      <c r="I74" s="1069">
        <f>I75+I78+I79+I83+I89+I94</f>
        <v>0</v>
      </c>
      <c r="J74" s="1071">
        <f>J75+J78+J79+J83+J89+J94</f>
        <v>0</v>
      </c>
      <c r="L74" s="355"/>
      <c r="M74" s="319"/>
      <c r="N74" s="319"/>
      <c r="O74" s="319"/>
      <c r="P74" s="319"/>
      <c r="Q74" s="319"/>
      <c r="R74" s="319"/>
      <c r="S74" s="319"/>
      <c r="T74" s="414"/>
    </row>
    <row r="75" spans="1:21">
      <c r="B75" s="486" t="s">
        <v>0</v>
      </c>
      <c r="C75" s="2006" t="s">
        <v>253</v>
      </c>
      <c r="D75" s="2006"/>
      <c r="E75" s="2007"/>
      <c r="F75" s="713"/>
      <c r="G75" s="1018">
        <f>G76+G77</f>
        <v>0</v>
      </c>
      <c r="H75" s="1018">
        <f>H76+H77</f>
        <v>0</v>
      </c>
      <c r="I75" s="1018">
        <f>I76+I77</f>
        <v>0</v>
      </c>
      <c r="J75" s="1075">
        <f>J76+J77</f>
        <v>0</v>
      </c>
      <c r="L75" s="355"/>
      <c r="M75" s="319"/>
      <c r="N75" s="319"/>
      <c r="O75" s="319"/>
      <c r="P75" s="319"/>
      <c r="Q75" s="319"/>
      <c r="R75" s="319"/>
      <c r="S75" s="319"/>
      <c r="T75" s="414"/>
    </row>
    <row r="76" spans="1:21">
      <c r="A76" s="249"/>
      <c r="B76" s="486"/>
      <c r="C76" s="512" t="s">
        <v>260</v>
      </c>
      <c r="D76" s="512"/>
      <c r="E76" s="513"/>
      <c r="F76" s="713"/>
      <c r="G76" s="1076">
        <f>'2. T7 LÅN'!J13+'2. T7 LÅN'!J14+'2. T7 LÅN'!J15+'2. T7 LÅN'!J16</f>
        <v>0</v>
      </c>
      <c r="H76" s="1076">
        <f>'2. T7 LÅN'!M13+'2. T7 LÅN'!M14+'2. T7 LÅN'!M15+'2. T7 LÅN'!M16+'2. T7 LÅN'!M18+'2. T7 LÅN'!M19+'2. T7 LÅN'!M20+'2. T7 LÅN'!M21</f>
        <v>0</v>
      </c>
      <c r="I76" s="1076">
        <f>'2. T7 LÅN'!P13+'2. T7 LÅN'!P14+'2. T7 LÅN'!P15+'2. T7 LÅN'!P16+'2. T7 LÅN'!P18+'2. T7 LÅN'!P19+'2. T7 LÅN'!P20+'2. T7 LÅN'!P21+'2. T7 LÅN'!P23+'2. T7 LÅN'!P24+'2. T7 LÅN'!P25+'2. T7 LÅN'!P26</f>
        <v>0</v>
      </c>
      <c r="J76" s="1077">
        <f>'AT2 Lainat, sotum., alv'!AJ24</f>
        <v>0</v>
      </c>
      <c r="L76" s="355"/>
      <c r="M76" s="319"/>
      <c r="N76" s="319"/>
      <c r="O76" s="319"/>
      <c r="P76" s="319"/>
      <c r="Q76" s="319"/>
      <c r="R76" s="319"/>
      <c r="S76" s="319"/>
      <c r="T76" s="414"/>
    </row>
    <row r="77" spans="1:21">
      <c r="B77" s="486"/>
      <c r="C77" s="512" t="s">
        <v>261</v>
      </c>
      <c r="D77" s="512"/>
      <c r="E77" s="513"/>
      <c r="F77" s="713"/>
      <c r="G77" s="680">
        <f>'2. T7 LÅN'!C39</f>
        <v>0</v>
      </c>
      <c r="H77" s="1040">
        <f t="shared" ref="H77:J78" si="2">G77</f>
        <v>0</v>
      </c>
      <c r="I77" s="1040">
        <f t="shared" si="2"/>
        <v>0</v>
      </c>
      <c r="J77" s="1040">
        <f t="shared" si="2"/>
        <v>0</v>
      </c>
      <c r="L77" s="355"/>
      <c r="M77" s="319"/>
      <c r="N77" s="319"/>
      <c r="O77" s="319"/>
      <c r="P77" s="319"/>
      <c r="Q77" s="319"/>
      <c r="R77" s="319"/>
      <c r="S77" s="319"/>
      <c r="T77" s="414"/>
    </row>
    <row r="78" spans="1:21">
      <c r="A78" s="249"/>
      <c r="B78" s="486" t="s">
        <v>0</v>
      </c>
      <c r="C78" s="1937" t="s">
        <v>254</v>
      </c>
      <c r="D78" s="1937"/>
      <c r="E78" s="1978"/>
      <c r="F78" s="711"/>
      <c r="G78" s="680">
        <v>0</v>
      </c>
      <c r="H78" s="680">
        <f t="shared" si="2"/>
        <v>0</v>
      </c>
      <c r="I78" s="680">
        <f t="shared" si="2"/>
        <v>0</v>
      </c>
      <c r="J78" s="1040">
        <f t="shared" si="2"/>
        <v>0</v>
      </c>
      <c r="L78" s="355" t="s">
        <v>0</v>
      </c>
      <c r="M78" s="319"/>
      <c r="N78" s="319"/>
      <c r="O78" s="319"/>
      <c r="P78" s="319"/>
      <c r="Q78" s="319"/>
      <c r="R78" s="319"/>
      <c r="S78" s="319"/>
      <c r="T78" s="414"/>
    </row>
    <row r="79" spans="1:21">
      <c r="A79" s="6"/>
      <c r="B79" s="486" t="s">
        <v>0</v>
      </c>
      <c r="C79" s="469" t="s">
        <v>255</v>
      </c>
      <c r="D79" s="469"/>
      <c r="E79" s="471"/>
      <c r="F79" s="711"/>
      <c r="G79" s="697">
        <f>G80+G82</f>
        <v>0</v>
      </c>
      <c r="H79" s="697">
        <f>H80+H82</f>
        <v>0</v>
      </c>
      <c r="I79" s="1038">
        <f>I80+I82</f>
        <v>0</v>
      </c>
      <c r="J79" s="681">
        <f>J80+J82</f>
        <v>0</v>
      </c>
      <c r="L79" s="355"/>
      <c r="M79" s="319"/>
      <c r="N79" s="319"/>
      <c r="O79" s="319">
        <v>0</v>
      </c>
      <c r="P79" s="319"/>
      <c r="Q79" s="319"/>
      <c r="R79" s="319"/>
      <c r="S79" s="319"/>
      <c r="T79" s="414"/>
    </row>
    <row r="80" spans="1:21">
      <c r="A80" s="249"/>
      <c r="B80" s="486"/>
      <c r="C80" s="469" t="s">
        <v>256</v>
      </c>
      <c r="D80" s="469"/>
      <c r="E80" s="471"/>
      <c r="F80" s="711"/>
      <c r="G80" s="697">
        <f>'5. T4 FINANSIERINGSB.'!G54</f>
        <v>0</v>
      </c>
      <c r="H80" s="697">
        <f>'5. T4 FINANSIERINGSB.'!H54</f>
        <v>0</v>
      </c>
      <c r="I80" s="697">
        <f>'5. T4 FINANSIERINGSB.'!I54</f>
        <v>0</v>
      </c>
      <c r="J80" s="681">
        <f>'5. T4 FINANSIERINGSB.'!J54</f>
        <v>0</v>
      </c>
      <c r="L80" s="355"/>
      <c r="M80" s="319"/>
      <c r="N80" s="319"/>
      <c r="O80" s="319"/>
      <c r="P80" s="319"/>
      <c r="Q80" s="319"/>
      <c r="R80" s="319"/>
      <c r="S80" s="319"/>
      <c r="T80" s="414"/>
    </row>
    <row r="81" spans="1:20">
      <c r="B81" s="486"/>
      <c r="C81" s="2001" t="s">
        <v>476</v>
      </c>
      <c r="D81" s="2002"/>
      <c r="E81" s="2003"/>
      <c r="F81" s="961">
        <v>0</v>
      </c>
      <c r="G81" s="1052">
        <f>'5. T4 FINANSIERINGSB.'!G55</f>
        <v>14</v>
      </c>
      <c r="H81" s="1052">
        <f>'5. T4 FINANSIERINGSB.'!H55</f>
        <v>14</v>
      </c>
      <c r="I81" s="1052">
        <f>'5. T4 FINANSIERINGSB.'!I55</f>
        <v>14</v>
      </c>
      <c r="J81" s="1054">
        <f>'5. T4 FINANSIERINGSB.'!J55</f>
        <v>14</v>
      </c>
      <c r="L81" s="355"/>
      <c r="M81" s="319"/>
      <c r="N81" s="319"/>
      <c r="O81" s="319"/>
      <c r="P81" s="319"/>
      <c r="Q81" s="319"/>
      <c r="R81" s="319"/>
      <c r="S81" s="319"/>
      <c r="T81" s="414"/>
    </row>
    <row r="82" spans="1:20">
      <c r="A82" s="249"/>
      <c r="B82" s="486"/>
      <c r="C82" s="469" t="s">
        <v>257</v>
      </c>
      <c r="D82" s="469"/>
      <c r="E82" s="471"/>
      <c r="F82" s="752"/>
      <c r="G82" s="697">
        <f>'AT2 Lainat, sotum., alv'!R32</f>
        <v>0</v>
      </c>
      <c r="H82" s="697">
        <f>'AT2 Lainat, sotum., alv'!X32+'AT2 Lainat, sotum., alv'!X35</f>
        <v>0</v>
      </c>
      <c r="I82" s="697">
        <f>'AT2 Lainat, sotum., alv'!AD32+'AT2 Lainat, sotum., alv'!AD35+'AT2 Lainat, sotum., alv'!AD38</f>
        <v>0</v>
      </c>
      <c r="J82" s="681">
        <f>'AT2 Lainat, sotum., alv'!AJ32+'AT2 Lainat, sotum., alv'!AJ35+'AT2 Lainat, sotum., alv'!AJ38+'AT2 Lainat, sotum., alv'!AJ41</f>
        <v>0</v>
      </c>
      <c r="L82" s="355"/>
      <c r="M82" s="319"/>
      <c r="N82" s="319"/>
      <c r="O82" s="319"/>
      <c r="P82" s="319"/>
      <c r="Q82" s="319"/>
      <c r="R82" s="319"/>
      <c r="S82" s="319"/>
      <c r="T82" s="414"/>
    </row>
    <row r="83" spans="1:20">
      <c r="A83" s="6"/>
      <c r="B83" s="486"/>
      <c r="C83" s="1937" t="s">
        <v>262</v>
      </c>
      <c r="D83" s="1937"/>
      <c r="E83" s="1978"/>
      <c r="F83" s="711"/>
      <c r="G83" s="697">
        <f>G84+G86+G87+G88</f>
        <v>0</v>
      </c>
      <c r="H83" s="697">
        <f>H84+H86+H87+H88</f>
        <v>0</v>
      </c>
      <c r="I83" s="1038">
        <f>I84+I86+I87+I88</f>
        <v>0</v>
      </c>
      <c r="J83" s="681">
        <f>J84+J86+J87+J88</f>
        <v>0</v>
      </c>
      <c r="L83" s="355"/>
      <c r="M83" s="319"/>
      <c r="N83" s="319"/>
      <c r="O83" s="319"/>
      <c r="P83" s="319"/>
      <c r="Q83" s="319"/>
      <c r="R83" s="319"/>
      <c r="S83" s="319"/>
      <c r="T83" s="414"/>
    </row>
    <row r="84" spans="1:20">
      <c r="B84" s="486"/>
      <c r="C84" s="512" t="s">
        <v>263</v>
      </c>
      <c r="D84" s="468"/>
      <c r="E84" s="539"/>
      <c r="F84" s="712"/>
      <c r="G84" s="691">
        <f>G85*('3. E1 KOSTNADER'!D13+'3. E1 KOSTNADER'!D14+'3. E1 KOSTNADER'!D22/12+'3. E1 KOSTNADER'!D17/12+'3. E1 KOSTNADER'!D24/12+'3. E1 KOSTNADER'!D28/12)</f>
        <v>0</v>
      </c>
      <c r="H84" s="691">
        <f>H85*('3. E1 KOSTNADER'!F13+'3. E1 KOSTNADER'!F14+'3. E1 KOSTNADER'!F22/12+'3. E1 KOSTNADER'!F17/12+'3. E1 KOSTNADER'!F24/12+'3. E1 KOSTNADER'!F28/12)</f>
        <v>0</v>
      </c>
      <c r="I84" s="691">
        <f>I85*('3. E1 KOSTNADER'!H13+'3. E1 KOSTNADER'!H14+'3. E1 KOSTNADER'!H22/12+'3. E1 KOSTNADER'!H17/12+'3. E1 KOSTNADER'!H24/12+'3. E1 KOSTNADER'!H28/12)</f>
        <v>0</v>
      </c>
      <c r="J84" s="681">
        <f>J85*('3. E1 KOSTNADER'!J13+'3. E1 KOSTNADER'!J14+'3. E1 KOSTNADER'!J22/12+'3. E1 KOSTNADER'!J17/12+'3. E1 KOSTNADER'!J24/12+'3. E1 KOSTNADER'!J28/12)</f>
        <v>0</v>
      </c>
      <c r="L84" s="355"/>
      <c r="M84" s="319"/>
      <c r="N84" s="319"/>
      <c r="O84" s="319"/>
      <c r="P84" s="319"/>
      <c r="Q84" s="319"/>
      <c r="R84" s="319"/>
      <c r="S84" s="319"/>
      <c r="T84" s="414"/>
    </row>
    <row r="85" spans="1:20">
      <c r="A85" s="249"/>
      <c r="B85" s="486"/>
      <c r="C85" s="1998" t="s">
        <v>264</v>
      </c>
      <c r="D85" s="1999"/>
      <c r="E85" s="2000"/>
      <c r="F85" s="962"/>
      <c r="G85" s="1078">
        <v>0.25</v>
      </c>
      <c r="H85" s="1078">
        <f>G85</f>
        <v>0.25</v>
      </c>
      <c r="I85" s="1078">
        <f>H85</f>
        <v>0.25</v>
      </c>
      <c r="J85" s="1079">
        <f>I85</f>
        <v>0.25</v>
      </c>
      <c r="L85" s="355"/>
      <c r="M85" s="319"/>
      <c r="N85" s="319"/>
      <c r="O85" s="319"/>
      <c r="P85" s="319"/>
      <c r="Q85" s="319"/>
      <c r="R85" s="319"/>
      <c r="S85" s="319"/>
      <c r="T85" s="414"/>
    </row>
    <row r="86" spans="1:20">
      <c r="B86" s="486"/>
      <c r="C86" s="512" t="s">
        <v>265</v>
      </c>
      <c r="D86" s="512"/>
      <c r="E86" s="513"/>
      <c r="F86" s="712"/>
      <c r="G86" s="691">
        <f>'8. T5 KASSABUDGET'!AC25*('3. E1 KOSTNADER'!D13+'3. E1 KOSTNADER'!D14+'3. E1 KOSTNADER'!D17/12+'3. E1 KOSTNADER'!D22/12+'3. E1 KOSTNADER'!D24/12+'3. E1 KOSTNADER'!D28/12)</f>
        <v>0</v>
      </c>
      <c r="H86" s="691">
        <f>'8. T5 KASSABUDGET'!AC25*('3. E1 KOSTNADER'!F13+'3. E1 KOSTNADER'!F14+'3. E1 KOSTNADER'!F17/12+'3. E1 KOSTNADER'!F22/12+'3. E1 KOSTNADER'!F24/12+'3. E1 KOSTNADER'!F28/12)</f>
        <v>0</v>
      </c>
      <c r="I86" s="691">
        <f>'8. T5 KASSABUDGET'!AC25*('3. E1 KOSTNADER'!H13+'3. E1 KOSTNADER'!H14+'3. E1 KOSTNADER'!H17/12+'3. E1 KOSTNADER'!H22/12+'3. E1 KOSTNADER'!H24/12+'3. E1 KOSTNADER'!H28/12)</f>
        <v>0</v>
      </c>
      <c r="J86" s="690">
        <f>'8. T5 KASSABUDGET'!AC25*('3. E1 KOSTNADER'!J13+'3. E1 KOSTNADER'!J14+'3. E1 KOSTNADER'!J17/12+'3. E1 KOSTNADER'!J22/12+'3. E1 KOSTNADER'!J24/12+'3. E1 KOSTNADER'!J28/12)</f>
        <v>0</v>
      </c>
      <c r="L86" s="355"/>
      <c r="M86" s="319"/>
      <c r="N86" s="319"/>
      <c r="O86" s="319"/>
      <c r="P86" s="319"/>
      <c r="Q86" s="319"/>
      <c r="R86" s="319"/>
      <c r="S86" s="319"/>
      <c r="T86" s="414"/>
    </row>
    <row r="87" spans="1:20">
      <c r="B87" s="486"/>
      <c r="C87" s="1937" t="s">
        <v>266</v>
      </c>
      <c r="D87" s="1937"/>
      <c r="E87" s="1978"/>
      <c r="F87" s="712"/>
      <c r="G87" s="689">
        <f>('4. E2 OMSÄTTNING'!E13-'4. E2 OMSÄTTNING'!E14-IF('4. E2 OMSÄTTNING'!E13=0,0,'AT2 Lainat, sotum., alv'!D59)+G94)/6</f>
        <v>0</v>
      </c>
      <c r="H87" s="689">
        <f>('4. E2 OMSÄTTNING'!F13-'4. E2 OMSÄTTNING'!F14-IF('4. E2 OMSÄTTNING'!F13=0,0,'AT2 Lainat, sotum., alv'!F59)+H94)/6</f>
        <v>0</v>
      </c>
      <c r="I87" s="689">
        <f>('4. E2 OMSÄTTNING'!G13-'4. E2 OMSÄTTNING'!G14-IF('4. E2 OMSÄTTNING'!G13=0,0,'AT2 Lainat, sotum., alv'!H59)+I94)/6</f>
        <v>0</v>
      </c>
      <c r="J87" s="1040">
        <f>('4. E2 OMSÄTTNING'!H13-'4. E2 OMSÄTTNING'!H14-IF('4. E2 OMSÄTTNING'!H13=0,0,'AT2 Lainat, sotum., alv'!J59)+J94)/6</f>
        <v>0</v>
      </c>
      <c r="L87" s="355"/>
      <c r="M87" s="319"/>
      <c r="N87" s="319"/>
      <c r="O87" s="319"/>
      <c r="P87" s="319"/>
      <c r="Q87" s="319"/>
      <c r="R87" s="319"/>
      <c r="S87" s="319"/>
      <c r="T87" s="414"/>
    </row>
    <row r="88" spans="1:20">
      <c r="B88" s="486"/>
      <c r="C88" s="1937" t="s">
        <v>267</v>
      </c>
      <c r="D88" s="1937"/>
      <c r="E88" s="1978"/>
      <c r="F88" s="712"/>
      <c r="G88" s="689">
        <v>0</v>
      </c>
      <c r="H88" s="689"/>
      <c r="I88" s="689"/>
      <c r="J88" s="1082"/>
      <c r="L88" s="355"/>
      <c r="M88" s="319"/>
      <c r="N88" s="319"/>
      <c r="O88" s="319"/>
      <c r="P88" s="319"/>
      <c r="Q88" s="319"/>
      <c r="R88" s="319"/>
      <c r="S88" s="319"/>
      <c r="T88" s="414"/>
    </row>
    <row r="89" spans="1:20" s="1" customFormat="1">
      <c r="B89" s="486" t="s">
        <v>0</v>
      </c>
      <c r="C89" s="469" t="s">
        <v>268</v>
      </c>
      <c r="D89" s="468"/>
      <c r="E89" s="540"/>
      <c r="F89" s="712"/>
      <c r="G89" s="1080">
        <f>G91+G90+G92</f>
        <v>0</v>
      </c>
      <c r="H89" s="1080">
        <f>H91+H90+H92</f>
        <v>0</v>
      </c>
      <c r="I89" s="1080">
        <f>I91+I90+I92</f>
        <v>0</v>
      </c>
      <c r="J89" s="1081">
        <f>J91+J90+J92</f>
        <v>0</v>
      </c>
      <c r="L89" s="355"/>
      <c r="M89" s="319"/>
      <c r="N89" s="319"/>
      <c r="O89" s="319"/>
      <c r="P89" s="319"/>
      <c r="Q89" s="319"/>
      <c r="R89" s="319"/>
      <c r="S89" s="319"/>
      <c r="T89" s="414"/>
    </row>
    <row r="90" spans="1:20" s="1" customFormat="1">
      <c r="B90" s="486"/>
      <c r="C90" s="1937" t="s">
        <v>269</v>
      </c>
      <c r="D90" s="1937"/>
      <c r="E90" s="1978"/>
      <c r="F90" s="711"/>
      <c r="G90" s="689">
        <v>0</v>
      </c>
      <c r="H90" s="689"/>
      <c r="I90" s="689"/>
      <c r="J90" s="1082"/>
      <c r="L90" s="355"/>
      <c r="M90" s="319"/>
      <c r="N90" s="319"/>
      <c r="O90" s="319"/>
      <c r="P90" s="319"/>
      <c r="Q90" s="319"/>
      <c r="R90" s="319"/>
      <c r="S90" s="319"/>
      <c r="T90" s="414"/>
    </row>
    <row r="91" spans="1:20" s="1" customFormat="1">
      <c r="B91" s="486"/>
      <c r="C91" s="1937" t="s">
        <v>270</v>
      </c>
      <c r="D91" s="1937"/>
      <c r="E91" s="1978"/>
      <c r="F91" s="753"/>
      <c r="G91" s="697">
        <f>(('3. E1 KOSTNADER'!D12+'3. E1 KOSTNADER'!D17+'3. E1 KOSTNADER'!D24)/12/25)*30+0.5*30*('3. E1 KOSTNADER'!D12+'3. E1 KOSTNADER'!D17+'3. E1 KOSTNADER'!D24)/12/25</f>
        <v>0</v>
      </c>
      <c r="H91" s="697">
        <f>(('3. E1 KOSTNADER'!F12+'3. E1 KOSTNADER'!F17+'3. E1 KOSTNADER'!F24)/12.5/25)*30+0.5*30*('3. E1 KOSTNADER'!F12+'3. E1 KOSTNADER'!F17+'3. E1 KOSTNADER'!F24)/12.5/25</f>
        <v>0</v>
      </c>
      <c r="I91" s="697">
        <f>(('3. E1 KOSTNADER'!H12+'3. E1 KOSTNADER'!H17+'3. E1 KOSTNADER'!H24)/12.5/25)*30+0.5*30*('3. E1 KOSTNADER'!H12+'3. E1 KOSTNADER'!H17+'3. E1 KOSTNADER'!H24)/12.5/25</f>
        <v>0</v>
      </c>
      <c r="J91" s="681">
        <f>(('3. E1 KOSTNADER'!J12+'3. E1 KOSTNADER'!J17+'3. E1 KOSTNADER'!J24)/12.5/25)*30+0.5*30*('3. E1 KOSTNADER'!J12+'3. E1 KOSTNADER'!J17+'3. E1 KOSTNADER'!J24)/12.5/25</f>
        <v>0</v>
      </c>
      <c r="L91" s="355"/>
      <c r="M91" s="319"/>
      <c r="N91" s="319"/>
      <c r="O91" s="319"/>
      <c r="P91" s="319"/>
      <c r="Q91" s="319"/>
      <c r="R91" s="319"/>
      <c r="S91" s="319"/>
      <c r="T91" s="414"/>
    </row>
    <row r="92" spans="1:20" s="1" customFormat="1">
      <c r="B92" s="486"/>
      <c r="C92" s="469" t="s">
        <v>271</v>
      </c>
      <c r="D92" s="468"/>
      <c r="E92" s="540"/>
      <c r="F92" s="711"/>
      <c r="G92" s="691">
        <f>G91*G93</f>
        <v>0</v>
      </c>
      <c r="H92" s="691">
        <f>H91*H93</f>
        <v>0</v>
      </c>
      <c r="I92" s="691">
        <f>I91*I93</f>
        <v>0</v>
      </c>
      <c r="J92" s="690">
        <f>J91*J93</f>
        <v>0</v>
      </c>
      <c r="L92" s="355"/>
      <c r="M92" s="319">
        <v>0</v>
      </c>
      <c r="N92" s="319"/>
      <c r="O92" s="319"/>
      <c r="P92" s="319"/>
      <c r="Q92" s="319"/>
      <c r="R92" s="319"/>
      <c r="S92" s="319"/>
      <c r="T92" s="414"/>
    </row>
    <row r="93" spans="1:20" s="1" customFormat="1">
      <c r="B93" s="486"/>
      <c r="C93" s="957" t="s">
        <v>272</v>
      </c>
      <c r="D93" s="963"/>
      <c r="E93" s="964"/>
      <c r="F93" s="965"/>
      <c r="G93" s="1089">
        <v>0.19339999999999999</v>
      </c>
      <c r="H93" s="1089">
        <f>G93</f>
        <v>0.19339999999999999</v>
      </c>
      <c r="I93" s="1089">
        <f>H93</f>
        <v>0.19339999999999999</v>
      </c>
      <c r="J93" s="1090">
        <f>I93</f>
        <v>0.19339999999999999</v>
      </c>
      <c r="L93" s="355"/>
      <c r="M93" s="319"/>
      <c r="N93" s="319"/>
      <c r="O93" s="319"/>
      <c r="P93" s="319"/>
      <c r="Q93" s="319"/>
      <c r="R93" s="319"/>
      <c r="S93" s="319"/>
      <c r="T93" s="414"/>
    </row>
    <row r="94" spans="1:20">
      <c r="B94" s="486"/>
      <c r="C94" s="178" t="s">
        <v>273</v>
      </c>
      <c r="D94" s="670"/>
      <c r="E94" s="671"/>
      <c r="F94" s="711"/>
      <c r="G94" s="697">
        <f>'5. T4 FINANSIERINGSB.'!G56</f>
        <v>0</v>
      </c>
      <c r="H94" s="697">
        <f>'5. T4 FINANSIERINGSB.'!H56</f>
        <v>0</v>
      </c>
      <c r="I94" s="697">
        <f>'5. T4 FINANSIERINGSB.'!I56</f>
        <v>0</v>
      </c>
      <c r="J94" s="681">
        <f>'5. T4 FINANSIERINGSB.'!J56</f>
        <v>0</v>
      </c>
      <c r="L94" s="446"/>
      <c r="M94" s="416"/>
      <c r="N94" s="416"/>
      <c r="O94" s="416"/>
      <c r="P94" s="416"/>
      <c r="Q94" s="416"/>
      <c r="R94" s="416"/>
      <c r="S94" s="416"/>
      <c r="T94" s="417"/>
    </row>
    <row r="95" spans="1:20">
      <c r="B95" s="672"/>
      <c r="C95" s="1975" t="s">
        <v>526</v>
      </c>
      <c r="D95" s="1976"/>
      <c r="E95" s="1977"/>
      <c r="F95" s="966"/>
      <c r="G95" s="1083">
        <f>'5. T4 FINANSIERINGSB.'!G57</f>
        <v>0</v>
      </c>
      <c r="H95" s="1083">
        <f>'5. T4 FINANSIERINGSB.'!H57</f>
        <v>0</v>
      </c>
      <c r="I95" s="1083">
        <f>'5. T4 FINANSIERINGSB.'!I57</f>
        <v>0</v>
      </c>
      <c r="J95" s="1051">
        <f>'5. T4 FINANSIERINGSB.'!J57</f>
        <v>0</v>
      </c>
      <c r="L95" s="160"/>
      <c r="M95" s="160"/>
      <c r="N95" s="160"/>
      <c r="O95" s="160"/>
      <c r="P95" s="160"/>
      <c r="Q95" s="160"/>
      <c r="R95" s="160"/>
      <c r="S95" s="160"/>
      <c r="T95" s="160"/>
    </row>
    <row r="96" spans="1:20" ht="6" customHeight="1" thickBot="1">
      <c r="B96" s="492"/>
      <c r="C96" s="673"/>
      <c r="D96" s="673"/>
      <c r="E96" s="673"/>
      <c r="F96" s="674"/>
      <c r="G96" s="1084"/>
      <c r="H96" s="1084"/>
      <c r="I96" s="1084"/>
      <c r="J96" s="1085"/>
      <c r="L96" s="160"/>
      <c r="M96" s="160"/>
      <c r="N96" s="160"/>
      <c r="O96" s="160"/>
      <c r="P96" s="160"/>
      <c r="Q96" s="160"/>
      <c r="R96" s="160"/>
      <c r="S96" s="160"/>
      <c r="T96" s="160"/>
    </row>
    <row r="97" spans="1:20" ht="6" customHeight="1" thickBot="1">
      <c r="A97" s="6"/>
      <c r="B97" s="259"/>
      <c r="C97" s="260"/>
      <c r="D97" s="261"/>
      <c r="E97" s="262"/>
      <c r="F97" s="263"/>
      <c r="G97" s="1086"/>
      <c r="H97" s="1086"/>
      <c r="I97" s="1086"/>
      <c r="J97" s="1086"/>
      <c r="K97" s="137"/>
      <c r="L97" s="137"/>
      <c r="M97" s="137"/>
      <c r="N97" s="137"/>
      <c r="O97" s="137"/>
      <c r="P97" s="137"/>
      <c r="Q97" s="137"/>
      <c r="R97" s="137"/>
      <c r="S97" s="137"/>
      <c r="T97" s="137"/>
    </row>
    <row r="98" spans="1:20" ht="12.9" thickBot="1">
      <c r="B98" s="675"/>
      <c r="C98" s="1981" t="s">
        <v>274</v>
      </c>
      <c r="D98" s="1981"/>
      <c r="E98" s="1981"/>
      <c r="F98" s="676" t="s">
        <v>0</v>
      </c>
      <c r="G98" s="1087">
        <f>G56+G62+G66+G67+G74</f>
        <v>0</v>
      </c>
      <c r="H98" s="1087">
        <f>H56+H62+H66+H67+H74</f>
        <v>0</v>
      </c>
      <c r="I98" s="1087">
        <f>I56+I62+I66+I67+I74</f>
        <v>0</v>
      </c>
      <c r="J98" s="1088">
        <f>J56+J62+J66+J67+J74</f>
        <v>0</v>
      </c>
      <c r="K98" s="137"/>
      <c r="L98" s="229" t="str">
        <f>IF(H51&lt;&gt;H98,"KONTROLLERA BALANSENS SLUTSUMMORNA!",IF(G51&lt;&gt;G98,"KONTROLLERA BALANSENS SLUTSUMMORNA!",IF(I51&lt;&gt;I98,"KONTROLLERA BALANSENS SLUTSUMMORNA!",IF(J51&lt;&gt;J98,"KONTROLLERA BALANSENS SLUTSUMMORNA",""))))</f>
        <v/>
      </c>
      <c r="M98" s="137"/>
      <c r="N98" s="137"/>
      <c r="O98" s="137"/>
      <c r="P98" s="137"/>
      <c r="Q98" s="137"/>
      <c r="R98" s="137"/>
      <c r="S98" s="137"/>
      <c r="T98" s="137"/>
    </row>
    <row r="99" spans="1:20">
      <c r="B99" s="259"/>
      <c r="C99" s="260"/>
      <c r="D99" s="261"/>
      <c r="E99" s="262"/>
      <c r="F99" s="263"/>
      <c r="G99" s="263"/>
      <c r="H99" s="263"/>
      <c r="I99" s="263"/>
      <c r="J99" s="263"/>
      <c r="K99" s="137"/>
      <c r="L99" s="229" t="s">
        <v>0</v>
      </c>
      <c r="M99" s="137"/>
      <c r="N99" s="137"/>
      <c r="O99" s="137"/>
      <c r="P99" s="137"/>
      <c r="Q99" s="137"/>
      <c r="R99" s="137"/>
      <c r="S99" s="137"/>
      <c r="T99" s="137"/>
    </row>
    <row r="100" spans="1:20">
      <c r="A100"/>
      <c r="B100" s="264" t="str">
        <f>'1. T1 INVESTERINGSP.'!B66</f>
        <v>Tjänsten erbjuds av: Dynamo Närpes och Kristinestads näringslivscentral</v>
      </c>
      <c r="C100" s="137"/>
      <c r="D100" s="137"/>
      <c r="E100" s="137"/>
      <c r="F100" s="137"/>
      <c r="G100" s="137"/>
      <c r="H100" s="137"/>
      <c r="J100" s="265">
        <f>'1. T1 INVESTERINGSP.'!H65</f>
        <v>0</v>
      </c>
      <c r="K100" s="137"/>
      <c r="L100" s="137"/>
      <c r="M100" s="137"/>
      <c r="N100" s="137"/>
      <c r="O100" s="137"/>
      <c r="P100" s="137"/>
      <c r="Q100" s="137"/>
      <c r="R100" s="137"/>
      <c r="S100" s="137"/>
      <c r="T100" s="137"/>
    </row>
    <row r="101" spans="1:20">
      <c r="A101"/>
      <c r="J101" s="427">
        <f>'1. T1 INVESTERINGSP.'!H66</f>
        <v>0</v>
      </c>
    </row>
    <row r="102" spans="1:20">
      <c r="A102"/>
    </row>
    <row r="103" spans="1:20">
      <c r="A103"/>
    </row>
    <row r="104" spans="1:20">
      <c r="A104"/>
      <c r="B104" s="369" t="s">
        <v>190</v>
      </c>
    </row>
    <row r="105" spans="1:20">
      <c r="A105"/>
      <c r="B105" s="52" t="s">
        <v>191</v>
      </c>
    </row>
    <row r="106" spans="1:20">
      <c r="A106"/>
      <c r="B106" s="52" t="s">
        <v>217</v>
      </c>
    </row>
    <row r="107" spans="1:20">
      <c r="A107"/>
    </row>
    <row r="108" spans="1:20">
      <c r="A108"/>
    </row>
    <row r="109" spans="1:20">
      <c r="A109"/>
    </row>
    <row r="110" spans="1:20">
      <c r="A110"/>
    </row>
    <row r="111" spans="1:20">
      <c r="A111"/>
    </row>
    <row r="112" spans="1:20">
      <c r="A112"/>
    </row>
    <row r="113" spans="1:1">
      <c r="A113"/>
    </row>
    <row r="114" spans="1:1">
      <c r="A114"/>
    </row>
    <row r="115" spans="1:1">
      <c r="A115"/>
    </row>
    <row r="116" spans="1:1">
      <c r="A116"/>
    </row>
    <row r="117" spans="1:1">
      <c r="A117"/>
    </row>
    <row r="118" spans="1:1">
      <c r="A118"/>
    </row>
    <row r="119" spans="1:1">
      <c r="A119"/>
    </row>
    <row r="120" spans="1:1">
      <c r="A120"/>
    </row>
    <row r="121" spans="1:1">
      <c r="A121"/>
    </row>
    <row r="122" spans="1:1">
      <c r="A122"/>
    </row>
  </sheetData>
  <sheetProtection algorithmName="SHA-512" hashValue="8wyVmkp9FHjkHSvgIM/zpGrzbThYTYeNnCZm1AF6y8sshLFD2Ub8j9ycDLE3MyTeetQX9bgCQGlhqjH/QEEkTw==" saltValue="V/Ps6tQqrPms9O4/D0y7EA==" spinCount="100000" sheet="1" objects="1" scenarios="1"/>
  <mergeCells count="39">
    <mergeCell ref="L3:M3"/>
    <mergeCell ref="C87:E87"/>
    <mergeCell ref="C85:E85"/>
    <mergeCell ref="C83:E83"/>
    <mergeCell ref="L27:O27"/>
    <mergeCell ref="C47:D47"/>
    <mergeCell ref="C67:E67"/>
    <mergeCell ref="C78:E78"/>
    <mergeCell ref="C66:E66"/>
    <mergeCell ref="L15:O15"/>
    <mergeCell ref="L31:O31"/>
    <mergeCell ref="C59:E59"/>
    <mergeCell ref="L23:O23"/>
    <mergeCell ref="L10:T10"/>
    <mergeCell ref="C46:D46"/>
    <mergeCell ref="L53:T53"/>
    <mergeCell ref="C64:E64"/>
    <mergeCell ref="G6:J6"/>
    <mergeCell ref="C73:E73"/>
    <mergeCell ref="C75:E75"/>
    <mergeCell ref="C68:E68"/>
    <mergeCell ref="C69:E69"/>
    <mergeCell ref="C48:D48"/>
    <mergeCell ref="C95:E95"/>
    <mergeCell ref="C88:E88"/>
    <mergeCell ref="B8:F8"/>
    <mergeCell ref="C98:E98"/>
    <mergeCell ref="C74:E74"/>
    <mergeCell ref="B51:E51"/>
    <mergeCell ref="B11:E11"/>
    <mergeCell ref="B54:E54"/>
    <mergeCell ref="C30:E30"/>
    <mergeCell ref="C91:E91"/>
    <mergeCell ref="C90:E90"/>
    <mergeCell ref="C43:E43"/>
    <mergeCell ref="C40:E40"/>
    <mergeCell ref="C45:E45"/>
    <mergeCell ref="C65:E65"/>
    <mergeCell ref="C81:E81"/>
  </mergeCells>
  <printOptions horizontalCentered="1"/>
  <pageMargins left="0.25" right="0.25" top="0.75" bottom="0.75" header="0.3" footer="0.3"/>
  <pageSetup paperSize="9" orientation="portrait" verticalDpi="4" r:id="rId1"/>
  <rowBreaks count="1" manualBreakCount="1">
    <brk id="52" min="1" max="18" man="1"/>
  </rowBreaks>
  <colBreaks count="1" manualBreakCount="1">
    <brk id="10" min="1" max="8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152A1"/>
  </sheetPr>
  <dimension ref="A2:AD129"/>
  <sheetViews>
    <sheetView showGridLines="0" showZeros="0" defaultGridColor="0" colorId="55" zoomScaleNormal="100" workbookViewId="0">
      <selection activeCell="G12" sqref="G12"/>
    </sheetView>
  </sheetViews>
  <sheetFormatPr defaultRowHeight="12.45"/>
  <cols>
    <col min="2" max="2" width="2.84375" style="41" customWidth="1"/>
    <col min="3" max="3" width="36.3046875" customWidth="1"/>
    <col min="4" max="4" width="3.84375" customWidth="1"/>
    <col min="5" max="5" width="13.07421875" customWidth="1"/>
    <col min="6" max="6" width="5.69140625" style="41" customWidth="1"/>
    <col min="7" max="7" width="13.07421875" style="4" customWidth="1"/>
    <col min="8" max="8" width="5.69140625" style="41" customWidth="1"/>
    <col min="9" max="9" width="13.07421875" customWidth="1"/>
    <col min="10" max="10" width="5.69140625" style="41" customWidth="1"/>
    <col min="11" max="11" width="13.07421875" customWidth="1"/>
    <col min="12" max="12" width="5.69140625" style="41" customWidth="1"/>
    <col min="13" max="13" width="13.07421875" customWidth="1"/>
    <col min="14" max="14" width="5.69140625" style="41" customWidth="1"/>
    <col min="15" max="15" width="3.3046875" customWidth="1"/>
  </cols>
  <sheetData>
    <row r="2" spans="1:30" ht="15.45">
      <c r="C2" s="25" t="s">
        <v>193</v>
      </c>
      <c r="E2" s="49" t="s">
        <v>149</v>
      </c>
      <c r="P2" s="25" t="str">
        <f>C2</f>
        <v>T2  RESULTATBUDGET</v>
      </c>
    </row>
    <row r="3" spans="1:30">
      <c r="E3" s="1733">
        <f>'1. T1 INVESTERINGSP.'!E4</f>
        <v>0</v>
      </c>
      <c r="P3" s="1834"/>
      <c r="Q3" s="1834"/>
    </row>
    <row r="4" spans="1:30" ht="20.25" customHeight="1" thickBot="1">
      <c r="B4" s="49" t="s">
        <v>151</v>
      </c>
      <c r="C4" s="45"/>
      <c r="D4" s="45"/>
      <c r="E4" s="45" t="s">
        <v>152</v>
      </c>
      <c r="F4" s="59"/>
      <c r="G4" s="328"/>
      <c r="I4" s="49" t="s">
        <v>153</v>
      </c>
      <c r="K4" s="45"/>
      <c r="L4" s="45"/>
      <c r="M4" s="45"/>
      <c r="N4" s="59"/>
      <c r="R4" s="203"/>
    </row>
    <row r="5" spans="1:30" ht="15" customHeight="1">
      <c r="B5" s="1880">
        <f>'1. T1 INVESTERINGSP.'!B7</f>
        <v>0</v>
      </c>
      <c r="C5" s="1880"/>
      <c r="D5" s="1880"/>
      <c r="E5" s="1880">
        <f>'1. T1 INVESTERINGSP.'!E7</f>
        <v>0</v>
      </c>
      <c r="F5" s="1880"/>
      <c r="G5" s="1880"/>
      <c r="H5" s="1880"/>
      <c r="I5" s="2019">
        <f>'1. T1 INVESTERINGSP.'!B9</f>
        <v>0</v>
      </c>
      <c r="J5" s="2019"/>
      <c r="K5" s="2019"/>
      <c r="L5" s="2018"/>
      <c r="M5" s="2018"/>
      <c r="N5" s="2018"/>
      <c r="P5" s="1385" t="s">
        <v>150</v>
      </c>
      <c r="Q5" s="317"/>
      <c r="R5" s="363"/>
      <c r="S5" s="317"/>
      <c r="T5" s="317"/>
      <c r="U5" s="317"/>
      <c r="V5" s="317"/>
      <c r="W5" s="317"/>
      <c r="X5" s="1386"/>
      <c r="Y5" s="1386"/>
      <c r="Z5" s="1386"/>
      <c r="AA5" s="1386"/>
      <c r="AB5" s="1386"/>
      <c r="AC5" s="1386"/>
      <c r="AD5" s="1387"/>
    </row>
    <row r="6" spans="1:30" ht="12.75" customHeight="1" thickBot="1">
      <c r="A6" s="53"/>
      <c r="P6" s="359"/>
      <c r="Q6" s="319"/>
      <c r="R6" s="418"/>
      <c r="S6" s="319"/>
      <c r="T6" s="319"/>
      <c r="U6" s="319"/>
      <c r="V6" s="319"/>
      <c r="W6" s="319"/>
      <c r="X6" s="319"/>
      <c r="Y6" s="319"/>
      <c r="Z6" s="319"/>
      <c r="AA6" s="319"/>
      <c r="AB6" s="319"/>
      <c r="AC6" s="319"/>
      <c r="AD6" s="343"/>
    </row>
    <row r="7" spans="1:30">
      <c r="B7" s="2050" t="s">
        <v>0</v>
      </c>
      <c r="C7" s="2051"/>
      <c r="D7" s="2052"/>
      <c r="E7" s="1895"/>
      <c r="F7" s="1897"/>
      <c r="G7" s="1895" t="str">
        <f>'1. T1 INVESTERINGSP.'!D15</f>
        <v>Prognos 1</v>
      </c>
      <c r="H7" s="1897"/>
      <c r="I7" s="1895" t="s">
        <v>159</v>
      </c>
      <c r="J7" s="1897"/>
      <c r="K7" s="1895" t="s">
        <v>160</v>
      </c>
      <c r="L7" s="1897"/>
      <c r="M7" s="1895" t="s">
        <v>161</v>
      </c>
      <c r="N7" s="1897"/>
      <c r="O7" s="4"/>
      <c r="P7" s="359"/>
      <c r="Q7" s="319"/>
      <c r="R7" s="418"/>
      <c r="S7" s="319"/>
      <c r="T7" s="319"/>
      <c r="U7" s="319"/>
      <c r="V7" s="319"/>
      <c r="W7" s="319"/>
      <c r="X7" s="319"/>
      <c r="Y7" s="319"/>
      <c r="Z7" s="319"/>
      <c r="AA7" s="319"/>
      <c r="AB7" s="319"/>
      <c r="AC7" s="319"/>
      <c r="AD7" s="343"/>
    </row>
    <row r="8" spans="1:30">
      <c r="A8" s="53"/>
      <c r="B8" s="2053"/>
      <c r="C8" s="2054"/>
      <c r="D8" s="2055"/>
      <c r="E8" s="2027"/>
      <c r="F8" s="2028"/>
      <c r="G8" s="2022">
        <f>'1. T1 INVESTERINGSP.'!D16</f>
        <v>2025</v>
      </c>
      <c r="H8" s="2023"/>
      <c r="I8" s="2022">
        <f>'1. T1 INVESTERINGSP.'!E16</f>
        <v>2026</v>
      </c>
      <c r="J8" s="2023"/>
      <c r="K8" s="2022">
        <f>'1. T1 INVESTERINGSP.'!F16</f>
        <v>2027</v>
      </c>
      <c r="L8" s="2023"/>
      <c r="M8" s="2022">
        <f>'1. T1 INVESTERINGSP.'!G16</f>
        <v>2028</v>
      </c>
      <c r="N8" s="2023"/>
      <c r="O8" s="4"/>
      <c r="P8" s="359"/>
      <c r="Q8" s="319"/>
      <c r="R8" s="418"/>
      <c r="S8" s="319"/>
      <c r="T8" s="319"/>
      <c r="U8" s="319"/>
      <c r="V8" s="319"/>
      <c r="W8" s="319"/>
      <c r="X8" s="319"/>
      <c r="Y8" s="319"/>
      <c r="Z8" s="319"/>
      <c r="AA8" s="319"/>
      <c r="AB8" s="319"/>
      <c r="AC8" s="319"/>
      <c r="AD8" s="343"/>
    </row>
    <row r="9" spans="1:30">
      <c r="A9" s="2"/>
      <c r="B9" s="1497"/>
      <c r="C9" s="1498"/>
      <c r="D9" s="1499"/>
      <c r="E9" s="1500"/>
      <c r="F9" s="1501"/>
      <c r="G9" s="1502" t="s">
        <v>668</v>
      </c>
      <c r="H9" s="1503" t="s">
        <v>13</v>
      </c>
      <c r="I9" s="1502" t="s">
        <v>668</v>
      </c>
      <c r="J9" s="1503" t="s">
        <v>13</v>
      </c>
      <c r="K9" s="1502" t="s">
        <v>668</v>
      </c>
      <c r="L9" s="1503" t="s">
        <v>13</v>
      </c>
      <c r="M9" s="1502" t="s">
        <v>668</v>
      </c>
      <c r="N9" s="1503" t="s">
        <v>13</v>
      </c>
      <c r="O9" s="4"/>
      <c r="P9" s="359"/>
      <c r="Q9" s="319"/>
      <c r="R9" s="319"/>
      <c r="S9" s="319"/>
      <c r="T9" s="199"/>
      <c r="U9" s="199"/>
      <c r="V9" s="199"/>
      <c r="W9" s="334"/>
      <c r="X9" s="334"/>
      <c r="Y9" s="334"/>
      <c r="Z9" s="334"/>
      <c r="AA9" s="334"/>
      <c r="AB9" s="334"/>
      <c r="AC9" s="334"/>
      <c r="AD9" s="356"/>
    </row>
    <row r="10" spans="1:30" ht="12.9" thickBot="1">
      <c r="A10" s="53"/>
      <c r="B10" s="1504"/>
      <c r="C10" s="1505"/>
      <c r="D10" s="1506" t="s">
        <v>194</v>
      </c>
      <c r="E10" s="1507" t="s">
        <v>0</v>
      </c>
      <c r="F10" s="1508"/>
      <c r="G10" s="1509">
        <f>'3. E1 KOSTNADER'!D10</f>
        <v>12</v>
      </c>
      <c r="H10" s="1510"/>
      <c r="I10" s="1509" t="s">
        <v>147</v>
      </c>
      <c r="J10" s="1510"/>
      <c r="K10" s="1509" t="s">
        <v>147</v>
      </c>
      <c r="L10" s="1510"/>
      <c r="M10" s="1509" t="s">
        <v>147</v>
      </c>
      <c r="N10" s="1511"/>
      <c r="O10" s="4"/>
      <c r="P10" s="2057" t="s">
        <v>547</v>
      </c>
      <c r="Q10" s="2058"/>
      <c r="R10" s="2058"/>
      <c r="S10" s="2058"/>
      <c r="T10" s="199"/>
      <c r="U10" s="199"/>
      <c r="V10" s="199"/>
      <c r="W10" s="334"/>
      <c r="X10" s="334"/>
      <c r="Y10" s="334"/>
      <c r="Z10" s="334"/>
      <c r="AA10" s="334"/>
      <c r="AB10" s="334"/>
      <c r="AC10" s="334"/>
      <c r="AD10" s="356"/>
    </row>
    <row r="11" spans="1:30" s="53" customFormat="1" ht="12.65" customHeight="1">
      <c r="A11"/>
      <c r="B11" s="521" t="s">
        <v>2</v>
      </c>
      <c r="C11" s="631" t="s">
        <v>196</v>
      </c>
      <c r="D11" s="323" t="s">
        <v>16</v>
      </c>
      <c r="E11" s="1361"/>
      <c r="F11" s="729"/>
      <c r="G11" s="1024">
        <f>'4. E2 OMSÄTTNING'!E10</f>
        <v>0</v>
      </c>
      <c r="H11" s="736">
        <v>0</v>
      </c>
      <c r="I11" s="1024">
        <f>'4. E2 OMSÄTTNING'!F10</f>
        <v>0</v>
      </c>
      <c r="J11" s="736">
        <v>0</v>
      </c>
      <c r="K11" s="1024">
        <f>'4. E2 OMSÄTTNING'!G10</f>
        <v>0</v>
      </c>
      <c r="L11" s="736">
        <v>0</v>
      </c>
      <c r="M11" s="1024">
        <f>'4. E2 OMSÄTTNING'!H10</f>
        <v>0</v>
      </c>
      <c r="N11" s="736">
        <v>0</v>
      </c>
      <c r="O11" s="178"/>
      <c r="P11" s="738"/>
      <c r="Q11" s="293">
        <f>I8</f>
        <v>2026</v>
      </c>
      <c r="R11" s="293">
        <f>K$8</f>
        <v>2027</v>
      </c>
      <c r="S11" s="293">
        <f>M$8</f>
        <v>2028</v>
      </c>
      <c r="T11" s="359"/>
      <c r="U11" s="319"/>
      <c r="V11" s="319"/>
      <c r="W11" s="319"/>
      <c r="X11" s="319"/>
      <c r="Y11" s="319"/>
      <c r="Z11" s="319"/>
      <c r="AA11" s="319"/>
      <c r="AB11" s="319"/>
      <c r="AC11" s="319"/>
      <c r="AD11" s="343"/>
    </row>
    <row r="12" spans="1:30" s="53" customFormat="1" ht="12.65" customHeight="1">
      <c r="B12" s="522" t="s">
        <v>3</v>
      </c>
      <c r="C12" s="728" t="s">
        <v>197</v>
      </c>
      <c r="D12" s="523" t="s">
        <v>16</v>
      </c>
      <c r="E12" s="1362"/>
      <c r="F12" s="730"/>
      <c r="G12" s="1025">
        <v>0</v>
      </c>
      <c r="H12" s="737"/>
      <c r="I12" s="1025">
        <f>G12+G12*Q12</f>
        <v>0</v>
      </c>
      <c r="J12" s="737"/>
      <c r="K12" s="1025">
        <f>I12+I12*R12</f>
        <v>0</v>
      </c>
      <c r="L12" s="737"/>
      <c r="M12" s="1025">
        <f>K12+K12*S12</f>
        <v>0</v>
      </c>
      <c r="N12" s="737"/>
      <c r="O12" s="178"/>
      <c r="P12" s="739"/>
      <c r="Q12" s="358">
        <v>0</v>
      </c>
      <c r="R12" s="358">
        <f>Q12</f>
        <v>0</v>
      </c>
      <c r="S12" s="358">
        <f>R12</f>
        <v>0</v>
      </c>
      <c r="T12" s="359"/>
      <c r="U12" s="319"/>
      <c r="V12" s="319"/>
      <c r="W12" s="319"/>
      <c r="X12" s="319"/>
      <c r="Y12" s="319"/>
      <c r="Z12" s="319"/>
      <c r="AA12" s="319"/>
      <c r="AB12" s="319"/>
      <c r="AC12" s="319"/>
      <c r="AD12" s="343"/>
    </row>
    <row r="13" spans="1:30" s="53" customFormat="1" ht="12.65" customHeight="1">
      <c r="B13" s="522" t="s">
        <v>4</v>
      </c>
      <c r="C13" s="467" t="s">
        <v>198</v>
      </c>
      <c r="D13" s="523"/>
      <c r="E13" s="1362">
        <v>0</v>
      </c>
      <c r="F13" s="730"/>
      <c r="G13" s="1025"/>
      <c r="H13" s="737"/>
      <c r="I13" s="1025"/>
      <c r="J13" s="737"/>
      <c r="K13" s="1025"/>
      <c r="L13" s="737"/>
      <c r="M13" s="1025"/>
      <c r="N13" s="737"/>
      <c r="O13" s="178"/>
      <c r="P13" s="476"/>
      <c r="Q13" s="477"/>
      <c r="R13" s="477"/>
      <c r="S13" s="477"/>
      <c r="T13" s="319"/>
      <c r="U13" s="319"/>
      <c r="V13" s="319"/>
      <c r="W13" s="319"/>
      <c r="X13" s="319"/>
      <c r="Y13" s="319"/>
      <c r="Z13" s="319"/>
      <c r="AA13" s="319"/>
      <c r="AB13" s="319"/>
      <c r="AC13" s="319"/>
      <c r="AD13" s="343"/>
    </row>
    <row r="14" spans="1:30" s="50" customFormat="1" ht="12.65" customHeight="1">
      <c r="A14" s="53"/>
      <c r="B14" s="522" t="s">
        <v>5</v>
      </c>
      <c r="C14" s="524" t="s">
        <v>199</v>
      </c>
      <c r="D14" s="525"/>
      <c r="E14" s="731"/>
      <c r="F14" s="732"/>
      <c r="G14" s="1026">
        <f>G11+G12+G13</f>
        <v>0</v>
      </c>
      <c r="H14" s="320">
        <v>100</v>
      </c>
      <c r="I14" s="1026">
        <f>I11+I12+I13</f>
        <v>0</v>
      </c>
      <c r="J14" s="320">
        <v>100</v>
      </c>
      <c r="K14" s="1026">
        <f>K11+K12+K13</f>
        <v>0</v>
      </c>
      <c r="L14" s="320">
        <v>100</v>
      </c>
      <c r="M14" s="1026">
        <f>M11+M12+M13</f>
        <v>0</v>
      </c>
      <c r="N14" s="320">
        <v>100</v>
      </c>
      <c r="O14" s="178"/>
      <c r="P14" s="359"/>
      <c r="Q14" s="319"/>
      <c r="R14" s="319"/>
      <c r="S14" s="319"/>
      <c r="T14" s="319"/>
      <c r="U14" s="319"/>
      <c r="V14" s="319"/>
      <c r="W14" s="319"/>
      <c r="X14" s="319"/>
      <c r="Y14" s="319"/>
      <c r="Z14" s="319"/>
      <c r="AA14" s="319"/>
      <c r="AB14" s="319"/>
      <c r="AC14" s="319"/>
      <c r="AD14" s="343"/>
    </row>
    <row r="15" spans="1:30" s="53" customFormat="1" ht="12.65" customHeight="1">
      <c r="A15"/>
      <c r="B15" s="522" t="s">
        <v>6</v>
      </c>
      <c r="C15" s="467" t="s">
        <v>717</v>
      </c>
      <c r="D15" s="523" t="s">
        <v>17</v>
      </c>
      <c r="E15" s="1362">
        <v>0</v>
      </c>
      <c r="F15" s="730"/>
      <c r="G15" s="1027">
        <f>-'4. E2 OMSÄTTNING'!E11-'6. T3 BALANS'!G39</f>
        <v>0</v>
      </c>
      <c r="H15" s="321">
        <f>-IF(G$14&gt;0,G15/G$14*100,0)</f>
        <v>0</v>
      </c>
      <c r="I15" s="1027">
        <f>-'4. E2 OMSÄTTNING'!F11-'6. T3 BALANS'!H39+'6. T3 BALANS'!G39</f>
        <v>0</v>
      </c>
      <c r="J15" s="321">
        <f>-IF(I$14&gt;0,I15/I$14*100,0)</f>
        <v>0</v>
      </c>
      <c r="K15" s="1027">
        <f>-'4. E2 OMSÄTTNING'!G11-'6. T3 BALANS'!I39+'6. T3 BALANS'!H39</f>
        <v>0</v>
      </c>
      <c r="L15" s="321">
        <f>-IF(K$14&gt;0,K15/K$14*100,0)</f>
        <v>0</v>
      </c>
      <c r="M15" s="1027">
        <f>-'4. E2 OMSÄTTNING'!H11-'6. T3 BALANS'!J39+'6. T3 BALANS'!I39</f>
        <v>0</v>
      </c>
      <c r="N15" s="321">
        <f>-IF(M$14&gt;0,M15/M$14*100,0)</f>
        <v>0</v>
      </c>
      <c r="O15" s="178"/>
      <c r="P15" s="359"/>
      <c r="Q15" s="319"/>
      <c r="R15" s="319"/>
      <c r="S15" s="319"/>
      <c r="T15" s="319"/>
      <c r="U15" s="319"/>
      <c r="V15" s="319"/>
      <c r="W15" s="319"/>
      <c r="X15" s="319"/>
      <c r="Y15" s="319"/>
      <c r="Z15" s="319"/>
      <c r="AA15" s="319"/>
      <c r="AB15" s="319"/>
      <c r="AC15" s="319"/>
      <c r="AD15" s="343"/>
    </row>
    <row r="16" spans="1:30" s="53" customFormat="1" ht="12.65" customHeight="1">
      <c r="B16" s="522" t="s">
        <v>7</v>
      </c>
      <c r="C16" s="467" t="s">
        <v>201</v>
      </c>
      <c r="D16" s="523" t="s">
        <v>17</v>
      </c>
      <c r="E16" s="1362"/>
      <c r="F16" s="730"/>
      <c r="G16" s="1025"/>
      <c r="H16" s="321">
        <f>-IF(G$14&gt;0,G16/G$14*100,0)</f>
        <v>0</v>
      </c>
      <c r="I16" s="1027">
        <f>-J16*I14/100</f>
        <v>0</v>
      </c>
      <c r="J16" s="322">
        <f>H16</f>
        <v>0</v>
      </c>
      <c r="K16" s="1027">
        <f>-L16*K14/100</f>
        <v>0</v>
      </c>
      <c r="L16" s="322">
        <f>J16</f>
        <v>0</v>
      </c>
      <c r="M16" s="1027">
        <f>-N16*M14/100</f>
        <v>0</v>
      </c>
      <c r="N16" s="322">
        <f>L16</f>
        <v>0</v>
      </c>
      <c r="O16" s="178"/>
      <c r="P16" s="359"/>
      <c r="Q16" s="319"/>
      <c r="R16" s="319"/>
      <c r="S16" s="319"/>
      <c r="T16" s="319"/>
      <c r="U16" s="319"/>
      <c r="V16" s="319"/>
      <c r="W16" s="319"/>
      <c r="X16" s="319"/>
      <c r="Y16" s="319"/>
      <c r="Z16" s="319"/>
      <c r="AA16" s="319"/>
      <c r="AB16" s="319"/>
      <c r="AC16" s="319"/>
      <c r="AD16" s="343"/>
    </row>
    <row r="17" spans="1:30" s="53" customFormat="1" ht="12.65" customHeight="1">
      <c r="A17"/>
      <c r="B17" s="522" t="s">
        <v>8</v>
      </c>
      <c r="C17" s="467" t="s">
        <v>202</v>
      </c>
      <c r="D17" s="523" t="s">
        <v>17</v>
      </c>
      <c r="E17" s="1362"/>
      <c r="F17" s="730"/>
      <c r="G17" s="1027">
        <f>-'3. E1 KOSTNADER'!D44-'6. T3 BALANS'!G91-'6. T3 BALANS'!G92</f>
        <v>0</v>
      </c>
      <c r="H17" s="321">
        <f>-IF(G$14&gt;0,G17/G$14*100,0)</f>
        <v>0</v>
      </c>
      <c r="I17" s="1027">
        <f>-'3. E1 KOSTNADER'!F44-('6. T3 BALANS'!H92-'6. T3 BALANS'!G92)-('6. T3 BALANS'!H91-'6. T3 BALANS'!G91)</f>
        <v>0</v>
      </c>
      <c r="J17" s="321">
        <f>-IF(I$14&gt;0,I17/I$14*100,0)</f>
        <v>0</v>
      </c>
      <c r="K17" s="1027">
        <f>-'3. E1 KOSTNADER'!H44-('6. T3 BALANS'!I91-'6. T3 BALANS'!H91)-('6. T3 BALANS'!I92-'6. T3 BALANS'!H92)</f>
        <v>0</v>
      </c>
      <c r="L17" s="321">
        <f>-IF(K$14&gt;0,K17/K$14*100,0)</f>
        <v>0</v>
      </c>
      <c r="M17" s="1027">
        <f>-'3. E1 KOSTNADER'!J44-('6. T3 BALANS'!J91-'6. T3 BALANS'!I91)-('6. T3 BALANS'!J92-'6. T3 BALANS'!I92)</f>
        <v>0</v>
      </c>
      <c r="N17" s="321">
        <f>-IF(M$14&gt;0,M17/M$14*100,0)</f>
        <v>0</v>
      </c>
      <c r="O17" s="178"/>
      <c r="P17" s="359"/>
      <c r="Q17" s="319"/>
      <c r="R17" s="319"/>
      <c r="S17" s="319"/>
      <c r="T17" s="319"/>
      <c r="U17" s="319"/>
      <c r="V17" s="319"/>
      <c r="W17" s="319"/>
      <c r="X17" s="319"/>
      <c r="Y17" s="319"/>
      <c r="Z17" s="319"/>
      <c r="AA17" s="319"/>
      <c r="AB17" s="319"/>
      <c r="AC17" s="319"/>
      <c r="AD17" s="343"/>
    </row>
    <row r="18" spans="1:30" s="53" customFormat="1" ht="12.65" customHeight="1">
      <c r="B18" s="522" t="s">
        <v>9</v>
      </c>
      <c r="C18" s="526" t="s">
        <v>203</v>
      </c>
      <c r="D18" s="523" t="s">
        <v>17</v>
      </c>
      <c r="E18" s="1362"/>
      <c r="F18" s="730"/>
      <c r="G18" s="1027">
        <f>-'3. E1 KOSTNADER'!D45</f>
        <v>0</v>
      </c>
      <c r="H18" s="321">
        <f>-IF(G$14&gt;0,G18/G$14*100,0)</f>
        <v>0</v>
      </c>
      <c r="I18" s="1027">
        <f>-'3. E1 KOSTNADER'!F45</f>
        <v>0</v>
      </c>
      <c r="J18" s="321">
        <f>-IF(I$14&gt;0,I18/I$14*100,0)</f>
        <v>0</v>
      </c>
      <c r="K18" s="1027">
        <f>-'3. E1 KOSTNADER'!H45</f>
        <v>0</v>
      </c>
      <c r="L18" s="321">
        <f>-IF(K$14&gt;0,K18/K$14*100,0)</f>
        <v>0</v>
      </c>
      <c r="M18" s="1027">
        <f>-'3. E1 KOSTNADER'!J45</f>
        <v>0</v>
      </c>
      <c r="N18" s="321">
        <f>-IF(M$14&gt;0,M18/M$14*100,0)</f>
        <v>0</v>
      </c>
      <c r="O18" s="178"/>
      <c r="P18" s="359"/>
      <c r="Q18" s="319"/>
      <c r="R18" s="319"/>
      <c r="S18" s="319"/>
      <c r="T18" s="319"/>
      <c r="U18" s="319"/>
      <c r="V18" s="319"/>
      <c r="W18" s="319"/>
      <c r="X18" s="319"/>
      <c r="Y18" s="319"/>
      <c r="Z18" s="319"/>
      <c r="AA18" s="319"/>
      <c r="AB18" s="319"/>
      <c r="AC18" s="319"/>
      <c r="AD18" s="343"/>
    </row>
    <row r="19" spans="1:30" s="53" customFormat="1" ht="12.65" customHeight="1">
      <c r="A19" s="2"/>
      <c r="B19" s="522" t="s">
        <v>10</v>
      </c>
      <c r="C19" s="526" t="s">
        <v>204</v>
      </c>
      <c r="D19" s="527" t="s">
        <v>87</v>
      </c>
      <c r="E19" s="1362"/>
      <c r="F19" s="730"/>
      <c r="G19" s="1027">
        <f>'6. T3 BALANS'!G39</f>
        <v>0</v>
      </c>
      <c r="H19" s="321">
        <f>IF(G$14&gt;0,G19/G$14*100,0)</f>
        <v>0</v>
      </c>
      <c r="I19" s="1027">
        <f>'6. T3 BALANS'!H39-'6. T3 BALANS'!G39</f>
        <v>0</v>
      </c>
      <c r="J19" s="321">
        <f>IF(I$14&gt;0,I19/I$14*100,0)</f>
        <v>0</v>
      </c>
      <c r="K19" s="1027">
        <f>'6. T3 BALANS'!I39-'6. T3 BALANS'!H39</f>
        <v>0</v>
      </c>
      <c r="L19" s="321">
        <f>IF(K$14&gt;0,K19/K$14*100,0)</f>
        <v>0</v>
      </c>
      <c r="M19" s="1027">
        <f>'6. T3 BALANS'!J39-'6. T3 BALANS'!I39</f>
        <v>0</v>
      </c>
      <c r="N19" s="321">
        <f>IF(M$14&gt;0,M19/M$14*100,0)</f>
        <v>0</v>
      </c>
      <c r="O19" s="178"/>
      <c r="P19" s="359"/>
      <c r="Q19" s="319"/>
      <c r="R19" s="319"/>
      <c r="S19" s="319"/>
      <c r="T19" s="319"/>
      <c r="U19" s="319"/>
      <c r="V19" s="319"/>
      <c r="W19" s="319"/>
      <c r="X19" s="319"/>
      <c r="Y19" s="319"/>
      <c r="Z19" s="319"/>
      <c r="AA19" s="319"/>
      <c r="AB19" s="319"/>
      <c r="AC19" s="319"/>
      <c r="AD19" s="343"/>
    </row>
    <row r="20" spans="1:30" s="53" customFormat="1" ht="12.65" customHeight="1">
      <c r="A20"/>
      <c r="B20" s="522" t="s">
        <v>11</v>
      </c>
      <c r="C20" s="528" t="s">
        <v>205</v>
      </c>
      <c r="D20" s="529"/>
      <c r="E20" s="731"/>
      <c r="F20" s="730"/>
      <c r="G20" s="1026">
        <f>SUM(G14:G19)</f>
        <v>0</v>
      </c>
      <c r="H20" s="321">
        <f>IF(G$14&gt;0,G20/G$14*100,0)</f>
        <v>0</v>
      </c>
      <c r="I20" s="1026">
        <f>SUM(I14:I19)</f>
        <v>0</v>
      </c>
      <c r="J20" s="321">
        <f>IF(I$14&gt;0,I20/I$14*100,0)</f>
        <v>0</v>
      </c>
      <c r="K20" s="1026">
        <f>SUM(K14:K19)</f>
        <v>0</v>
      </c>
      <c r="L20" s="321">
        <f>IF(K$14&gt;0,K20/K$14*100,0)</f>
        <v>0</v>
      </c>
      <c r="M20" s="1026">
        <f>SUM(M14:M19)</f>
        <v>0</v>
      </c>
      <c r="N20" s="321">
        <f>IF(M$14&gt;0,M20/M$14*100,0)</f>
        <v>0</v>
      </c>
      <c r="O20" s="178"/>
      <c r="P20" s="359"/>
      <c r="Q20" s="319"/>
      <c r="R20" s="319"/>
      <c r="S20" s="319"/>
      <c r="T20" s="319"/>
      <c r="U20" s="319"/>
      <c r="V20" s="319"/>
      <c r="W20" s="319"/>
      <c r="X20" s="319"/>
      <c r="Y20" s="319"/>
      <c r="Z20" s="319"/>
      <c r="AA20" s="319"/>
      <c r="AB20" s="319"/>
      <c r="AC20" s="319"/>
      <c r="AD20" s="343"/>
    </row>
    <row r="21" spans="1:30" s="53" customFormat="1" ht="12.65" customHeight="1">
      <c r="A21"/>
      <c r="B21" s="522" t="s">
        <v>41</v>
      </c>
      <c r="C21" s="526" t="s">
        <v>206</v>
      </c>
      <c r="D21" s="523" t="s">
        <v>17</v>
      </c>
      <c r="E21" s="1362"/>
      <c r="F21" s="730"/>
      <c r="G21" s="1027">
        <f>-('6. T3 BALANS'!G17+'6. T3 BALANS'!G25+'6. T3 BALANS'!G29+'6. T3 BALANS'!G33)</f>
        <v>0</v>
      </c>
      <c r="H21" s="321">
        <f>-IF(G$14&gt;0,G21/G$14*100,0)</f>
        <v>0</v>
      </c>
      <c r="I21" s="1027">
        <f>-('6. T3 BALANS'!H17+'6. T3 BALANS'!H25+'6. T3 BALANS'!H29+'6. T3 BALANS'!H33)</f>
        <v>0</v>
      </c>
      <c r="J21" s="321">
        <f>-IF(I$14&gt;0,I21/I$14*100,0)</f>
        <v>0</v>
      </c>
      <c r="K21" s="1027">
        <f>-('6. T3 BALANS'!I17+'6. T3 BALANS'!I25+'6. T3 BALANS'!I29+'6. T3 BALANS'!I33)</f>
        <v>0</v>
      </c>
      <c r="L21" s="321">
        <f>-IF(K$14&gt;0,K21/K$14*100,0)</f>
        <v>0</v>
      </c>
      <c r="M21" s="1027">
        <f>-('6. T3 BALANS'!J17+'6. T3 BALANS'!J25+'6. T3 BALANS'!J29+'6. T3 BALANS'!J33)</f>
        <v>0</v>
      </c>
      <c r="N21" s="321">
        <f>-IF(M$14&gt;0,M21/M$14*100,0)</f>
        <v>0</v>
      </c>
      <c r="O21" s="178"/>
      <c r="P21" s="359"/>
      <c r="Q21" s="319"/>
      <c r="R21" s="319"/>
      <c r="S21" s="319"/>
      <c r="T21" s="319"/>
      <c r="U21" s="319"/>
      <c r="V21" s="319"/>
      <c r="W21" s="319"/>
      <c r="X21" s="319"/>
      <c r="Y21" s="319"/>
      <c r="Z21" s="319"/>
      <c r="AA21" s="319"/>
      <c r="AB21" s="319"/>
      <c r="AC21" s="319"/>
      <c r="AD21" s="343"/>
    </row>
    <row r="22" spans="1:30" s="53" customFormat="1" ht="12.65" customHeight="1">
      <c r="A22"/>
      <c r="B22" s="522" t="s">
        <v>42</v>
      </c>
      <c r="C22" s="528" t="s">
        <v>207</v>
      </c>
      <c r="D22" s="530"/>
      <c r="E22" s="731"/>
      <c r="F22" s="730"/>
      <c r="G22" s="1026">
        <f>SUM(G20:G21)</f>
        <v>0</v>
      </c>
      <c r="H22" s="321">
        <f>IF(G$14&gt;0,G22/G$14*100,0)</f>
        <v>0</v>
      </c>
      <c r="I22" s="1026">
        <f>SUM(I20:I21)</f>
        <v>0</v>
      </c>
      <c r="J22" s="321">
        <f>IF(I$14&gt;0,I22/I$14*100,0)</f>
        <v>0</v>
      </c>
      <c r="K22" s="1026">
        <f>SUM(K20:K21)</f>
        <v>0</v>
      </c>
      <c r="L22" s="321">
        <f>IF(K$14&gt;0,K22/K$14*100,0)</f>
        <v>0</v>
      </c>
      <c r="M22" s="1026">
        <f>SUM(M20:M21)</f>
        <v>0</v>
      </c>
      <c r="N22" s="321">
        <f>IF(M$14&gt;0,M22/M$14*100,0)</f>
        <v>0</v>
      </c>
      <c r="O22" s="178"/>
      <c r="P22" s="359"/>
      <c r="Q22" s="319"/>
      <c r="R22" s="319"/>
      <c r="S22" s="319"/>
      <c r="T22" s="319"/>
      <c r="U22" s="319"/>
      <c r="V22" s="319"/>
      <c r="W22" s="319"/>
      <c r="X22" s="319"/>
      <c r="Y22" s="319"/>
      <c r="Z22" s="319"/>
      <c r="AA22" s="319"/>
      <c r="AB22" s="319"/>
      <c r="AC22" s="319"/>
      <c r="AD22" s="343"/>
    </row>
    <row r="23" spans="1:30" s="53" customFormat="1" ht="12.65" customHeight="1">
      <c r="A23"/>
      <c r="B23" s="522" t="s">
        <v>141</v>
      </c>
      <c r="C23" s="526" t="s">
        <v>208</v>
      </c>
      <c r="D23" s="523" t="s">
        <v>16</v>
      </c>
      <c r="E23" s="1362"/>
      <c r="F23" s="1363"/>
      <c r="G23" s="1025">
        <v>0</v>
      </c>
      <c r="H23" s="362">
        <f>IF(G$14&gt;0,G23/G$14*100,0)</f>
        <v>0</v>
      </c>
      <c r="I23" s="1025">
        <v>0</v>
      </c>
      <c r="J23" s="362">
        <f>IF(I$14&gt;0,I23/I$14*100,0)</f>
        <v>0</v>
      </c>
      <c r="K23" s="1025"/>
      <c r="L23" s="362">
        <f>IF(K$14&gt;0,K23/K$14*100,0)</f>
        <v>0</v>
      </c>
      <c r="M23" s="1025"/>
      <c r="N23" s="362">
        <f>IF(M$14&gt;0,M23/M$14*100,0)</f>
        <v>0</v>
      </c>
      <c r="O23" s="178"/>
      <c r="P23" s="359"/>
      <c r="Q23" s="319"/>
      <c r="R23" s="319"/>
      <c r="S23" s="319"/>
      <c r="T23" s="319"/>
      <c r="U23" s="319"/>
      <c r="V23" s="319"/>
      <c r="W23" s="319"/>
      <c r="X23" s="319"/>
      <c r="Y23" s="319"/>
      <c r="Z23" s="319"/>
      <c r="AA23" s="319"/>
      <c r="AB23" s="319"/>
      <c r="AC23" s="319"/>
      <c r="AD23" s="343"/>
    </row>
    <row r="24" spans="1:30" s="53" customFormat="1" ht="12.65" customHeight="1">
      <c r="A24"/>
      <c r="B24" s="522" t="s">
        <v>43</v>
      </c>
      <c r="C24" s="467" t="s">
        <v>210</v>
      </c>
      <c r="D24" s="523" t="s">
        <v>16</v>
      </c>
      <c r="E24" s="1362"/>
      <c r="F24" s="1363"/>
      <c r="G24" s="1025">
        <v>0</v>
      </c>
      <c r="H24" s="362">
        <f>IF(G$14&gt;0,G24/G$14*100,0)</f>
        <v>0</v>
      </c>
      <c r="I24" s="1025">
        <v>0</v>
      </c>
      <c r="J24" s="362">
        <f>IF(I$14&gt;0,I24/I$14*100,0)</f>
        <v>0</v>
      </c>
      <c r="K24" s="1025">
        <v>0</v>
      </c>
      <c r="L24" s="362">
        <f>IF(K$14&gt;0,K24/K$14*100,0)</f>
        <v>0</v>
      </c>
      <c r="M24" s="1025">
        <v>0</v>
      </c>
      <c r="N24" s="362">
        <f>IF(M$14&gt;0,M24/M$14*100,0)</f>
        <v>0</v>
      </c>
      <c r="O24" s="178"/>
      <c r="P24" s="359"/>
      <c r="Q24" s="319"/>
      <c r="R24" s="319"/>
      <c r="S24" s="319"/>
      <c r="T24" s="319"/>
      <c r="U24" s="319"/>
      <c r="V24" s="319"/>
      <c r="W24" s="319"/>
      <c r="X24" s="319"/>
      <c r="Y24" s="319"/>
      <c r="Z24" s="319"/>
      <c r="AA24" s="319"/>
      <c r="AB24" s="319"/>
      <c r="AC24" s="319"/>
      <c r="AD24" s="343"/>
    </row>
    <row r="25" spans="1:30" s="53" customFormat="1" ht="12.65" customHeight="1">
      <c r="A25"/>
      <c r="B25" s="522" t="s">
        <v>44</v>
      </c>
      <c r="C25" s="467" t="s">
        <v>209</v>
      </c>
      <c r="D25" s="523" t="s">
        <v>17</v>
      </c>
      <c r="E25" s="1362"/>
      <c r="F25" s="730"/>
      <c r="G25" s="1027">
        <f>-'2. T7 LÅN'!H47</f>
        <v>0</v>
      </c>
      <c r="H25" s="321">
        <f>-IF(G$14&gt;0,G25/G$14*100,0)</f>
        <v>0</v>
      </c>
      <c r="I25" s="1027">
        <f>-'2. T7 LÅN'!K47</f>
        <v>0</v>
      </c>
      <c r="J25" s="321">
        <f>-IF(I$14&gt;0,I25/I$14*100,0)</f>
        <v>0</v>
      </c>
      <c r="K25" s="1027">
        <f>-'2. T7 LÅN'!N47</f>
        <v>0</v>
      </c>
      <c r="L25" s="321">
        <f>-IF(K$14&gt;0,K25/K$14*100,0)</f>
        <v>0</v>
      </c>
      <c r="M25" s="1027">
        <f>-'2. T7 LÅN'!Q47</f>
        <v>0</v>
      </c>
      <c r="N25" s="321">
        <f>-IF(M$14&gt;0,M25/M$14*100,0)</f>
        <v>0</v>
      </c>
      <c r="O25" s="178"/>
      <c r="P25" s="359"/>
      <c r="Q25" s="319"/>
      <c r="R25" s="319"/>
      <c r="S25" s="319"/>
      <c r="T25" s="319"/>
      <c r="U25" s="319"/>
      <c r="V25" s="319"/>
      <c r="W25" s="319"/>
      <c r="X25" s="319"/>
      <c r="Y25" s="319"/>
      <c r="Z25" s="319"/>
      <c r="AA25" s="319"/>
      <c r="AB25" s="319"/>
      <c r="AC25" s="319"/>
      <c r="AD25" s="343"/>
    </row>
    <row r="26" spans="1:30" s="53" customFormat="1" ht="24.75" customHeight="1">
      <c r="A26"/>
      <c r="B26" s="522" t="s">
        <v>45</v>
      </c>
      <c r="C26" s="2036" t="s">
        <v>211</v>
      </c>
      <c r="D26" s="2037"/>
      <c r="E26" s="733"/>
      <c r="F26" s="730"/>
      <c r="G26" s="1028">
        <f>SUM(G22:G25)</f>
        <v>0</v>
      </c>
      <c r="H26" s="462">
        <f>IF(G$14&gt;0,G26/G$14*100,0)</f>
        <v>0</v>
      </c>
      <c r="I26" s="1028">
        <f>SUM(I22:I25)</f>
        <v>0</v>
      </c>
      <c r="J26" s="462">
        <f>IF(I$14&gt;0,I26/I$14*100,0)</f>
        <v>0</v>
      </c>
      <c r="K26" s="1028">
        <f>SUM(K22:K25)</f>
        <v>0</v>
      </c>
      <c r="L26" s="462">
        <f>IF(K$14&gt;0,K26/K$14*100,0)</f>
        <v>0</v>
      </c>
      <c r="M26" s="1028">
        <f>SUM(M22:M25)</f>
        <v>0</v>
      </c>
      <c r="N26" s="321">
        <f>IF(M$14&gt;0,M26/M$14*100,0)</f>
        <v>0</v>
      </c>
      <c r="O26" s="178"/>
      <c r="P26" s="359"/>
      <c r="Q26" s="319"/>
      <c r="R26" s="319"/>
      <c r="S26" s="319"/>
      <c r="T26" s="319"/>
      <c r="U26" s="319"/>
      <c r="V26" s="319"/>
      <c r="W26" s="319"/>
      <c r="X26" s="319"/>
      <c r="Y26" s="319"/>
      <c r="Z26" s="319"/>
      <c r="AA26" s="319"/>
      <c r="AB26" s="319"/>
      <c r="AC26" s="319"/>
      <c r="AD26" s="343"/>
    </row>
    <row r="27" spans="1:30" s="53" customFormat="1" ht="12.65" customHeight="1">
      <c r="A27"/>
      <c r="B27" s="522" t="s">
        <v>46</v>
      </c>
      <c r="C27" s="467" t="s">
        <v>212</v>
      </c>
      <c r="D27" s="523" t="s">
        <v>17</v>
      </c>
      <c r="E27" s="1364"/>
      <c r="F27" s="1363"/>
      <c r="G27" s="1029">
        <f>-IF(G28*(G26+G29+G30+0.5*'3. E1 KOSTNADER'!D94)&lt;0,0,G28*(G26+G29+G30+0.5*'3. E1 KOSTNADER'!D94))</f>
        <v>0</v>
      </c>
      <c r="H27" s="321">
        <f>-IF(G$14&gt;0,G27/G$14*100,0)</f>
        <v>0</v>
      </c>
      <c r="I27" s="1029">
        <f>-IF(I28*(I26+I29+I30+0.5*'3. E1 KOSTNADER'!F94)&lt;0,0,I28*(I26+I29+I30+0.5*'3. E1 KOSTNADER'!F94))</f>
        <v>0</v>
      </c>
      <c r="J27" s="321">
        <f>-IF(I$14&gt;0,I27/I$14*100,0)</f>
        <v>0</v>
      </c>
      <c r="K27" s="1029">
        <f>-IF(K28*(K26+K29+K30+0.5*'3. E1 KOSTNADER'!H94)&lt;0,0,K28*(K26+K29+K30+0.5*'3. E1 KOSTNADER'!H94))</f>
        <v>0</v>
      </c>
      <c r="L27" s="321">
        <f>-IF(K$14&gt;0,K27/K$14*100,0)</f>
        <v>0</v>
      </c>
      <c r="M27" s="1029">
        <f>-IF(M28*(M26+M29+M30+0.5*'3. E1 KOSTNADER'!J94)&lt;0,0,M28*(M26+M29+M30+0.5*'3. E1 KOSTNADER'!J94))</f>
        <v>0</v>
      </c>
      <c r="N27" s="321">
        <f>-IF(M$14&gt;0,M27/M$14*100,0)</f>
        <v>0</v>
      </c>
      <c r="O27" s="178"/>
      <c r="P27" s="359"/>
      <c r="Q27" s="319"/>
      <c r="R27" s="319"/>
      <c r="S27" s="319"/>
      <c r="T27" s="319"/>
      <c r="U27" s="319" t="s">
        <v>0</v>
      </c>
      <c r="V27" s="319"/>
      <c r="W27" s="319"/>
      <c r="X27" s="319"/>
      <c r="Y27" s="319"/>
      <c r="Z27" s="319"/>
      <c r="AA27" s="319"/>
      <c r="AB27" s="319"/>
      <c r="AC27" s="319"/>
      <c r="AD27" s="343"/>
    </row>
    <row r="28" spans="1:30" s="53" customFormat="1" ht="12.65" customHeight="1">
      <c r="A28"/>
      <c r="B28" s="522"/>
      <c r="C28" s="633" t="s">
        <v>213</v>
      </c>
      <c r="D28" s="523"/>
      <c r="E28" s="1364"/>
      <c r="F28" s="1363"/>
      <c r="G28" s="1030">
        <v>0.2</v>
      </c>
      <c r="H28" s="321">
        <f>-IF(G$14&gt;0,G28/G$14*100,0)</f>
        <v>0</v>
      </c>
      <c r="I28" s="1030">
        <f>G28</f>
        <v>0.2</v>
      </c>
      <c r="J28" s="321">
        <f>-IF(I$14&gt;0,I28/I$14*100,0)</f>
        <v>0</v>
      </c>
      <c r="K28" s="1030">
        <f>I28</f>
        <v>0.2</v>
      </c>
      <c r="L28" s="321">
        <f>-IF(K$14&gt;0,K28/K$14*100,0)</f>
        <v>0</v>
      </c>
      <c r="M28" s="1030">
        <f>K28</f>
        <v>0.2</v>
      </c>
      <c r="N28" s="321">
        <f>-IF(M$14&gt;0,M28/M$14*100,0)</f>
        <v>0</v>
      </c>
      <c r="O28" s="178"/>
      <c r="P28" s="359"/>
      <c r="Q28" s="319" t="s">
        <v>0</v>
      </c>
      <c r="R28" s="319"/>
      <c r="S28" s="319"/>
      <c r="T28" s="319"/>
      <c r="U28" s="319"/>
      <c r="V28" s="319"/>
      <c r="W28" s="319"/>
      <c r="X28" s="319"/>
      <c r="Y28" s="319"/>
      <c r="Z28" s="319"/>
      <c r="AA28" s="319"/>
      <c r="AB28" s="319"/>
      <c r="AC28" s="319"/>
      <c r="AD28" s="343"/>
    </row>
    <row r="29" spans="1:30" s="53" customFormat="1" ht="12.65" customHeight="1">
      <c r="B29" s="522" t="s">
        <v>47</v>
      </c>
      <c r="C29" s="467" t="s">
        <v>214</v>
      </c>
      <c r="D29" s="527" t="s">
        <v>90</v>
      </c>
      <c r="E29" s="1364"/>
      <c r="F29" s="1363"/>
      <c r="G29" s="1350"/>
      <c r="H29" s="362">
        <f>IF(G$14&gt;0,G29/G$14*100,0)</f>
        <v>0</v>
      </c>
      <c r="I29" s="1350"/>
      <c r="J29" s="362">
        <f>IF(I$14&gt;0,I29/I$14*100,0)</f>
        <v>0</v>
      </c>
      <c r="K29" s="1350"/>
      <c r="L29" s="362">
        <f>IF(K$14&gt;0,K29/K$14*100,0)</f>
        <v>0</v>
      </c>
      <c r="M29" s="1350"/>
      <c r="N29" s="321">
        <f>IF(M$14&gt;0,M29/M$14*100,0)</f>
        <v>0</v>
      </c>
      <c r="O29" s="178"/>
      <c r="P29" s="359"/>
      <c r="Q29" s="319"/>
      <c r="R29" s="319"/>
      <c r="S29" s="319"/>
      <c r="T29" s="319"/>
      <c r="U29" s="319"/>
      <c r="V29" s="319"/>
      <c r="W29" s="319"/>
      <c r="X29" s="319"/>
      <c r="Y29" s="319"/>
      <c r="Z29" s="319"/>
      <c r="AA29" s="319"/>
      <c r="AB29" s="319"/>
      <c r="AC29" s="319"/>
      <c r="AD29" s="343"/>
    </row>
    <row r="30" spans="1:30" s="53" customFormat="1" ht="12.65" customHeight="1">
      <c r="A30"/>
      <c r="B30" s="522" t="s">
        <v>48</v>
      </c>
      <c r="C30" s="467" t="s">
        <v>464</v>
      </c>
      <c r="D30" s="527" t="s">
        <v>90</v>
      </c>
      <c r="E30" s="1364"/>
      <c r="F30" s="730"/>
      <c r="G30" s="1031">
        <f>-('6. T3 BALANS'!G64-'6. T3 BALANS'!F64)</f>
        <v>0</v>
      </c>
      <c r="H30" s="321">
        <f>-IF(G$14&gt;0,G30/G$14*100,0)</f>
        <v>0</v>
      </c>
      <c r="I30" s="1031">
        <f>-('6. T3 BALANS'!H64-'6. T3 BALANS'!G64)</f>
        <v>0</v>
      </c>
      <c r="J30" s="321">
        <f>-IF(I$14&gt;0,I30/I$14*100,0)</f>
        <v>0</v>
      </c>
      <c r="K30" s="1031">
        <f>-('6. T3 BALANS'!I64-'6. T3 BALANS'!H64)</f>
        <v>0</v>
      </c>
      <c r="L30" s="321">
        <f>-IF(K$14&gt;0,K30/K$14*100,0)</f>
        <v>0</v>
      </c>
      <c r="M30" s="1031">
        <f>-('6. T3 BALANS'!J64-'6. T3 BALANS'!I64)</f>
        <v>0</v>
      </c>
      <c r="N30" s="321">
        <f>-IF(M$14&gt;0,M30/M$14*100,0)</f>
        <v>0</v>
      </c>
      <c r="O30" s="178"/>
      <c r="P30" s="359"/>
      <c r="Q30" s="319"/>
      <c r="R30" s="319"/>
      <c r="S30" s="319"/>
      <c r="T30" s="319"/>
      <c r="U30" s="319"/>
      <c r="V30" s="319"/>
      <c r="W30" s="319"/>
      <c r="X30" s="319"/>
      <c r="Y30" s="319"/>
      <c r="Z30" s="319"/>
      <c r="AA30" s="319"/>
      <c r="AB30" s="319"/>
      <c r="AC30" s="319"/>
      <c r="AD30" s="343"/>
    </row>
    <row r="31" spans="1:30" s="53" customFormat="1" ht="12.65" customHeight="1" thickBot="1">
      <c r="A31"/>
      <c r="B31" s="324" t="s">
        <v>18</v>
      </c>
      <c r="C31" s="325" t="s">
        <v>215</v>
      </c>
      <c r="D31" s="326"/>
      <c r="E31" s="734"/>
      <c r="F31" s="735"/>
      <c r="G31" s="1032">
        <f>G26+G27+G29+G30</f>
        <v>0</v>
      </c>
      <c r="H31" s="327">
        <f>IF(G$14&gt;0,G31/G$14*100,0)</f>
        <v>0</v>
      </c>
      <c r="I31" s="1032">
        <f>I26+I27+I29+I30</f>
        <v>0</v>
      </c>
      <c r="J31" s="327">
        <f>IF(I$14&gt;0,I31/I$14*100,0)</f>
        <v>0</v>
      </c>
      <c r="K31" s="1032">
        <f>K26+K27+K29+K30</f>
        <v>0</v>
      </c>
      <c r="L31" s="327">
        <f>IF(K$14&gt;0,K31/K$14*100,0)</f>
        <v>0</v>
      </c>
      <c r="M31" s="1032">
        <f>M26+M27+M29+M30</f>
        <v>0</v>
      </c>
      <c r="N31" s="327">
        <f>IF(M$14&gt;0,M31/M$14*100,0)</f>
        <v>0</v>
      </c>
      <c r="O31" s="178"/>
      <c r="P31" s="374"/>
      <c r="Q31" s="344"/>
      <c r="R31" s="344"/>
      <c r="S31" s="344"/>
      <c r="T31" s="344"/>
      <c r="U31" s="344"/>
      <c r="V31" s="344"/>
      <c r="W31" s="344"/>
      <c r="X31" s="344"/>
      <c r="Y31" s="344"/>
      <c r="Z31" s="344"/>
      <c r="AA31" s="344"/>
      <c r="AB31" s="344"/>
      <c r="AC31" s="344"/>
      <c r="AD31" s="345"/>
    </row>
    <row r="32" spans="1:30" ht="9" customHeight="1" thickBot="1">
      <c r="B32" s="60"/>
      <c r="C32" s="178"/>
      <c r="D32" s="178"/>
      <c r="E32" s="178"/>
      <c r="F32" s="179"/>
      <c r="G32" s="178"/>
      <c r="H32" s="179"/>
      <c r="I32" s="178"/>
      <c r="J32" s="179"/>
      <c r="K32" s="178"/>
      <c r="L32" s="179"/>
      <c r="M32" s="178"/>
      <c r="N32" s="179"/>
      <c r="P32" s="79"/>
      <c r="Q32" s="79"/>
      <c r="R32" s="79"/>
      <c r="S32" s="79"/>
      <c r="T32" s="79"/>
      <c r="U32" s="79"/>
      <c r="V32" s="79"/>
      <c r="W32" s="79"/>
      <c r="X32" s="79"/>
      <c r="Y32" s="79"/>
      <c r="Z32" s="79"/>
      <c r="AA32" s="79"/>
      <c r="AB32" s="79"/>
      <c r="AC32" s="79"/>
      <c r="AD32" s="79"/>
    </row>
    <row r="33" spans="1:15" ht="15.75" customHeight="1" thickBot="1">
      <c r="A33" s="53"/>
      <c r="B33" s="80"/>
      <c r="C33" s="225" t="s">
        <v>216</v>
      </c>
      <c r="D33" s="180"/>
      <c r="E33" s="2029">
        <v>0</v>
      </c>
      <c r="F33" s="2029"/>
      <c r="G33" s="2024">
        <v>1</v>
      </c>
      <c r="H33" s="2025"/>
      <c r="I33" s="2024">
        <f>G33</f>
        <v>1</v>
      </c>
      <c r="J33" s="2025"/>
      <c r="K33" s="2024">
        <f>I33</f>
        <v>1</v>
      </c>
      <c r="L33" s="2025"/>
      <c r="M33" s="2024">
        <f>K33</f>
        <v>1</v>
      </c>
      <c r="N33" s="2025"/>
    </row>
    <row r="34" spans="1:15" ht="12.75" customHeight="1">
      <c r="B34" s="60"/>
      <c r="C34" s="1"/>
      <c r="D34" s="4"/>
      <c r="E34" s="82"/>
      <c r="F34" s="82"/>
      <c r="G34" s="329"/>
      <c r="H34" s="82"/>
      <c r="I34" s="82"/>
      <c r="J34" s="82"/>
      <c r="K34" s="82"/>
      <c r="L34" s="82"/>
      <c r="M34" s="82"/>
      <c r="N34" s="82"/>
    </row>
    <row r="35" spans="1:15" ht="12.75" customHeight="1">
      <c r="B35" s="76" t="str">
        <f>'1. T1 INVESTERINGSP.'!B66</f>
        <v>Tjänsten erbjuds av: Dynamo Närpes och Kristinestads näringslivscentral</v>
      </c>
      <c r="C35" s="1"/>
      <c r="D35" s="4"/>
      <c r="E35" s="82"/>
      <c r="F35" s="82"/>
      <c r="G35" s="329"/>
      <c r="H35" s="82"/>
      <c r="I35" s="82"/>
      <c r="J35" s="82"/>
      <c r="N35" s="161" t="str">
        <f>STARTSIDAN!$G$26</f>
        <v xml:space="preserve">FT6 Det nya företagets resultatplan </v>
      </c>
    </row>
    <row r="36" spans="1:15" ht="14.25" customHeight="1">
      <c r="B36" s="76"/>
      <c r="C36" s="4"/>
      <c r="D36" s="4"/>
      <c r="E36" s="4"/>
      <c r="F36" s="60"/>
      <c r="G36" s="2030"/>
      <c r="H36" s="2030"/>
      <c r="I36" s="2030"/>
      <c r="J36" s="2030"/>
      <c r="K36" s="2030"/>
      <c r="L36" s="2030"/>
      <c r="M36" s="2030"/>
      <c r="N36" s="2030"/>
    </row>
    <row r="37" spans="1:15" ht="8.25" customHeight="1">
      <c r="B37" s="2042"/>
      <c r="C37" s="2042"/>
      <c r="D37" s="2042"/>
      <c r="E37" s="2026"/>
      <c r="F37" s="2026"/>
      <c r="G37" s="2026"/>
      <c r="H37" s="2026"/>
      <c r="I37" s="2026"/>
      <c r="J37" s="2026"/>
      <c r="K37" s="2026"/>
      <c r="L37" s="2026"/>
      <c r="M37" s="2026"/>
      <c r="N37" s="2026"/>
      <c r="O37" s="137"/>
    </row>
    <row r="38" spans="1:15">
      <c r="B38" s="138"/>
      <c r="C38" s="139"/>
      <c r="D38" s="139"/>
      <c r="E38" s="2020"/>
      <c r="F38" s="2020"/>
      <c r="G38" s="2020"/>
      <c r="H38" s="2020"/>
      <c r="I38" s="2020"/>
      <c r="J38" s="2020"/>
      <c r="K38" s="2020"/>
      <c r="L38" s="2020"/>
      <c r="M38" s="2020"/>
      <c r="N38" s="2020"/>
      <c r="O38" s="137"/>
    </row>
    <row r="39" spans="1:15">
      <c r="B39" s="138"/>
      <c r="C39" s="369" t="s">
        <v>190</v>
      </c>
      <c r="D39" s="139"/>
      <c r="E39" s="378"/>
      <c r="F39" s="378"/>
      <c r="G39" s="378"/>
      <c r="H39" s="378"/>
      <c r="I39" s="2020"/>
      <c r="J39" s="2020"/>
      <c r="K39" s="2020"/>
      <c r="L39" s="2020"/>
      <c r="M39" s="2020"/>
      <c r="N39" s="2020"/>
      <c r="O39" s="137"/>
    </row>
    <row r="40" spans="1:15" ht="14.25" customHeight="1">
      <c r="B40" s="138"/>
      <c r="C40" s="52" t="s">
        <v>191</v>
      </c>
      <c r="D40" s="139"/>
      <c r="E40" s="137"/>
      <c r="F40" s="137"/>
      <c r="G40" s="378"/>
      <c r="H40" s="378"/>
      <c r="I40" s="2020"/>
      <c r="J40" s="2020"/>
      <c r="K40" s="2020"/>
      <c r="L40" s="2020"/>
      <c r="M40" s="2020"/>
      <c r="N40" s="2020"/>
      <c r="O40" s="137"/>
    </row>
    <row r="41" spans="1:15">
      <c r="B41" s="138"/>
      <c r="C41" s="52" t="s">
        <v>217</v>
      </c>
      <c r="D41" s="139"/>
      <c r="E41" s="378"/>
      <c r="F41" s="378"/>
      <c r="G41" s="378"/>
      <c r="H41" s="378"/>
      <c r="I41" s="2020"/>
      <c r="J41" s="2020"/>
      <c r="K41" s="2020"/>
      <c r="L41" s="2020"/>
      <c r="M41" s="2020"/>
      <c r="N41" s="2020"/>
      <c r="O41" s="137"/>
    </row>
    <row r="42" spans="1:15">
      <c r="B42" s="138"/>
      <c r="C42" s="139"/>
      <c r="D42" s="139"/>
      <c r="E42" s="2020"/>
      <c r="F42" s="2020"/>
      <c r="G42" s="2020"/>
      <c r="H42" s="2020"/>
      <c r="I42" s="2020"/>
      <c r="J42" s="2020"/>
      <c r="K42" s="2020"/>
      <c r="L42" s="2020"/>
      <c r="M42" s="2020"/>
      <c r="N42" s="2020"/>
      <c r="O42" s="137"/>
    </row>
    <row r="43" spans="1:15">
      <c r="B43" s="138"/>
      <c r="C43" s="139"/>
      <c r="D43" s="139"/>
      <c r="E43" s="2020"/>
      <c r="F43" s="2020"/>
      <c r="G43" s="2020"/>
      <c r="H43" s="2020"/>
      <c r="I43" s="2020"/>
      <c r="J43" s="2020"/>
      <c r="K43" s="2020"/>
      <c r="L43" s="2020"/>
      <c r="M43" s="2020"/>
      <c r="N43" s="2020"/>
      <c r="O43" s="137"/>
    </row>
    <row r="44" spans="1:15">
      <c r="B44" s="138"/>
      <c r="C44" s="139"/>
      <c r="D44" s="139"/>
      <c r="E44" s="2020"/>
      <c r="F44" s="2020"/>
      <c r="G44" s="2020"/>
      <c r="H44" s="2020"/>
      <c r="I44" s="2020"/>
      <c r="J44" s="2020"/>
      <c r="K44" s="2020"/>
      <c r="L44" s="2020"/>
      <c r="M44" s="2020"/>
      <c r="N44" s="2020"/>
      <c r="O44" s="137"/>
    </row>
    <row r="45" spans="1:15">
      <c r="B45" s="138"/>
      <c r="C45" s="139"/>
      <c r="D45" s="139"/>
      <c r="E45" s="2020"/>
      <c r="F45" s="2020"/>
      <c r="G45" s="2020"/>
      <c r="H45" s="2020"/>
      <c r="I45" s="2020"/>
      <c r="J45" s="2020"/>
      <c r="K45" s="2020"/>
      <c r="L45" s="2020"/>
      <c r="M45" s="2020"/>
      <c r="N45" s="2020"/>
      <c r="O45" s="137"/>
    </row>
    <row r="46" spans="1:15">
      <c r="B46" s="138"/>
      <c r="C46" s="139"/>
      <c r="D46" s="139"/>
      <c r="E46" s="2056"/>
      <c r="F46" s="2056"/>
      <c r="G46" s="2056"/>
      <c r="H46" s="2056"/>
      <c r="I46" s="2056"/>
      <c r="J46" s="2056"/>
      <c r="K46" s="2056"/>
      <c r="L46" s="2056"/>
      <c r="M46" s="2056"/>
      <c r="N46" s="2056"/>
      <c r="O46" s="137"/>
    </row>
    <row r="47" spans="1:15">
      <c r="B47" s="2035"/>
      <c r="C47" s="2035"/>
      <c r="D47" s="2035"/>
      <c r="E47" s="2020"/>
      <c r="F47" s="2020"/>
      <c r="G47" s="2020"/>
      <c r="H47" s="2020"/>
      <c r="I47" s="2020"/>
      <c r="J47" s="2020"/>
      <c r="K47" s="2020"/>
      <c r="L47" s="2020"/>
      <c r="M47" s="2020"/>
      <c r="N47" s="2020"/>
      <c r="O47" s="137"/>
    </row>
    <row r="48" spans="1:15">
      <c r="B48" s="138"/>
      <c r="C48" s="139"/>
      <c r="D48" s="139"/>
      <c r="E48" s="2020"/>
      <c r="F48" s="2020"/>
      <c r="G48" s="2020"/>
      <c r="H48" s="2020"/>
      <c r="I48" s="2020"/>
      <c r="J48" s="2020"/>
      <c r="K48" s="2020"/>
      <c r="L48" s="2020"/>
      <c r="M48" s="2020"/>
      <c r="N48" s="2020"/>
      <c r="O48" s="137"/>
    </row>
    <row r="49" spans="2:19">
      <c r="B49" s="138"/>
      <c r="C49" s="139"/>
      <c r="D49" s="139"/>
      <c r="E49" s="2020"/>
      <c r="F49" s="2020"/>
      <c r="G49" s="2020"/>
      <c r="H49" s="2020"/>
      <c r="I49" s="2020"/>
      <c r="J49" s="2020"/>
      <c r="K49" s="2020"/>
      <c r="L49" s="2020"/>
      <c r="M49" s="2020"/>
      <c r="N49" s="2020"/>
      <c r="O49" s="137"/>
    </row>
    <row r="50" spans="2:19">
      <c r="B50" s="138"/>
      <c r="C50" s="2049"/>
      <c r="D50" s="2049"/>
      <c r="E50" s="2020"/>
      <c r="F50" s="2020"/>
      <c r="G50" s="2020"/>
      <c r="H50" s="2020"/>
      <c r="I50" s="2020"/>
      <c r="J50" s="2020"/>
      <c r="K50" s="2020"/>
      <c r="L50" s="2020"/>
      <c r="M50" s="2020"/>
      <c r="N50" s="2020"/>
      <c r="O50" s="137"/>
      <c r="P50" s="1" t="s">
        <v>0</v>
      </c>
    </row>
    <row r="51" spans="2:19">
      <c r="B51" s="138"/>
      <c r="C51" s="139"/>
      <c r="D51" s="139"/>
      <c r="E51" s="2020"/>
      <c r="F51" s="2020"/>
      <c r="G51" s="2020"/>
      <c r="H51" s="2020"/>
      <c r="I51" s="2020"/>
      <c r="J51" s="2020"/>
      <c r="K51" s="2020"/>
      <c r="L51" s="2020"/>
      <c r="M51" s="2020"/>
      <c r="N51" s="2020"/>
      <c r="O51" s="137"/>
      <c r="P51" s="1" t="s">
        <v>0</v>
      </c>
    </row>
    <row r="52" spans="2:19">
      <c r="B52" s="138"/>
      <c r="C52" s="139"/>
      <c r="D52" s="139"/>
      <c r="E52" s="2020"/>
      <c r="F52" s="2020"/>
      <c r="G52" s="2020"/>
      <c r="H52" s="2020"/>
      <c r="I52" s="2020"/>
      <c r="J52" s="2020"/>
      <c r="K52" s="2020"/>
      <c r="L52" s="2020"/>
      <c r="M52" s="2020"/>
      <c r="N52" s="2020"/>
      <c r="O52" s="137"/>
    </row>
    <row r="53" spans="2:19">
      <c r="B53" s="2042"/>
      <c r="C53" s="2042"/>
      <c r="D53" s="2042"/>
      <c r="E53" s="2020"/>
      <c r="F53" s="2020"/>
      <c r="G53" s="2020"/>
      <c r="H53" s="2020"/>
      <c r="I53" s="2020"/>
      <c r="J53" s="2020"/>
      <c r="K53" s="2020"/>
      <c r="L53" s="2020"/>
      <c r="M53" s="2020"/>
      <c r="N53" s="2020"/>
      <c r="O53" s="137"/>
    </row>
    <row r="54" spans="2:19">
      <c r="B54" s="143"/>
      <c r="C54" s="137"/>
      <c r="D54" s="137"/>
      <c r="E54" s="137"/>
      <c r="F54" s="143"/>
      <c r="G54" s="139"/>
      <c r="H54" s="143"/>
      <c r="I54" s="137"/>
      <c r="J54" s="143"/>
      <c r="K54" s="137"/>
      <c r="L54" s="143"/>
      <c r="M54" s="137"/>
      <c r="N54" s="143"/>
      <c r="O54" s="137"/>
    </row>
    <row r="55" spans="2:19">
      <c r="B55" s="2043"/>
      <c r="C55" s="2043"/>
      <c r="D55" s="2043"/>
      <c r="E55" s="2044"/>
      <c r="F55" s="2041"/>
      <c r="G55" s="2044"/>
      <c r="H55" s="2041"/>
      <c r="I55" s="2044"/>
      <c r="J55" s="2041"/>
      <c r="K55" s="2044"/>
      <c r="L55" s="2041"/>
      <c r="M55" s="2044"/>
      <c r="N55" s="2041"/>
      <c r="O55" s="137"/>
    </row>
    <row r="56" spans="2:19">
      <c r="B56" s="2038"/>
      <c r="C56" s="2038"/>
      <c r="D56" s="2038"/>
      <c r="E56" s="2020"/>
      <c r="F56" s="2020"/>
      <c r="G56" s="2020"/>
      <c r="H56" s="2020"/>
      <c r="I56" s="2020"/>
      <c r="J56" s="2020"/>
      <c r="K56" s="2020"/>
      <c r="L56" s="2020"/>
      <c r="M56" s="2020"/>
      <c r="N56" s="2020"/>
      <c r="O56" s="137"/>
    </row>
    <row r="57" spans="2:19">
      <c r="B57" s="2038"/>
      <c r="C57" s="2038"/>
      <c r="D57" s="2038"/>
      <c r="E57" s="2020"/>
      <c r="F57" s="2020"/>
      <c r="G57" s="2020"/>
      <c r="H57" s="2020"/>
      <c r="I57" s="2020"/>
      <c r="J57" s="2020"/>
      <c r="K57" s="2020"/>
      <c r="L57" s="2020"/>
      <c r="M57" s="2020"/>
      <c r="N57" s="2020"/>
      <c r="O57" s="137"/>
    </row>
    <row r="58" spans="2:19">
      <c r="B58" s="2038"/>
      <c r="C58" s="2038"/>
      <c r="D58" s="2038"/>
      <c r="E58" s="2020"/>
      <c r="F58" s="2020"/>
      <c r="G58" s="2020"/>
      <c r="H58" s="2020"/>
      <c r="I58" s="2020"/>
      <c r="J58" s="2020"/>
      <c r="K58" s="2020"/>
      <c r="L58" s="2020"/>
      <c r="M58" s="2020"/>
      <c r="N58" s="2020"/>
      <c r="O58" s="137"/>
    </row>
    <row r="59" spans="2:19">
      <c r="B59" s="2038"/>
      <c r="C59" s="2038"/>
      <c r="D59" s="2038"/>
      <c r="E59" s="2020"/>
      <c r="F59" s="2020"/>
      <c r="G59" s="2020"/>
      <c r="H59" s="2020"/>
      <c r="I59" s="2020"/>
      <c r="J59" s="2020"/>
      <c r="K59" s="2020"/>
      <c r="L59" s="2020"/>
      <c r="M59" s="2020"/>
      <c r="N59" s="2020"/>
      <c r="O59" s="137"/>
    </row>
    <row r="60" spans="2:19">
      <c r="B60" s="118"/>
      <c r="C60" s="118"/>
      <c r="D60" s="118"/>
      <c r="E60" s="2020"/>
      <c r="F60" s="2020"/>
      <c r="G60" s="159"/>
      <c r="H60" s="140"/>
      <c r="I60" s="140"/>
      <c r="J60" s="140"/>
      <c r="K60" s="140"/>
      <c r="L60" s="140"/>
      <c r="M60" s="140"/>
      <c r="N60" s="140"/>
      <c r="O60" s="137"/>
    </row>
    <row r="61" spans="2:19">
      <c r="B61" s="2038"/>
      <c r="C61" s="2038"/>
      <c r="D61" s="2038"/>
      <c r="E61" s="2020"/>
      <c r="F61" s="2020"/>
      <c r="G61" s="2020"/>
      <c r="H61" s="2020"/>
      <c r="I61" s="2020"/>
      <c r="J61" s="2020"/>
      <c r="K61" s="2020"/>
      <c r="L61" s="2020"/>
      <c r="M61" s="2020"/>
      <c r="N61" s="2020"/>
      <c r="O61" s="137"/>
      <c r="S61" s="1" t="s">
        <v>19</v>
      </c>
    </row>
    <row r="62" spans="2:19">
      <c r="B62" s="2038"/>
      <c r="C62" s="2038"/>
      <c r="D62" s="2038"/>
      <c r="E62" s="2020"/>
      <c r="F62" s="2020"/>
      <c r="G62" s="2020"/>
      <c r="H62" s="2020"/>
      <c r="I62" s="2020"/>
      <c r="J62" s="2020"/>
      <c r="K62" s="2020"/>
      <c r="L62" s="2020"/>
      <c r="M62" s="2020"/>
      <c r="N62" s="2020"/>
      <c r="O62" s="137"/>
    </row>
    <row r="63" spans="2:19">
      <c r="B63" s="2038"/>
      <c r="C63" s="2038"/>
      <c r="D63" s="2038"/>
      <c r="E63" s="2021"/>
      <c r="F63" s="2021"/>
      <c r="G63" s="2021"/>
      <c r="H63" s="2021"/>
      <c r="I63" s="2021"/>
      <c r="J63" s="2021"/>
      <c r="K63" s="2021"/>
      <c r="L63" s="2021"/>
      <c r="M63" s="2021"/>
      <c r="N63" s="2021"/>
      <c r="O63" s="137"/>
    </row>
    <row r="64" spans="2:19">
      <c r="B64" s="118"/>
      <c r="C64" s="118"/>
      <c r="D64" s="118"/>
      <c r="E64" s="145"/>
      <c r="F64" s="145"/>
      <c r="G64" s="330"/>
      <c r="H64" s="145"/>
      <c r="I64" s="145"/>
      <c r="J64" s="145"/>
      <c r="K64" s="145"/>
      <c r="L64" s="145"/>
      <c r="M64" s="145"/>
      <c r="N64" s="145"/>
      <c r="O64" s="137"/>
    </row>
    <row r="65" spans="2:15">
      <c r="B65" s="118"/>
      <c r="C65" s="118"/>
      <c r="D65" s="118"/>
      <c r="E65" s="145"/>
      <c r="F65" s="145"/>
      <c r="G65" s="330"/>
      <c r="H65" s="145"/>
      <c r="I65" s="145"/>
      <c r="J65" s="145"/>
      <c r="K65" s="145"/>
      <c r="L65" s="145"/>
      <c r="M65" s="145"/>
      <c r="N65" s="145"/>
      <c r="O65" s="137"/>
    </row>
    <row r="66" spans="2:15">
      <c r="B66" s="118"/>
      <c r="C66" s="118"/>
      <c r="D66" s="118"/>
      <c r="E66" s="145"/>
      <c r="F66" s="145"/>
      <c r="G66" s="330"/>
      <c r="H66" s="145"/>
      <c r="I66" s="145"/>
      <c r="J66" s="145"/>
      <c r="K66" s="145"/>
      <c r="L66" s="145"/>
      <c r="M66" s="145"/>
      <c r="N66" s="145"/>
      <c r="O66" s="137"/>
    </row>
    <row r="67" spans="2:15">
      <c r="B67" s="118"/>
      <c r="C67" s="118"/>
      <c r="D67" s="118"/>
      <c r="E67" s="145"/>
      <c r="F67" s="145"/>
      <c r="G67" s="330"/>
      <c r="H67" s="145"/>
      <c r="I67" s="145"/>
      <c r="J67" s="145"/>
      <c r="K67" s="145"/>
      <c r="L67" s="145"/>
      <c r="M67" s="145"/>
      <c r="N67" s="145"/>
      <c r="O67" s="137"/>
    </row>
    <row r="68" spans="2:15">
      <c r="B68" s="118"/>
      <c r="C68" s="118"/>
      <c r="D68" s="118"/>
      <c r="E68" s="145"/>
      <c r="F68" s="145"/>
      <c r="G68" s="330"/>
      <c r="H68" s="145"/>
      <c r="I68" s="145"/>
      <c r="J68" s="145"/>
      <c r="K68" s="145"/>
      <c r="L68" s="145"/>
      <c r="M68" s="145"/>
      <c r="N68" s="145"/>
      <c r="O68" s="137"/>
    </row>
    <row r="69" spans="2:15">
      <c r="B69" s="118"/>
      <c r="C69" s="118"/>
      <c r="D69" s="118"/>
      <c r="E69" s="145"/>
      <c r="F69" s="145"/>
      <c r="G69" s="330"/>
      <c r="H69" s="145"/>
      <c r="I69" s="145"/>
      <c r="J69" s="145"/>
      <c r="K69" s="145"/>
      <c r="L69" s="145"/>
      <c r="M69" s="145"/>
      <c r="N69" s="145"/>
      <c r="O69" s="137"/>
    </row>
    <row r="70" spans="2:15">
      <c r="B70" s="118"/>
      <c r="C70" s="118"/>
      <c r="D70" s="118"/>
      <c r="E70" s="145"/>
      <c r="F70" s="145"/>
      <c r="G70" s="330"/>
      <c r="H70" s="145"/>
      <c r="I70" s="145"/>
      <c r="J70" s="145"/>
      <c r="K70" s="145"/>
      <c r="L70" s="145"/>
      <c r="M70" s="145"/>
      <c r="N70" s="145"/>
      <c r="O70" s="137"/>
    </row>
    <row r="71" spans="2:15">
      <c r="B71" s="118"/>
      <c r="C71" s="118"/>
      <c r="D71" s="118"/>
      <c r="E71" s="145"/>
      <c r="F71" s="145"/>
      <c r="G71" s="330"/>
      <c r="H71" s="145"/>
      <c r="I71" s="145"/>
      <c r="J71" s="145"/>
      <c r="K71" s="145"/>
      <c r="L71" s="145"/>
      <c r="M71" s="145"/>
      <c r="N71" s="145"/>
      <c r="O71" s="137"/>
    </row>
    <row r="72" spans="2:15">
      <c r="B72" s="118"/>
      <c r="C72" s="118"/>
      <c r="D72" s="118"/>
      <c r="E72" s="145"/>
      <c r="F72" s="145"/>
      <c r="G72" s="330"/>
      <c r="H72" s="145"/>
      <c r="I72" s="145"/>
      <c r="J72" s="145"/>
      <c r="K72" s="145"/>
      <c r="L72" s="145"/>
      <c r="M72" s="145"/>
      <c r="N72" s="145"/>
      <c r="O72" s="137"/>
    </row>
    <row r="73" spans="2:15">
      <c r="B73" s="118"/>
      <c r="C73" s="118"/>
      <c r="D73" s="118"/>
      <c r="E73" s="145"/>
      <c r="F73" s="145"/>
      <c r="G73" s="330"/>
      <c r="H73" s="145"/>
      <c r="I73" s="145"/>
      <c r="J73" s="145"/>
      <c r="K73" s="145"/>
      <c r="L73" s="145"/>
      <c r="M73" s="145"/>
      <c r="N73" s="145"/>
      <c r="O73" s="137"/>
    </row>
    <row r="74" spans="2:15">
      <c r="B74" s="118"/>
      <c r="C74" s="118"/>
      <c r="D74" s="118"/>
      <c r="E74" s="145"/>
      <c r="F74" s="145"/>
      <c r="G74" s="330"/>
      <c r="H74" s="145"/>
      <c r="I74" s="145"/>
      <c r="J74" s="145"/>
      <c r="K74" s="145"/>
      <c r="L74" s="145"/>
      <c r="M74" s="145"/>
      <c r="N74" s="145"/>
      <c r="O74" s="137"/>
    </row>
    <row r="75" spans="2:15">
      <c r="B75" s="118"/>
      <c r="C75" s="118"/>
      <c r="D75" s="118"/>
      <c r="E75" s="145"/>
      <c r="F75" s="145"/>
      <c r="G75" s="330"/>
      <c r="H75" s="145"/>
      <c r="I75" s="145"/>
      <c r="J75" s="145"/>
      <c r="K75" s="145"/>
      <c r="L75" s="145"/>
      <c r="M75" s="145"/>
      <c r="N75" s="145"/>
      <c r="O75" s="137"/>
    </row>
    <row r="76" spans="2:15">
      <c r="B76" s="143"/>
      <c r="C76" s="146"/>
      <c r="D76" s="137"/>
      <c r="E76" s="144"/>
      <c r="F76" s="147"/>
      <c r="G76" s="139"/>
      <c r="H76" s="147"/>
      <c r="I76" s="144"/>
      <c r="J76" s="147"/>
      <c r="K76" s="144"/>
      <c r="L76" s="147"/>
      <c r="M76" s="144"/>
      <c r="N76" s="147"/>
      <c r="O76" s="137"/>
    </row>
    <row r="77" spans="2:15">
      <c r="B77" s="143"/>
      <c r="C77" s="146"/>
      <c r="D77" s="137"/>
      <c r="E77" s="137"/>
      <c r="F77" s="143"/>
      <c r="G77" s="139"/>
      <c r="H77" s="143"/>
      <c r="I77" s="137"/>
      <c r="J77" s="143"/>
      <c r="K77" s="137"/>
      <c r="L77" s="143"/>
      <c r="M77" s="137"/>
      <c r="N77" s="143"/>
      <c r="O77" s="137"/>
    </row>
    <row r="78" spans="2:15">
      <c r="B78" s="143"/>
      <c r="C78" s="146"/>
      <c r="D78" s="137"/>
      <c r="E78" s="137"/>
      <c r="F78" s="143"/>
      <c r="G78" s="139"/>
      <c r="H78" s="143"/>
      <c r="I78" s="137"/>
      <c r="J78" s="143"/>
      <c r="K78" s="137"/>
      <c r="L78" s="143"/>
      <c r="M78" s="137"/>
      <c r="N78" s="143"/>
      <c r="O78" s="137"/>
    </row>
    <row r="79" spans="2:15">
      <c r="B79" s="148"/>
      <c r="C79" s="146"/>
      <c r="D79" s="146"/>
      <c r="E79" s="146"/>
      <c r="F79" s="148"/>
      <c r="G79" s="331"/>
      <c r="H79" s="148"/>
      <c r="I79" s="146"/>
      <c r="J79" s="148"/>
      <c r="K79" s="146"/>
      <c r="L79" s="148"/>
      <c r="M79" s="146"/>
      <c r="N79" s="148"/>
      <c r="O79" s="137"/>
    </row>
    <row r="80" spans="2:15">
      <c r="B80" s="2038"/>
      <c r="C80" s="2038"/>
      <c r="D80" s="2038"/>
      <c r="E80" s="2039"/>
      <c r="F80" s="2039"/>
      <c r="G80" s="2039"/>
      <c r="H80" s="2039"/>
      <c r="I80" s="2039"/>
      <c r="J80" s="2040"/>
      <c r="K80" s="2041"/>
      <c r="L80" s="2041"/>
      <c r="M80" s="143"/>
      <c r="N80" s="143"/>
      <c r="O80" s="137"/>
    </row>
    <row r="81" spans="2:15">
      <c r="B81" s="147"/>
      <c r="C81" s="118"/>
      <c r="D81" s="118"/>
      <c r="E81" s="149"/>
      <c r="F81" s="151"/>
      <c r="G81" s="318"/>
      <c r="H81" s="151"/>
      <c r="I81" s="149"/>
      <c r="J81" s="150"/>
      <c r="K81" s="143"/>
      <c r="L81" s="143"/>
      <c r="M81" s="143"/>
      <c r="N81" s="143"/>
      <c r="O81" s="137"/>
    </row>
    <row r="82" spans="2:15">
      <c r="B82" s="147"/>
      <c r="C82" s="118"/>
      <c r="D82" s="118"/>
      <c r="E82" s="149"/>
      <c r="F82" s="151"/>
      <c r="G82" s="318"/>
      <c r="H82" s="151"/>
      <c r="I82" s="149"/>
      <c r="J82" s="150"/>
      <c r="K82" s="143"/>
      <c r="L82" s="143"/>
      <c r="M82" s="143"/>
      <c r="N82" s="143"/>
      <c r="O82" s="137"/>
    </row>
    <row r="83" spans="2:15">
      <c r="B83" s="147"/>
      <c r="C83" s="118"/>
      <c r="D83" s="118"/>
      <c r="E83" s="149"/>
      <c r="F83" s="151"/>
      <c r="G83" s="318"/>
      <c r="H83" s="151"/>
      <c r="I83" s="149"/>
      <c r="J83" s="150"/>
      <c r="K83" s="143"/>
      <c r="L83" s="143"/>
      <c r="M83" s="143"/>
      <c r="N83" s="143"/>
      <c r="O83" s="137"/>
    </row>
    <row r="84" spans="2:15" ht="17.600000000000001">
      <c r="B84" s="147"/>
      <c r="C84" s="118"/>
      <c r="D84" s="152"/>
      <c r="E84" s="137"/>
      <c r="F84" s="151"/>
      <c r="G84" s="318"/>
      <c r="H84" s="151"/>
      <c r="I84" s="149"/>
      <c r="J84" s="150"/>
      <c r="K84" s="143"/>
      <c r="L84" s="143"/>
      <c r="M84" s="143"/>
      <c r="N84" s="143"/>
      <c r="O84" s="137"/>
    </row>
    <row r="85" spans="2:15" ht="17.600000000000001">
      <c r="B85" s="147"/>
      <c r="C85" s="118"/>
      <c r="D85" s="152"/>
      <c r="E85" s="137"/>
      <c r="F85" s="151"/>
      <c r="G85" s="318"/>
      <c r="H85" s="151"/>
      <c r="I85" s="149"/>
      <c r="J85" s="150"/>
      <c r="K85" s="143"/>
      <c r="L85" s="143"/>
      <c r="M85" s="143"/>
      <c r="N85" s="143"/>
      <c r="O85" s="137"/>
    </row>
    <row r="86" spans="2:15">
      <c r="B86" s="143"/>
      <c r="C86" s="137"/>
      <c r="D86" s="137"/>
      <c r="E86" s="137"/>
      <c r="F86" s="143"/>
      <c r="G86" s="139"/>
      <c r="H86" s="143"/>
      <c r="I86" s="137"/>
      <c r="J86" s="143"/>
      <c r="K86" s="137"/>
      <c r="L86" s="143"/>
      <c r="M86" s="137"/>
      <c r="N86" s="143"/>
      <c r="O86" s="137"/>
    </row>
    <row r="87" spans="2:15">
      <c r="B87" s="143"/>
      <c r="C87" s="137"/>
      <c r="D87" s="137"/>
      <c r="E87" s="137"/>
      <c r="F87" s="143"/>
      <c r="G87" s="139"/>
      <c r="H87" s="143"/>
      <c r="I87" s="137"/>
      <c r="J87" s="143"/>
      <c r="K87" s="137"/>
      <c r="L87" s="143"/>
      <c r="M87" s="137"/>
      <c r="N87" s="143"/>
      <c r="O87" s="137"/>
    </row>
    <row r="88" spans="2:15">
      <c r="B88" s="143"/>
      <c r="C88" s="137"/>
      <c r="D88" s="137"/>
      <c r="E88" s="137"/>
      <c r="F88" s="143"/>
      <c r="G88" s="139"/>
      <c r="H88" s="143"/>
      <c r="I88" s="137"/>
      <c r="J88" s="143"/>
      <c r="K88" s="137"/>
      <c r="L88" s="143"/>
      <c r="M88" s="137"/>
      <c r="N88" s="143"/>
      <c r="O88" s="137"/>
    </row>
    <row r="89" spans="2:15">
      <c r="B89" s="143"/>
      <c r="C89" s="137"/>
      <c r="D89" s="137"/>
      <c r="E89" s="137"/>
      <c r="F89" s="143"/>
      <c r="G89" s="139"/>
      <c r="H89" s="143"/>
      <c r="I89" s="137"/>
      <c r="J89" s="143"/>
      <c r="K89" s="137"/>
      <c r="L89" s="143"/>
      <c r="M89" s="137"/>
      <c r="N89" s="143"/>
      <c r="O89" s="137"/>
    </row>
    <row r="90" spans="2:15">
      <c r="B90" s="143"/>
      <c r="C90" s="137"/>
      <c r="D90" s="137"/>
      <c r="E90" s="137"/>
      <c r="F90" s="143"/>
      <c r="G90" s="139"/>
      <c r="H90" s="143"/>
      <c r="I90" s="137"/>
      <c r="J90" s="143"/>
      <c r="K90" s="137"/>
      <c r="L90" s="143"/>
      <c r="M90" s="137"/>
      <c r="N90" s="143"/>
      <c r="O90" s="137"/>
    </row>
    <row r="91" spans="2:15">
      <c r="B91" s="143"/>
      <c r="C91" s="137"/>
      <c r="D91" s="137"/>
      <c r="E91" s="137"/>
      <c r="F91" s="143"/>
      <c r="G91" s="139"/>
      <c r="H91" s="143"/>
      <c r="I91" s="137"/>
      <c r="J91" s="143"/>
      <c r="K91" s="137"/>
      <c r="L91" s="143"/>
      <c r="M91" s="137"/>
      <c r="N91" s="143"/>
      <c r="O91" s="137"/>
    </row>
    <row r="92" spans="2:15">
      <c r="B92" s="143"/>
      <c r="C92" s="137"/>
      <c r="D92" s="137"/>
      <c r="E92" s="137"/>
      <c r="F92" s="143"/>
      <c r="G92" s="139"/>
      <c r="H92" s="143"/>
      <c r="I92" s="137"/>
      <c r="J92" s="143"/>
      <c r="K92" s="137"/>
      <c r="L92" s="143"/>
      <c r="M92" s="137"/>
      <c r="N92" s="143"/>
      <c r="O92" s="137"/>
    </row>
    <row r="93" spans="2:15">
      <c r="B93" s="143"/>
      <c r="C93" s="137"/>
      <c r="D93" s="137"/>
      <c r="E93" s="137"/>
      <c r="F93" s="143"/>
      <c r="G93" s="139"/>
      <c r="H93" s="143"/>
      <c r="I93" s="137"/>
      <c r="J93" s="143"/>
      <c r="K93" s="137"/>
      <c r="L93" s="143"/>
      <c r="M93" s="137"/>
      <c r="N93" s="143"/>
      <c r="O93" s="137"/>
    </row>
    <row r="94" spans="2:15">
      <c r="B94" s="143"/>
      <c r="C94" s="137"/>
      <c r="D94" s="137"/>
      <c r="E94" s="137"/>
      <c r="F94" s="143"/>
      <c r="G94" s="139"/>
      <c r="H94" s="143"/>
      <c r="I94" s="137"/>
      <c r="J94" s="143"/>
      <c r="K94" s="137"/>
      <c r="L94" s="143"/>
      <c r="M94" s="137"/>
      <c r="N94" s="143"/>
      <c r="O94" s="137"/>
    </row>
    <row r="95" spans="2:15">
      <c r="B95" s="143"/>
      <c r="C95" s="137"/>
      <c r="D95" s="137"/>
      <c r="E95" s="137"/>
      <c r="F95" s="143"/>
      <c r="G95" s="139"/>
      <c r="H95" s="143"/>
      <c r="I95" s="137"/>
      <c r="J95" s="143"/>
      <c r="K95" s="137"/>
      <c r="L95" s="143"/>
      <c r="M95" s="137"/>
      <c r="N95" s="143"/>
      <c r="O95" s="137"/>
    </row>
    <row r="96" spans="2:15">
      <c r="B96" s="143"/>
      <c r="C96" s="137"/>
      <c r="D96" s="137"/>
      <c r="E96" s="137"/>
      <c r="F96" s="143"/>
      <c r="G96" s="139"/>
      <c r="H96" s="143"/>
      <c r="I96" s="137"/>
      <c r="J96" s="143"/>
      <c r="K96" s="137"/>
      <c r="L96" s="143"/>
      <c r="M96" s="137"/>
      <c r="N96" s="143"/>
      <c r="O96" s="137"/>
    </row>
    <row r="97" spans="2:15">
      <c r="B97" s="143"/>
      <c r="C97" s="137"/>
      <c r="D97" s="137"/>
      <c r="E97" s="137"/>
      <c r="F97" s="143"/>
      <c r="G97" s="139"/>
      <c r="H97" s="143"/>
      <c r="I97" s="137"/>
      <c r="J97" s="143"/>
      <c r="K97" s="137"/>
      <c r="L97" s="143"/>
      <c r="M97" s="137"/>
      <c r="N97" s="143"/>
      <c r="O97" s="137"/>
    </row>
    <row r="98" spans="2:15">
      <c r="B98" s="143"/>
      <c r="C98" s="137"/>
      <c r="D98" s="137"/>
      <c r="E98" s="137"/>
      <c r="F98" s="143"/>
      <c r="G98" s="139"/>
      <c r="H98" s="143"/>
      <c r="I98" s="137"/>
      <c r="J98" s="143"/>
      <c r="K98" s="137"/>
      <c r="L98" s="143"/>
      <c r="M98" s="137"/>
      <c r="N98" s="143"/>
      <c r="O98" s="137"/>
    </row>
    <row r="99" spans="2:15">
      <c r="B99" s="143"/>
      <c r="C99" s="137"/>
      <c r="D99" s="137"/>
      <c r="E99" s="137"/>
      <c r="F99" s="143"/>
      <c r="G99" s="139"/>
      <c r="H99" s="143"/>
      <c r="I99" s="137"/>
      <c r="J99" s="143"/>
      <c r="K99" s="137"/>
      <c r="L99" s="143"/>
      <c r="M99" s="137"/>
      <c r="N99" s="143"/>
      <c r="O99" s="137"/>
    </row>
    <row r="100" spans="2:15">
      <c r="B100" s="143"/>
      <c r="C100" s="137"/>
      <c r="D100" s="137"/>
      <c r="E100" s="137"/>
      <c r="F100" s="143"/>
      <c r="G100" s="139"/>
      <c r="H100" s="143"/>
      <c r="I100" s="137"/>
      <c r="J100" s="143"/>
      <c r="K100" s="137"/>
      <c r="L100" s="143"/>
      <c r="M100" s="137"/>
      <c r="N100" s="143"/>
      <c r="O100" s="137"/>
    </row>
    <row r="101" spans="2:15">
      <c r="B101" s="143"/>
      <c r="C101" s="137"/>
      <c r="D101" s="137"/>
      <c r="E101" s="137"/>
      <c r="F101" s="143"/>
      <c r="G101" s="139"/>
      <c r="H101" s="143"/>
      <c r="I101" s="137"/>
      <c r="J101" s="143"/>
      <c r="K101" s="137"/>
      <c r="L101" s="143"/>
      <c r="M101" s="137"/>
      <c r="N101" s="143"/>
      <c r="O101" s="137"/>
    </row>
    <row r="102" spans="2:15">
      <c r="B102" s="143"/>
      <c r="C102" s="137"/>
      <c r="D102" s="137"/>
      <c r="E102" s="137"/>
      <c r="F102" s="143"/>
      <c r="G102" s="139"/>
      <c r="H102" s="143"/>
      <c r="I102" s="137"/>
      <c r="J102" s="143"/>
      <c r="K102" s="137"/>
      <c r="L102" s="143"/>
      <c r="M102" s="137"/>
      <c r="N102" s="143"/>
      <c r="O102" s="137"/>
    </row>
    <row r="103" spans="2:15">
      <c r="B103" s="143"/>
      <c r="C103" s="137"/>
      <c r="D103" s="137"/>
      <c r="E103" s="137"/>
      <c r="F103" s="143"/>
      <c r="G103" s="139"/>
      <c r="H103" s="143"/>
      <c r="I103" s="137"/>
      <c r="J103" s="143"/>
      <c r="K103" s="137"/>
      <c r="L103" s="143"/>
      <c r="M103" s="137"/>
      <c r="N103" s="143"/>
      <c r="O103" s="137"/>
    </row>
    <row r="104" spans="2:15">
      <c r="B104" s="143"/>
      <c r="C104" s="137"/>
      <c r="D104" s="137"/>
      <c r="E104" s="137"/>
      <c r="F104" s="143"/>
      <c r="G104" s="139"/>
      <c r="H104" s="143"/>
      <c r="I104" s="137"/>
      <c r="J104" s="143"/>
      <c r="K104" s="137"/>
      <c r="L104" s="143"/>
      <c r="M104" s="137"/>
      <c r="N104" s="143"/>
      <c r="O104" s="137"/>
    </row>
    <row r="105" spans="2:15">
      <c r="B105" s="143"/>
      <c r="C105" s="137"/>
      <c r="D105" s="137"/>
      <c r="E105" s="137"/>
      <c r="F105" s="143"/>
      <c r="G105" s="139"/>
      <c r="H105" s="143"/>
      <c r="I105" s="137"/>
      <c r="J105" s="143"/>
      <c r="K105" s="137"/>
      <c r="L105" s="143"/>
      <c r="M105" s="137"/>
      <c r="N105" s="143"/>
      <c r="O105" s="137"/>
    </row>
    <row r="106" spans="2:15">
      <c r="B106" s="143"/>
      <c r="C106" s="137"/>
      <c r="D106" s="137"/>
      <c r="E106" s="137"/>
      <c r="F106" s="143"/>
      <c r="G106" s="139"/>
      <c r="H106" s="143"/>
      <c r="I106" s="137"/>
      <c r="J106" s="143"/>
      <c r="K106" s="137"/>
      <c r="L106" s="143"/>
      <c r="M106" s="137"/>
      <c r="N106" s="143"/>
      <c r="O106" s="137"/>
    </row>
    <row r="107" spans="2:15">
      <c r="B107" s="143"/>
      <c r="C107" s="137"/>
      <c r="D107" s="137"/>
      <c r="E107" s="137"/>
      <c r="F107" s="143"/>
      <c r="G107" s="139"/>
      <c r="H107" s="143"/>
      <c r="I107" s="137"/>
      <c r="J107" s="143"/>
      <c r="K107" s="137"/>
      <c r="L107" s="143"/>
      <c r="M107" s="137"/>
      <c r="N107" s="143"/>
      <c r="O107" s="137"/>
    </row>
    <row r="108" spans="2:15">
      <c r="B108" s="143"/>
      <c r="C108" s="137"/>
      <c r="D108" s="137"/>
      <c r="E108" s="137"/>
      <c r="F108" s="143"/>
      <c r="G108" s="139"/>
      <c r="H108" s="143"/>
      <c r="I108" s="137"/>
      <c r="J108" s="143"/>
      <c r="K108" s="137"/>
      <c r="L108" s="143"/>
      <c r="M108" s="137"/>
      <c r="N108" s="143"/>
      <c r="O108" s="137"/>
    </row>
    <row r="109" spans="2:15">
      <c r="B109" s="143"/>
      <c r="C109" s="137"/>
      <c r="D109" s="137"/>
      <c r="E109" s="137"/>
      <c r="F109" s="143"/>
      <c r="G109" s="139"/>
      <c r="H109" s="143"/>
      <c r="I109" s="137"/>
      <c r="J109" s="143"/>
      <c r="K109" s="137"/>
      <c r="L109" s="143"/>
      <c r="M109" s="137"/>
      <c r="N109" s="143"/>
      <c r="O109" s="137"/>
    </row>
    <row r="110" spans="2:15">
      <c r="B110" s="143"/>
      <c r="C110" s="137"/>
      <c r="D110" s="137"/>
      <c r="E110" s="137"/>
      <c r="F110" s="143"/>
      <c r="G110" s="139"/>
      <c r="H110" s="143"/>
      <c r="I110" s="137"/>
      <c r="J110" s="143"/>
      <c r="K110" s="137"/>
      <c r="L110" s="143"/>
      <c r="M110" s="137"/>
      <c r="N110" s="143"/>
      <c r="O110" s="137"/>
    </row>
    <row r="111" spans="2:15">
      <c r="B111" s="143"/>
      <c r="C111" s="137"/>
      <c r="D111" s="137"/>
      <c r="E111" s="137"/>
      <c r="F111" s="143"/>
      <c r="G111" s="139"/>
      <c r="H111" s="143"/>
      <c r="I111" s="137"/>
      <c r="J111" s="143"/>
      <c r="K111" s="137"/>
      <c r="L111" s="143"/>
      <c r="M111" s="137"/>
      <c r="N111" s="143"/>
      <c r="O111" s="137"/>
    </row>
    <row r="112" spans="2:15">
      <c r="B112" s="143"/>
      <c r="C112" s="137"/>
      <c r="D112" s="137"/>
      <c r="E112" s="137"/>
      <c r="F112" s="143"/>
      <c r="G112" s="139"/>
      <c r="H112" s="143"/>
      <c r="I112" s="137"/>
      <c r="J112" s="143"/>
      <c r="K112" s="137"/>
      <c r="L112" s="143"/>
      <c r="M112" s="137"/>
      <c r="N112" s="143"/>
      <c r="O112" s="137"/>
    </row>
    <row r="113" spans="2:15">
      <c r="B113" s="143"/>
      <c r="C113" s="137"/>
      <c r="D113" s="137"/>
      <c r="E113" s="137"/>
      <c r="F113" s="143"/>
      <c r="G113" s="139"/>
      <c r="H113" s="143"/>
      <c r="I113" s="137"/>
      <c r="J113" s="143"/>
      <c r="K113" s="137"/>
      <c r="L113" s="143"/>
      <c r="M113" s="137"/>
      <c r="N113" s="143"/>
      <c r="O113" s="137"/>
    </row>
    <row r="114" spans="2:15">
      <c r="B114" s="143"/>
      <c r="C114" s="2033"/>
      <c r="D114" s="2034"/>
      <c r="E114" s="2034"/>
      <c r="F114" s="2035"/>
      <c r="G114" s="2035"/>
      <c r="H114" s="2035"/>
      <c r="I114" s="2035"/>
      <c r="J114" s="2035"/>
      <c r="K114" s="2035"/>
      <c r="L114" s="141"/>
      <c r="M114" s="141"/>
      <c r="N114" s="141"/>
      <c r="O114" s="141"/>
    </row>
    <row r="115" spans="2:15">
      <c r="B115" s="143"/>
      <c r="C115" s="2034"/>
      <c r="D115" s="2034"/>
      <c r="E115" s="2034"/>
      <c r="F115" s="2048"/>
      <c r="G115" s="2048"/>
      <c r="H115" s="2048"/>
      <c r="I115" s="2048"/>
      <c r="J115" s="2048"/>
      <c r="K115" s="2048"/>
      <c r="L115" s="153"/>
      <c r="M115" s="153"/>
      <c r="N115" s="153"/>
      <c r="O115" s="153"/>
    </row>
    <row r="116" spans="2:15">
      <c r="B116" s="143"/>
      <c r="C116" s="154"/>
      <c r="D116" s="2049"/>
      <c r="E116" s="2049"/>
      <c r="F116" s="2045"/>
      <c r="G116" s="2045"/>
      <c r="H116" s="2045"/>
      <c r="I116" s="2045"/>
      <c r="J116" s="2045"/>
      <c r="K116" s="2045"/>
      <c r="L116" s="155"/>
      <c r="M116" s="155"/>
      <c r="N116" s="155"/>
      <c r="O116" s="155"/>
    </row>
    <row r="117" spans="2:15">
      <c r="B117" s="143"/>
      <c r="C117" s="154"/>
      <c r="D117" s="142"/>
      <c r="E117" s="156"/>
      <c r="F117" s="2045"/>
      <c r="G117" s="2045"/>
      <c r="H117" s="2045"/>
      <c r="I117" s="2046"/>
      <c r="J117" s="2045"/>
      <c r="K117" s="2046"/>
      <c r="L117" s="155"/>
      <c r="M117" s="155"/>
      <c r="N117" s="155"/>
      <c r="O117" s="157"/>
    </row>
    <row r="118" spans="2:15">
      <c r="B118" s="143"/>
      <c r="C118" s="154"/>
      <c r="D118" s="142"/>
      <c r="E118" s="156"/>
      <c r="F118" s="2045"/>
      <c r="G118" s="2045"/>
      <c r="H118" s="2045"/>
      <c r="I118" s="2046"/>
      <c r="J118" s="2045"/>
      <c r="K118" s="2046"/>
      <c r="L118" s="155"/>
      <c r="M118" s="155"/>
      <c r="N118" s="155"/>
      <c r="O118" s="157"/>
    </row>
    <row r="119" spans="2:15">
      <c r="B119" s="143"/>
      <c r="C119" s="154"/>
      <c r="D119" s="142"/>
      <c r="E119" s="156"/>
      <c r="F119" s="2045"/>
      <c r="G119" s="2045"/>
      <c r="H119" s="2045"/>
      <c r="I119" s="2046"/>
      <c r="J119" s="2045"/>
      <c r="K119" s="2046"/>
      <c r="L119" s="155"/>
      <c r="M119" s="155"/>
      <c r="N119" s="155"/>
      <c r="O119" s="157"/>
    </row>
    <row r="120" spans="2:15">
      <c r="B120" s="143"/>
      <c r="C120" s="154"/>
      <c r="D120" s="142"/>
      <c r="E120" s="156"/>
      <c r="F120" s="2045"/>
      <c r="G120" s="2045"/>
      <c r="H120" s="2031"/>
      <c r="I120" s="2031"/>
      <c r="J120" s="2031"/>
      <c r="K120" s="2031"/>
      <c r="L120" s="158"/>
      <c r="M120" s="158"/>
      <c r="N120" s="158"/>
      <c r="O120" s="158"/>
    </row>
    <row r="121" spans="2:15">
      <c r="B121" s="143"/>
      <c r="C121" s="154"/>
      <c r="D121" s="2049"/>
      <c r="E121" s="2049"/>
      <c r="F121" s="2045"/>
      <c r="G121" s="2045"/>
      <c r="H121" s="2047"/>
      <c r="I121" s="2047"/>
      <c r="J121" s="2047"/>
      <c r="K121" s="2047"/>
      <c r="L121" s="159"/>
      <c r="M121" s="159"/>
      <c r="N121" s="159"/>
      <c r="O121" s="159"/>
    </row>
    <row r="122" spans="2:15">
      <c r="B122" s="143"/>
      <c r="C122" s="154"/>
      <c r="D122" s="2032"/>
      <c r="E122" s="2032"/>
      <c r="F122" s="2045"/>
      <c r="G122" s="2046"/>
      <c r="H122" s="2045"/>
      <c r="I122" s="2046"/>
      <c r="J122" s="2045"/>
      <c r="K122" s="2046"/>
      <c r="L122" s="155"/>
      <c r="M122" s="155"/>
      <c r="N122" s="155"/>
      <c r="O122" s="157"/>
    </row>
    <row r="123" spans="2:15">
      <c r="B123" s="143"/>
      <c r="C123" s="2033"/>
      <c r="D123" s="2034"/>
      <c r="E123" s="2034"/>
      <c r="F123" s="2035"/>
      <c r="G123" s="2035"/>
      <c r="H123" s="2035"/>
      <c r="I123" s="2035"/>
      <c r="J123" s="2035"/>
      <c r="K123" s="2035"/>
      <c r="L123" s="141"/>
      <c r="M123" s="141"/>
      <c r="N123" s="141"/>
      <c r="O123" s="141"/>
    </row>
    <row r="124" spans="2:15">
      <c r="B124" s="143"/>
      <c r="C124" s="2034"/>
      <c r="D124" s="2034"/>
      <c r="E124" s="2034"/>
      <c r="F124" s="2048"/>
      <c r="G124" s="2048"/>
      <c r="H124" s="2048"/>
      <c r="I124" s="2048"/>
      <c r="J124" s="2048"/>
      <c r="K124" s="2048"/>
      <c r="L124" s="153"/>
      <c r="M124" s="153"/>
      <c r="N124" s="153"/>
      <c r="O124" s="153"/>
    </row>
    <row r="125" spans="2:15">
      <c r="B125" s="143"/>
      <c r="C125" s="154"/>
      <c r="D125" s="139"/>
      <c r="E125" s="160"/>
      <c r="F125" s="2045"/>
      <c r="G125" s="2046"/>
      <c r="H125" s="2045"/>
      <c r="I125" s="2046"/>
      <c r="J125" s="2045"/>
      <c r="K125" s="2046"/>
      <c r="L125" s="155"/>
      <c r="M125" s="155"/>
      <c r="N125" s="155"/>
      <c r="O125" s="157"/>
    </row>
    <row r="126" spans="2:15">
      <c r="B126" s="143"/>
      <c r="C126" s="154"/>
      <c r="D126" s="139"/>
      <c r="E126" s="160"/>
      <c r="F126" s="2045"/>
      <c r="G126" s="2046"/>
      <c r="H126" s="2045"/>
      <c r="I126" s="2046"/>
      <c r="J126" s="2045"/>
      <c r="K126" s="2046"/>
      <c r="L126" s="155"/>
      <c r="M126" s="155"/>
      <c r="N126" s="155"/>
      <c r="O126" s="157"/>
    </row>
    <row r="127" spans="2:15">
      <c r="B127" s="143"/>
      <c r="C127" s="154"/>
      <c r="D127" s="139"/>
      <c r="E127" s="160"/>
      <c r="F127" s="2047"/>
      <c r="G127" s="2047"/>
      <c r="H127" s="2045"/>
      <c r="I127" s="2046"/>
      <c r="J127" s="2045"/>
      <c r="K127" s="2046"/>
      <c r="L127" s="155"/>
      <c r="M127" s="155"/>
      <c r="N127" s="155"/>
      <c r="O127" s="157"/>
    </row>
    <row r="128" spans="2:15">
      <c r="B128" s="143"/>
      <c r="C128" s="154"/>
      <c r="D128" s="139"/>
      <c r="E128" s="160"/>
      <c r="F128" s="2045"/>
      <c r="G128" s="2046"/>
      <c r="H128" s="2045"/>
      <c r="I128" s="2046"/>
      <c r="J128" s="2045"/>
      <c r="K128" s="2046"/>
      <c r="L128" s="155"/>
      <c r="M128" s="155"/>
      <c r="N128" s="155"/>
      <c r="O128" s="157"/>
    </row>
    <row r="129" spans="2:15">
      <c r="B129" s="143"/>
      <c r="C129" s="154"/>
      <c r="D129" s="139"/>
      <c r="E129" s="160"/>
      <c r="F129" s="2045"/>
      <c r="G129" s="2046"/>
      <c r="H129" s="2045"/>
      <c r="I129" s="2046"/>
      <c r="J129" s="2045"/>
      <c r="K129" s="2046"/>
      <c r="L129" s="155"/>
      <c r="M129" s="155"/>
      <c r="N129" s="155"/>
      <c r="O129" s="157"/>
    </row>
  </sheetData>
  <sheetProtection algorithmName="SHA-512" hashValue="peVcgbzOpXO7t0o7igoqHgsTXX4VP35hdzuRX5h/pFzRo8mWkbohUa8hubTstdK/qqJDIRaKoco8G+zJZB2XbA==" saltValue="NohqFs39HQtPi9MN8XaoIw==" spinCount="100000" sheet="1" objects="1" scenarios="1"/>
  <mergeCells count="212">
    <mergeCell ref="P3:Q3"/>
    <mergeCell ref="M63:N63"/>
    <mergeCell ref="M51:N51"/>
    <mergeCell ref="M52:N52"/>
    <mergeCell ref="M53:N53"/>
    <mergeCell ref="M55:N55"/>
    <mergeCell ref="M56:N56"/>
    <mergeCell ref="M49:N49"/>
    <mergeCell ref="M50:N50"/>
    <mergeCell ref="M58:N58"/>
    <mergeCell ref="M59:N59"/>
    <mergeCell ref="M61:N61"/>
    <mergeCell ref="M62:N62"/>
    <mergeCell ref="M40:N40"/>
    <mergeCell ref="M41:N41"/>
    <mergeCell ref="M42:N42"/>
    <mergeCell ref="M43:N43"/>
    <mergeCell ref="M44:N44"/>
    <mergeCell ref="M57:N57"/>
    <mergeCell ref="M45:N45"/>
    <mergeCell ref="M46:N46"/>
    <mergeCell ref="M47:N47"/>
    <mergeCell ref="M48:N48"/>
    <mergeCell ref="P10:S10"/>
    <mergeCell ref="C50:D50"/>
    <mergeCell ref="E50:F50"/>
    <mergeCell ref="K44:L44"/>
    <mergeCell ref="E49:F49"/>
    <mergeCell ref="E48:F48"/>
    <mergeCell ref="E53:F53"/>
    <mergeCell ref="G53:H53"/>
    <mergeCell ref="I53:J53"/>
    <mergeCell ref="K53:L53"/>
    <mergeCell ref="K47:L47"/>
    <mergeCell ref="E44:F44"/>
    <mergeCell ref="B5:D5"/>
    <mergeCell ref="E52:F52"/>
    <mergeCell ref="G52:H52"/>
    <mergeCell ref="I52:J52"/>
    <mergeCell ref="K52:L52"/>
    <mergeCell ref="E51:F51"/>
    <mergeCell ref="G51:H51"/>
    <mergeCell ref="I51:J51"/>
    <mergeCell ref="K51:L51"/>
    <mergeCell ref="G49:H49"/>
    <mergeCell ref="I49:J49"/>
    <mergeCell ref="K49:L49"/>
    <mergeCell ref="G50:H50"/>
    <mergeCell ref="I50:J50"/>
    <mergeCell ref="K50:L50"/>
    <mergeCell ref="G48:H48"/>
    <mergeCell ref="I48:J48"/>
    <mergeCell ref="K48:L48"/>
    <mergeCell ref="E46:F46"/>
    <mergeCell ref="G46:H46"/>
    <mergeCell ref="I46:J46"/>
    <mergeCell ref="K46:L46"/>
    <mergeCell ref="G47:H47"/>
    <mergeCell ref="I47:J47"/>
    <mergeCell ref="J115:K115"/>
    <mergeCell ref="G7:H7"/>
    <mergeCell ref="I7:J7"/>
    <mergeCell ref="K7:L7"/>
    <mergeCell ref="I40:J40"/>
    <mergeCell ref="K40:L40"/>
    <mergeCell ref="G33:H33"/>
    <mergeCell ref="I33:J33"/>
    <mergeCell ref="K33:L33"/>
    <mergeCell ref="I56:J56"/>
    <mergeCell ref="K56:L56"/>
    <mergeCell ref="G42:H42"/>
    <mergeCell ref="I42:J42"/>
    <mergeCell ref="K42:L42"/>
    <mergeCell ref="G38:H38"/>
    <mergeCell ref="I38:J38"/>
    <mergeCell ref="I41:J41"/>
    <mergeCell ref="G43:H43"/>
    <mergeCell ref="K38:L38"/>
    <mergeCell ref="K41:L41"/>
    <mergeCell ref="G8:H8"/>
    <mergeCell ref="I8:J8"/>
    <mergeCell ref="K8:L8"/>
    <mergeCell ref="I43:J43"/>
    <mergeCell ref="J117:K117"/>
    <mergeCell ref="H114:I114"/>
    <mergeCell ref="I37:J37"/>
    <mergeCell ref="I39:J39"/>
    <mergeCell ref="K39:L39"/>
    <mergeCell ref="G57:H57"/>
    <mergeCell ref="K62:L62"/>
    <mergeCell ref="K58:L58"/>
    <mergeCell ref="G56:H56"/>
    <mergeCell ref="K55:L55"/>
    <mergeCell ref="I61:J61"/>
    <mergeCell ref="I57:J57"/>
    <mergeCell ref="H115:I115"/>
    <mergeCell ref="H116:I116"/>
    <mergeCell ref="F114:G114"/>
    <mergeCell ref="F115:G115"/>
    <mergeCell ref="F116:G116"/>
    <mergeCell ref="F117:G117"/>
    <mergeCell ref="E43:F43"/>
    <mergeCell ref="E45:F45"/>
    <mergeCell ref="E47:F47"/>
    <mergeCell ref="E42:F42"/>
    <mergeCell ref="I45:J45"/>
    <mergeCell ref="K45:L45"/>
    <mergeCell ref="B7:D8"/>
    <mergeCell ref="E7:F7"/>
    <mergeCell ref="F118:G118"/>
    <mergeCell ref="F120:G120"/>
    <mergeCell ref="B62:D62"/>
    <mergeCell ref="B58:D58"/>
    <mergeCell ref="B59:D59"/>
    <mergeCell ref="E38:F38"/>
    <mergeCell ref="B63:D63"/>
    <mergeCell ref="E56:F56"/>
    <mergeCell ref="G37:H37"/>
    <mergeCell ref="D116:E116"/>
    <mergeCell ref="H120:I120"/>
    <mergeCell ref="I58:J58"/>
    <mergeCell ref="E57:F57"/>
    <mergeCell ref="B57:D57"/>
    <mergeCell ref="E61:F61"/>
    <mergeCell ref="E58:F58"/>
    <mergeCell ref="G58:H58"/>
    <mergeCell ref="H117:I117"/>
    <mergeCell ref="J116:K116"/>
    <mergeCell ref="K57:L57"/>
    <mergeCell ref="G62:H62"/>
    <mergeCell ref="I62:J62"/>
    <mergeCell ref="F126:G126"/>
    <mergeCell ref="C114:E115"/>
    <mergeCell ref="H118:I118"/>
    <mergeCell ref="J118:K118"/>
    <mergeCell ref="J114:K114"/>
    <mergeCell ref="F125:G125"/>
    <mergeCell ref="H119:I119"/>
    <mergeCell ref="J119:K119"/>
    <mergeCell ref="F119:G119"/>
    <mergeCell ref="F122:G122"/>
    <mergeCell ref="J121:K121"/>
    <mergeCell ref="J125:K125"/>
    <mergeCell ref="H121:I121"/>
    <mergeCell ref="F121:G121"/>
    <mergeCell ref="H126:I126"/>
    <mergeCell ref="J126:K126"/>
    <mergeCell ref="H125:I125"/>
    <mergeCell ref="H122:I122"/>
    <mergeCell ref="F124:G124"/>
    <mergeCell ref="H124:I124"/>
    <mergeCell ref="H123:I123"/>
    <mergeCell ref="J124:K124"/>
    <mergeCell ref="J122:K122"/>
    <mergeCell ref="D121:E121"/>
    <mergeCell ref="J129:K129"/>
    <mergeCell ref="J128:K128"/>
    <mergeCell ref="F127:G127"/>
    <mergeCell ref="H127:I127"/>
    <mergeCell ref="J127:K127"/>
    <mergeCell ref="H129:I129"/>
    <mergeCell ref="H128:I128"/>
    <mergeCell ref="F128:G128"/>
    <mergeCell ref="F129:G129"/>
    <mergeCell ref="J120:K120"/>
    <mergeCell ref="D122:E122"/>
    <mergeCell ref="C123:E124"/>
    <mergeCell ref="F123:G123"/>
    <mergeCell ref="J123:K123"/>
    <mergeCell ref="C26:D26"/>
    <mergeCell ref="B80:D80"/>
    <mergeCell ref="E80:I80"/>
    <mergeCell ref="J80:L80"/>
    <mergeCell ref="B37:D37"/>
    <mergeCell ref="B47:D47"/>
    <mergeCell ref="G61:H61"/>
    <mergeCell ref="B53:D53"/>
    <mergeCell ref="E37:F37"/>
    <mergeCell ref="E59:F59"/>
    <mergeCell ref="G59:H59"/>
    <mergeCell ref="I59:J59"/>
    <mergeCell ref="K59:L59"/>
    <mergeCell ref="B55:D55"/>
    <mergeCell ref="B56:D56"/>
    <mergeCell ref="B61:D61"/>
    <mergeCell ref="E55:F55"/>
    <mergeCell ref="G55:H55"/>
    <mergeCell ref="I55:J55"/>
    <mergeCell ref="E5:H5"/>
    <mergeCell ref="L5:N5"/>
    <mergeCell ref="I5:K5"/>
    <mergeCell ref="E60:F60"/>
    <mergeCell ref="E63:F63"/>
    <mergeCell ref="G63:H63"/>
    <mergeCell ref="I63:J63"/>
    <mergeCell ref="K63:L63"/>
    <mergeCell ref="K61:L61"/>
    <mergeCell ref="E62:F62"/>
    <mergeCell ref="G45:H45"/>
    <mergeCell ref="G44:H44"/>
    <mergeCell ref="I44:J44"/>
    <mergeCell ref="M7:N7"/>
    <mergeCell ref="M8:N8"/>
    <mergeCell ref="M33:N33"/>
    <mergeCell ref="M37:N37"/>
    <mergeCell ref="M38:N38"/>
    <mergeCell ref="M39:N39"/>
    <mergeCell ref="E8:F8"/>
    <mergeCell ref="E33:F33"/>
    <mergeCell ref="K43:L43"/>
    <mergeCell ref="K37:L37"/>
    <mergeCell ref="G36:N36"/>
  </mergeCells>
  <printOptions horizontalCentered="1" verticalCentered="1"/>
  <pageMargins left="0.25" right="0.25" top="0.75" bottom="0.75" header="0.3" footer="0.3"/>
  <pageSetup paperSize="9" orientation="landscape" verticalDpi="4" r:id="rId1"/>
  <colBreaks count="1" manualBreakCount="1">
    <brk id="14" max="32"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152A1"/>
  </sheetPr>
  <dimension ref="A4:HH195"/>
  <sheetViews>
    <sheetView showGridLines="0" showZeros="0" defaultGridColor="0" colorId="55" zoomScaleNormal="100" workbookViewId="0">
      <selection activeCell="E13" sqref="E13"/>
    </sheetView>
  </sheetViews>
  <sheetFormatPr defaultRowHeight="12.45"/>
  <cols>
    <col min="2" max="2" width="4.07421875" customWidth="1"/>
    <col min="3" max="3" width="4.4609375" customWidth="1"/>
    <col min="4" max="4" width="28.3046875" customWidth="1"/>
    <col min="5" max="5" width="7.3046875" customWidth="1"/>
    <col min="6" max="6" width="7.84375" style="41" customWidth="1"/>
    <col min="7" max="19" width="10" customWidth="1"/>
    <col min="20" max="20" width="10.3046875" customWidth="1"/>
    <col min="21" max="21" width="12.53515625" customWidth="1"/>
    <col min="22" max="22" width="4.4609375" customWidth="1"/>
    <col min="23" max="23" width="4.4609375" hidden="1" customWidth="1"/>
    <col min="24" max="24" width="6.84375" hidden="1" customWidth="1"/>
    <col min="25" max="25" width="11.4609375" hidden="1" customWidth="1"/>
    <col min="26" max="26" width="8.84375" hidden="1" customWidth="1"/>
    <col min="27" max="27" width="8.53515625" hidden="1" customWidth="1"/>
    <col min="28" max="33" width="8.69140625" hidden="1" customWidth="1"/>
    <col min="34" max="42" width="8.84375" hidden="1" customWidth="1"/>
    <col min="43" max="48" width="9.07421875" hidden="1" customWidth="1"/>
  </cols>
  <sheetData>
    <row r="4" spans="1:36" ht="12.75" customHeight="1">
      <c r="B4" s="2117" t="s">
        <v>712</v>
      </c>
      <c r="C4" s="2117"/>
      <c r="D4" s="2117"/>
    </row>
    <row r="5" spans="1:36" ht="25.2" customHeight="1"/>
    <row r="6" spans="1:36" s="53" customFormat="1" ht="13.5" customHeight="1">
      <c r="B6" s="663" t="s">
        <v>319</v>
      </c>
      <c r="C6" s="664"/>
      <c r="D6" s="106"/>
      <c r="E6" s="2128" t="s">
        <v>320</v>
      </c>
      <c r="F6" s="2128"/>
      <c r="G6" s="2128"/>
      <c r="H6" s="421">
        <v>1</v>
      </c>
      <c r="I6" s="662"/>
      <c r="J6" s="665"/>
      <c r="K6" s="665"/>
      <c r="L6" s="665"/>
      <c r="M6" s="665"/>
      <c r="O6" s="2123" t="s">
        <v>606</v>
      </c>
      <c r="P6" s="2123"/>
      <c r="Q6" s="2123"/>
      <c r="R6" s="664"/>
      <c r="S6" s="664"/>
    </row>
    <row r="7" spans="1:36" ht="19.75">
      <c r="B7" s="169" t="s">
        <v>151</v>
      </c>
      <c r="C7" s="105"/>
      <c r="D7" s="106"/>
      <c r="E7" s="106"/>
      <c r="F7" s="135"/>
      <c r="G7" s="135"/>
      <c r="H7" s="167"/>
      <c r="I7" s="107"/>
      <c r="J7" s="107"/>
      <c r="K7" s="107"/>
      <c r="L7" s="107"/>
      <c r="M7" s="107"/>
      <c r="O7" s="168"/>
      <c r="P7" s="168"/>
      <c r="Q7" s="168"/>
      <c r="R7" s="105"/>
      <c r="S7" s="105"/>
    </row>
    <row r="8" spans="1:36" ht="14.15">
      <c r="B8" s="170">
        <f>'7. T2 RESULTATB.'!B5</f>
        <v>0</v>
      </c>
      <c r="C8" s="171"/>
      <c r="D8" s="85"/>
      <c r="E8" s="85"/>
      <c r="G8" s="108"/>
      <c r="H8" s="108"/>
      <c r="I8" s="108"/>
      <c r="J8" s="108"/>
      <c r="K8" s="108"/>
      <c r="L8" s="108"/>
      <c r="M8" s="108"/>
      <c r="O8" s="2124" t="s">
        <v>321</v>
      </c>
      <c r="P8" s="2124"/>
      <c r="Q8" s="2124"/>
      <c r="R8" s="108"/>
      <c r="S8" s="109"/>
      <c r="U8" s="1834"/>
      <c r="V8" s="1834"/>
      <c r="W8" s="1834"/>
      <c r="X8" s="1834"/>
      <c r="Y8" s="1834"/>
      <c r="Z8" s="1834"/>
    </row>
    <row r="9" spans="1:36" ht="10.4" customHeight="1">
      <c r="B9" s="108"/>
      <c r="C9" s="108"/>
      <c r="G9" s="108"/>
      <c r="H9" s="108"/>
      <c r="I9" s="108"/>
      <c r="J9" s="108"/>
      <c r="K9" s="108"/>
      <c r="L9" s="108"/>
      <c r="M9" s="108"/>
      <c r="N9" s="1606"/>
      <c r="O9" s="1606"/>
      <c r="P9" s="1606"/>
      <c r="Q9" s="108"/>
      <c r="R9" s="108"/>
      <c r="S9" s="109"/>
    </row>
    <row r="10" spans="1:36" ht="16.399999999999999" customHeight="1">
      <c r="A10" s="53"/>
      <c r="B10" s="2110" t="s">
        <v>322</v>
      </c>
      <c r="C10" s="2111"/>
      <c r="D10" s="2111"/>
      <c r="E10" s="2112"/>
      <c r="F10" s="1607" t="s">
        <v>323</v>
      </c>
      <c r="G10" s="1608" t="s">
        <v>669</v>
      </c>
      <c r="H10" s="1608" t="s">
        <v>670</v>
      </c>
      <c r="I10" s="1608" t="s">
        <v>671</v>
      </c>
      <c r="J10" s="1608" t="s">
        <v>672</v>
      </c>
      <c r="K10" s="1608" t="s">
        <v>673</v>
      </c>
      <c r="L10" s="1608" t="s">
        <v>674</v>
      </c>
      <c r="M10" s="1608" t="s">
        <v>675</v>
      </c>
      <c r="N10" s="1608" t="s">
        <v>676</v>
      </c>
      <c r="O10" s="1608" t="s">
        <v>677</v>
      </c>
      <c r="P10" s="1608" t="s">
        <v>678</v>
      </c>
      <c r="Q10" s="1608" t="s">
        <v>679</v>
      </c>
      <c r="R10" s="1608" t="s">
        <v>680</v>
      </c>
      <c r="S10" s="1609" t="s">
        <v>324</v>
      </c>
      <c r="Z10" s="2080" t="s">
        <v>0</v>
      </c>
      <c r="AA10" s="2080"/>
      <c r="AB10" s="2080"/>
      <c r="AH10" s="2077" t="s">
        <v>0</v>
      </c>
      <c r="AI10" s="2077"/>
      <c r="AJ10" s="2077"/>
    </row>
    <row r="11" spans="1:36" ht="12.65" customHeight="1">
      <c r="B11" s="2113">
        <v>1</v>
      </c>
      <c r="C11" s="2107" t="s">
        <v>607</v>
      </c>
      <c r="D11" s="2108"/>
      <c r="E11" s="2108"/>
      <c r="F11" s="2109"/>
      <c r="G11" s="1605">
        <f>IF(H6=1,'1. T1 INVESTERINGSP.'!D48+'1. T1 INVESTERINGSP.'!D49+'1. T1 INVESTERINGSP.'!D51+'1. T1 INVESTERINGSP.'!D52,'6. T3 BALANS'!H49)</f>
        <v>0</v>
      </c>
      <c r="H11" s="1092">
        <f>G57</f>
        <v>0</v>
      </c>
      <c r="I11" s="1092">
        <f t="shared" ref="I11:R11" si="0">H57</f>
        <v>0</v>
      </c>
      <c r="J11" s="1092">
        <f t="shared" si="0"/>
        <v>0</v>
      </c>
      <c r="K11" s="1092">
        <f t="shared" si="0"/>
        <v>0</v>
      </c>
      <c r="L11" s="1092">
        <f t="shared" si="0"/>
        <v>0</v>
      </c>
      <c r="M11" s="1092">
        <f t="shared" si="0"/>
        <v>0</v>
      </c>
      <c r="N11" s="1092">
        <f t="shared" si="0"/>
        <v>0</v>
      </c>
      <c r="O11" s="1092">
        <f t="shared" si="0"/>
        <v>0</v>
      </c>
      <c r="P11" s="1092">
        <f t="shared" si="0"/>
        <v>0</v>
      </c>
      <c r="Q11" s="1092">
        <f t="shared" si="0"/>
        <v>0</v>
      </c>
      <c r="R11" s="1092">
        <f t="shared" si="0"/>
        <v>0</v>
      </c>
      <c r="S11" s="1092"/>
      <c r="Z11" s="2080"/>
      <c r="AA11" s="2080"/>
      <c r="AB11" s="2080"/>
      <c r="AH11" s="2077"/>
      <c r="AI11" s="2077"/>
      <c r="AJ11" s="2077"/>
    </row>
    <row r="12" spans="1:36" ht="12.65" customHeight="1">
      <c r="B12" s="2114"/>
      <c r="C12" s="1774" t="s">
        <v>711</v>
      </c>
      <c r="D12" s="1740"/>
      <c r="E12" s="1740"/>
      <c r="F12" s="1740"/>
      <c r="G12" s="1737">
        <f>'AT Kassa'!C11</f>
        <v>0</v>
      </c>
      <c r="H12" s="1091">
        <f>'AT Kassa'!D11</f>
        <v>0</v>
      </c>
      <c r="I12" s="1091">
        <f>'AT Kassa'!E11</f>
        <v>0</v>
      </c>
      <c r="J12" s="1091">
        <f>'AT Kassa'!F11</f>
        <v>0</v>
      </c>
      <c r="K12" s="1091">
        <f>'AT Kassa'!G11</f>
        <v>0</v>
      </c>
      <c r="L12" s="1091">
        <f>'AT Kassa'!H11</f>
        <v>0</v>
      </c>
      <c r="M12" s="1092"/>
      <c r="N12" s="1092"/>
      <c r="O12" s="1092"/>
      <c r="P12" s="1092"/>
      <c r="Q12" s="1092"/>
      <c r="R12" s="1092"/>
      <c r="S12" s="1374"/>
    </row>
    <row r="13" spans="1:36" ht="11.9" customHeight="1">
      <c r="A13" s="53"/>
      <c r="B13" s="640">
        <v>2</v>
      </c>
      <c r="C13" s="2098" t="s">
        <v>325</v>
      </c>
      <c r="D13" s="2100"/>
      <c r="E13" s="1738">
        <v>0.5</v>
      </c>
      <c r="F13" s="1739">
        <v>24</v>
      </c>
      <c r="G13" s="1093">
        <f t="shared" ref="G13:Q13" si="1">G14*$S13</f>
        <v>0</v>
      </c>
      <c r="H13" s="1093">
        <f t="shared" si="1"/>
        <v>0</v>
      </c>
      <c r="I13" s="1093">
        <f t="shared" si="1"/>
        <v>0</v>
      </c>
      <c r="J13" s="1093">
        <f t="shared" si="1"/>
        <v>0</v>
      </c>
      <c r="K13" s="1093">
        <f t="shared" si="1"/>
        <v>0</v>
      </c>
      <c r="L13" s="1093">
        <f t="shared" si="1"/>
        <v>0</v>
      </c>
      <c r="M13" s="1093">
        <f t="shared" si="1"/>
        <v>0</v>
      </c>
      <c r="N13" s="1093">
        <f t="shared" si="1"/>
        <v>0</v>
      </c>
      <c r="O13" s="1093">
        <f t="shared" si="1"/>
        <v>0</v>
      </c>
      <c r="P13" s="1093">
        <f t="shared" si="1"/>
        <v>0</v>
      </c>
      <c r="Q13" s="1093">
        <f t="shared" si="1"/>
        <v>0</v>
      </c>
      <c r="R13" s="1093">
        <f>R14*$S13</f>
        <v>0</v>
      </c>
      <c r="S13" s="1375">
        <f>IF(H6=2,E13*('4. E2 OMSÄTTNING'!F10+'4. E2 OMSÄTTNING'!F13),E13*('4. E2 OMSÄTTNING'!E10+'4. E2 OMSÄTTNING'!E13))</f>
        <v>0</v>
      </c>
    </row>
    <row r="14" spans="1:36" ht="11.9" customHeight="1">
      <c r="A14" s="2"/>
      <c r="B14" s="642"/>
      <c r="C14" s="642"/>
      <c r="D14" s="2073" t="s">
        <v>326</v>
      </c>
      <c r="E14" s="2073"/>
      <c r="F14" s="2074"/>
      <c r="G14" s="1094">
        <v>0.08</v>
      </c>
      <c r="H14" s="1094">
        <v>0.08</v>
      </c>
      <c r="I14" s="1094">
        <v>0.08</v>
      </c>
      <c r="J14" s="1094">
        <v>0.09</v>
      </c>
      <c r="K14" s="1094">
        <v>0.08</v>
      </c>
      <c r="L14" s="1094">
        <v>0.09</v>
      </c>
      <c r="M14" s="1094">
        <v>0.09</v>
      </c>
      <c r="N14" s="1094">
        <v>0.09</v>
      </c>
      <c r="O14" s="1094">
        <v>0.08</v>
      </c>
      <c r="P14" s="1094">
        <v>0.08</v>
      </c>
      <c r="Q14" s="1094">
        <v>0.08</v>
      </c>
      <c r="R14" s="1094">
        <v>0.08</v>
      </c>
      <c r="S14" s="1376">
        <f>SUM(G14:R14)</f>
        <v>0.99999999999999978</v>
      </c>
      <c r="T14" s="229" t="str">
        <f>IF(E13=0," ",IF(S14=100%," ","FEL SLGT 100 %!"))</f>
        <v xml:space="preserve"> </v>
      </c>
    </row>
    <row r="15" spans="1:36" ht="11.9" customHeight="1">
      <c r="A15" s="53"/>
      <c r="B15" s="642">
        <v>3</v>
      </c>
      <c r="C15" s="2072" t="s">
        <v>327</v>
      </c>
      <c r="D15" s="2073"/>
      <c r="E15" s="2074"/>
      <c r="F15" s="643">
        <v>24</v>
      </c>
      <c r="G15" s="1093">
        <f>G16*$S15</f>
        <v>0</v>
      </c>
      <c r="H15" s="1093">
        <f>H16*$S15</f>
        <v>0</v>
      </c>
      <c r="I15" s="1093">
        <f t="shared" ref="I15:R15" si="2">I16*$S15</f>
        <v>0</v>
      </c>
      <c r="J15" s="1093">
        <f t="shared" si="2"/>
        <v>0</v>
      </c>
      <c r="K15" s="1093">
        <f t="shared" si="2"/>
        <v>0</v>
      </c>
      <c r="L15" s="1093">
        <f t="shared" si="2"/>
        <v>0</v>
      </c>
      <c r="M15" s="1093">
        <f t="shared" si="2"/>
        <v>0</v>
      </c>
      <c r="N15" s="1093">
        <f t="shared" si="2"/>
        <v>0</v>
      </c>
      <c r="O15" s="1093">
        <f t="shared" si="2"/>
        <v>0</v>
      </c>
      <c r="P15" s="1093">
        <f t="shared" si="2"/>
        <v>0</v>
      </c>
      <c r="Q15" s="1093">
        <f t="shared" si="2"/>
        <v>0</v>
      </c>
      <c r="R15" s="1093">
        <f t="shared" si="2"/>
        <v>0</v>
      </c>
      <c r="S15" s="1375">
        <f>IF(H6=2,('4. E2 OMSÄTTNING'!F10+'4. E2 OMSÄTTNING'!F13)-S13,'4. E2 OMSÄTTNING'!E10+'4. E2 OMSÄTTNING'!E13-S13)</f>
        <v>0</v>
      </c>
      <c r="U15" s="137"/>
    </row>
    <row r="16" spans="1:36" ht="11.9" customHeight="1">
      <c r="B16" s="642"/>
      <c r="C16" s="642"/>
      <c r="D16" s="2073" t="s">
        <v>326</v>
      </c>
      <c r="E16" s="2073"/>
      <c r="F16" s="2074"/>
      <c r="G16" s="1094">
        <v>0.08</v>
      </c>
      <c r="H16" s="1094">
        <v>0.08</v>
      </c>
      <c r="I16" s="1094">
        <v>0.08</v>
      </c>
      <c r="J16" s="1094">
        <v>0.09</v>
      </c>
      <c r="K16" s="1094">
        <v>0.08</v>
      </c>
      <c r="L16" s="1094">
        <v>0.09</v>
      </c>
      <c r="M16" s="1094">
        <v>0.09</v>
      </c>
      <c r="N16" s="1094">
        <v>0.09</v>
      </c>
      <c r="O16" s="1094">
        <v>0.08</v>
      </c>
      <c r="P16" s="1094">
        <v>0.08</v>
      </c>
      <c r="Q16" s="1094">
        <v>0.08</v>
      </c>
      <c r="R16" s="1094">
        <v>0.08</v>
      </c>
      <c r="S16" s="1376">
        <f>SUM(G16:R16)</f>
        <v>0.99999999999999978</v>
      </c>
      <c r="T16" s="229" t="str">
        <f>IF(E13=100%," ",IF(S16=100%," ","FEL SLGT 100 %"))</f>
        <v xml:space="preserve"> </v>
      </c>
    </row>
    <row r="17" spans="1:49" ht="11.9" customHeight="1">
      <c r="A17" s="53"/>
      <c r="B17" s="642"/>
      <c r="C17" s="642"/>
      <c r="D17" s="644" t="s">
        <v>328</v>
      </c>
      <c r="E17" s="645">
        <f>'5. T4 FINANSIERINGSB.'!G49</f>
        <v>14</v>
      </c>
      <c r="F17" s="646" t="s">
        <v>329</v>
      </c>
      <c r="G17" s="1093">
        <f>'AT Kassa'!C33</f>
        <v>0</v>
      </c>
      <c r="H17" s="1093">
        <f>'AT Kassa'!D33</f>
        <v>0</v>
      </c>
      <c r="I17" s="1093">
        <f>'AT Kassa'!E33</f>
        <v>0</v>
      </c>
      <c r="J17" s="1093">
        <f>'AT Kassa'!F33</f>
        <v>0</v>
      </c>
      <c r="K17" s="1093">
        <f>'AT Kassa'!G33</f>
        <v>0</v>
      </c>
      <c r="L17" s="1093">
        <f>'AT Kassa'!H33</f>
        <v>0</v>
      </c>
      <c r="M17" s="1093">
        <f>'AT Kassa'!I33</f>
        <v>0</v>
      </c>
      <c r="N17" s="1093">
        <f>'AT Kassa'!J33</f>
        <v>0</v>
      </c>
      <c r="O17" s="1093">
        <f>'AT Kassa'!K33</f>
        <v>0</v>
      </c>
      <c r="P17" s="1093">
        <f>'AT Kassa'!L33</f>
        <v>0</v>
      </c>
      <c r="Q17" s="1093">
        <f>'AT Kassa'!M33</f>
        <v>0</v>
      </c>
      <c r="R17" s="1093">
        <f>'AT Kassa'!N33</f>
        <v>0</v>
      </c>
      <c r="S17" s="1375">
        <f>SUM(G17:R17)</f>
        <v>0</v>
      </c>
      <c r="U17" s="2069" t="s">
        <v>698</v>
      </c>
    </row>
    <row r="18" spans="1:49" ht="11.9" customHeight="1">
      <c r="A18" s="53"/>
      <c r="B18" s="642">
        <v>4</v>
      </c>
      <c r="C18" s="2125" t="s">
        <v>330</v>
      </c>
      <c r="D18" s="2126"/>
      <c r="E18" s="2127"/>
      <c r="F18" s="643">
        <v>24</v>
      </c>
      <c r="G18" s="1095">
        <v>0</v>
      </c>
      <c r="H18" s="1095">
        <v>0</v>
      </c>
      <c r="I18" s="1095">
        <v>0</v>
      </c>
      <c r="J18" s="1095">
        <v>0</v>
      </c>
      <c r="K18" s="1095">
        <v>0</v>
      </c>
      <c r="L18" s="1095">
        <v>0</v>
      </c>
      <c r="M18" s="1095">
        <v>0</v>
      </c>
      <c r="N18" s="1095">
        <v>0</v>
      </c>
      <c r="O18" s="1095">
        <v>0</v>
      </c>
      <c r="P18" s="1095">
        <v>0</v>
      </c>
      <c r="Q18" s="1095">
        <v>0</v>
      </c>
      <c r="R18" s="1095">
        <v>0</v>
      </c>
      <c r="S18" s="1375">
        <f>SUM(G18:R18)</f>
        <v>0</v>
      </c>
      <c r="U18" s="2070"/>
    </row>
    <row r="19" spans="1:49" ht="11.9" customHeight="1" thickBot="1">
      <c r="B19" s="1750">
        <v>5</v>
      </c>
      <c r="C19" s="1612" t="s">
        <v>531</v>
      </c>
      <c r="D19" s="1613"/>
      <c r="E19" s="1614"/>
      <c r="F19" s="1615"/>
      <c r="G19" s="1616">
        <f>IF($H6=1,'7. T2 RESULTATB.'!$G12/12+'3. E1 KOSTNADER'!D30,'7. T2 RESULTATB.'!$I12/12+'6. T3 BALANS'!H36+'3. E1 KOSTNADER'!F30)</f>
        <v>0</v>
      </c>
      <c r="H19" s="1616">
        <f>IF($H6=1,'7. T2 RESULTATB.'!$G12/12,'7. T2 RESULTATB.'!$I12/12)</f>
        <v>0</v>
      </c>
      <c r="I19" s="1616">
        <f>IF($H6=1,'7. T2 RESULTATB.'!$G12/12,'7. T2 RESULTATB.'!$I12/12)</f>
        <v>0</v>
      </c>
      <c r="J19" s="1616">
        <f>IF($H6=1,'7. T2 RESULTATB.'!$G12/12,'7. T2 RESULTATB.'!$I12/12)</f>
        <v>0</v>
      </c>
      <c r="K19" s="1616">
        <f>IF($H6=1,'7. T2 RESULTATB.'!$G12/12,'7. T2 RESULTATB.'!$I12/12)</f>
        <v>0</v>
      </c>
      <c r="L19" s="1616">
        <f>IF($H6=1,'7. T2 RESULTATB.'!$G12/12,'7. T2 RESULTATB.'!$I12/12)</f>
        <v>0</v>
      </c>
      <c r="M19" s="1616">
        <f>IF($H6=1,'7. T2 RESULTATB.'!$G12/12+'1. T1 INVESTERINGSP.'!D61,'7. T2 RESULTATB.'!$I12/12+'1. T1 INVESTERINGSP.'!E61)</f>
        <v>0</v>
      </c>
      <c r="N19" s="1616">
        <f>IF($H6=1,'7. T2 RESULTATB.'!$G12/12,'7. T2 RESULTATB.'!$I12/12)</f>
        <v>0</v>
      </c>
      <c r="O19" s="1616">
        <f>IF($H6=1,'7. T2 RESULTATB.'!$G12/12,'7. T2 RESULTATB.'!$I12/12)</f>
        <v>0</v>
      </c>
      <c r="P19" s="1616">
        <f>IF($H6=1,'7. T2 RESULTATB.'!$G12/12,'7. T2 RESULTATB.'!$I12/12)</f>
        <v>0</v>
      </c>
      <c r="Q19" s="1616">
        <f>IF($H6=1,'7. T2 RESULTATB.'!$G12/12,'7. T2 RESULTATB.'!$I12/12)</f>
        <v>0</v>
      </c>
      <c r="R19" s="1616">
        <f>IF($H6=1,'7. T2 RESULTATB.'!$G12/12,'7. T2 RESULTATB.'!$I12/12)</f>
        <v>0</v>
      </c>
      <c r="S19" s="1617">
        <f>SUM(G19:R19)</f>
        <v>0</v>
      </c>
      <c r="U19" s="2070"/>
      <c r="V19" s="53"/>
      <c r="W19" s="53"/>
      <c r="X19" s="53"/>
      <c r="Y19" s="53"/>
      <c r="Z19" s="53"/>
      <c r="AA19" s="53"/>
      <c r="AB19" s="53"/>
      <c r="AC19" s="53"/>
      <c r="AD19" s="53"/>
      <c r="AE19" s="53"/>
      <c r="AF19" s="53"/>
      <c r="AG19" s="53"/>
      <c r="AH19" s="53"/>
      <c r="AI19" s="53"/>
      <c r="AJ19" s="53"/>
      <c r="AK19" s="53"/>
      <c r="AL19" s="53"/>
      <c r="AM19" s="53"/>
      <c r="AN19" s="53"/>
      <c r="AO19" s="53"/>
      <c r="AP19" s="53"/>
    </row>
    <row r="20" spans="1:49" ht="13.3" thickTop="1" thickBot="1">
      <c r="A20" s="53"/>
      <c r="B20" s="1751"/>
      <c r="C20" s="2059" t="s">
        <v>656</v>
      </c>
      <c r="D20" s="2059"/>
      <c r="E20" s="2059"/>
      <c r="F20" s="2060"/>
      <c r="G20" s="1752">
        <f>G13+G17+G19+G18</f>
        <v>0</v>
      </c>
      <c r="H20" s="1752">
        <f>H13+H17+H19+H18</f>
        <v>0</v>
      </c>
      <c r="I20" s="1752">
        <f t="shared" ref="I20:R20" si="3">I13+I17+I19+I18</f>
        <v>0</v>
      </c>
      <c r="J20" s="1752">
        <f t="shared" si="3"/>
        <v>0</v>
      </c>
      <c r="K20" s="1752">
        <f t="shared" si="3"/>
        <v>0</v>
      </c>
      <c r="L20" s="1752">
        <f>L13+L17+L19+L18</f>
        <v>0</v>
      </c>
      <c r="M20" s="1752">
        <f>M13+M17+M19+M18</f>
        <v>0</v>
      </c>
      <c r="N20" s="1752">
        <f t="shared" si="3"/>
        <v>0</v>
      </c>
      <c r="O20" s="1752">
        <f t="shared" si="3"/>
        <v>0</v>
      </c>
      <c r="P20" s="1752">
        <f t="shared" si="3"/>
        <v>0</v>
      </c>
      <c r="Q20" s="1752">
        <f t="shared" si="3"/>
        <v>0</v>
      </c>
      <c r="R20" s="1752">
        <f t="shared" si="3"/>
        <v>0</v>
      </c>
      <c r="S20" s="1753">
        <f>SUM(G20:R20)</f>
        <v>0</v>
      </c>
      <c r="U20" s="2070"/>
      <c r="V20" s="53"/>
      <c r="W20" s="2061" t="s">
        <v>638</v>
      </c>
      <c r="X20" s="2061"/>
      <c r="Y20" s="2061"/>
      <c r="Z20" s="2061"/>
      <c r="AA20" s="2061"/>
      <c r="AB20" s="2061"/>
      <c r="AC20" s="2061"/>
      <c r="AD20" s="2061"/>
      <c r="AE20" s="2061"/>
      <c r="AF20" s="2061" t="s">
        <v>639</v>
      </c>
      <c r="AG20" s="2061"/>
      <c r="AH20" s="2061"/>
      <c r="AI20" s="2061"/>
      <c r="AJ20" s="2061"/>
      <c r="AK20" s="2061"/>
      <c r="AL20" s="2061"/>
      <c r="AM20" s="2061" t="s">
        <v>640</v>
      </c>
      <c r="AN20" s="2061"/>
      <c r="AO20" s="2061"/>
      <c r="AP20" s="2061"/>
      <c r="AQ20" s="2061"/>
      <c r="AR20" s="2061"/>
      <c r="AS20" s="2061"/>
      <c r="AT20" s="2064" t="s">
        <v>641</v>
      </c>
      <c r="AU20" s="2064"/>
      <c r="AV20" s="2064"/>
    </row>
    <row r="21" spans="1:49" ht="5.15" customHeight="1" thickTop="1">
      <c r="B21" s="341"/>
      <c r="C21" s="341"/>
      <c r="D21" s="341"/>
      <c r="E21" s="341"/>
      <c r="F21" s="342"/>
      <c r="G21" s="1096"/>
      <c r="H21" s="1096"/>
      <c r="I21" s="1096"/>
      <c r="J21" s="1096"/>
      <c r="K21" s="1096"/>
      <c r="L21" s="1096"/>
      <c r="M21" s="1096"/>
      <c r="N21" s="1096"/>
      <c r="O21" s="1096"/>
      <c r="P21" s="1096"/>
      <c r="Q21" s="1096"/>
      <c r="R21" s="1096"/>
      <c r="S21" s="1086" t="s">
        <v>0</v>
      </c>
      <c r="U21" s="2070"/>
      <c r="V21" s="53"/>
      <c r="W21" s="1394"/>
      <c r="X21" s="1394"/>
      <c r="Y21" s="1394"/>
      <c r="Z21" s="1394"/>
      <c r="AA21" s="1394"/>
      <c r="AB21" s="1394"/>
      <c r="AC21" s="1395"/>
      <c r="AD21" s="1395"/>
      <c r="AE21" s="1395"/>
      <c r="AF21" s="1394"/>
      <c r="AG21" s="1394"/>
      <c r="AH21" s="1394"/>
      <c r="AI21" s="1394"/>
      <c r="AJ21" s="1395"/>
      <c r="AK21" s="1395"/>
      <c r="AL21" s="1395"/>
      <c r="AM21" s="1394"/>
      <c r="AN21" s="1394"/>
      <c r="AO21" s="1394"/>
      <c r="AP21" s="1394"/>
      <c r="AQ21" s="1395"/>
      <c r="AR21" s="1395"/>
      <c r="AS21" s="1395"/>
    </row>
    <row r="22" spans="1:49" ht="14.15" customHeight="1">
      <c r="B22" s="2111" t="s">
        <v>331</v>
      </c>
      <c r="C22" s="2111"/>
      <c r="D22" s="2111"/>
      <c r="E22" s="2112"/>
      <c r="F22" s="1607" t="s">
        <v>323</v>
      </c>
      <c r="G22" s="1611" t="str">
        <f>G10</f>
        <v>jan</v>
      </c>
      <c r="H22" s="1611" t="str">
        <f t="shared" ref="H22:S22" si="4">+H10</f>
        <v>feb</v>
      </c>
      <c r="I22" s="1611" t="str">
        <f t="shared" si="4"/>
        <v>mars</v>
      </c>
      <c r="J22" s="1611" t="str">
        <f t="shared" si="4"/>
        <v>april</v>
      </c>
      <c r="K22" s="1611" t="str">
        <f t="shared" si="4"/>
        <v>maj</v>
      </c>
      <c r="L22" s="1611" t="str">
        <f t="shared" si="4"/>
        <v>juni</v>
      </c>
      <c r="M22" s="1611" t="str">
        <f t="shared" si="4"/>
        <v>juli</v>
      </c>
      <c r="N22" s="1611" t="str">
        <f t="shared" si="4"/>
        <v>aug</v>
      </c>
      <c r="O22" s="1611" t="str">
        <f t="shared" si="4"/>
        <v>sep</v>
      </c>
      <c r="P22" s="1611" t="str">
        <f t="shared" si="4"/>
        <v>okt</v>
      </c>
      <c r="Q22" s="1611" t="str">
        <f t="shared" si="4"/>
        <v>nov</v>
      </c>
      <c r="R22" s="1611" t="str">
        <f t="shared" si="4"/>
        <v>dec</v>
      </c>
      <c r="S22" s="1611" t="str">
        <f t="shared" si="4"/>
        <v>SLGT</v>
      </c>
      <c r="T22" s="1611" t="s">
        <v>618</v>
      </c>
      <c r="U22" s="2071"/>
      <c r="V22" s="53"/>
      <c r="W22" s="1396"/>
      <c r="X22" s="1397"/>
      <c r="Y22" s="1398" t="s">
        <v>49</v>
      </c>
      <c r="Z22" s="1399" t="s">
        <v>642</v>
      </c>
      <c r="AA22" s="1399" t="s">
        <v>57</v>
      </c>
      <c r="AB22" s="2065" t="s">
        <v>40</v>
      </c>
      <c r="AC22" s="1400" t="s">
        <v>50</v>
      </c>
      <c r="AD22" s="1400" t="s">
        <v>681</v>
      </c>
      <c r="AE22" s="1401" t="s">
        <v>51</v>
      </c>
      <c r="AF22" s="1398" t="s">
        <v>49</v>
      </c>
      <c r="AG22" s="1399" t="s">
        <v>642</v>
      </c>
      <c r="AH22" s="1399" t="s">
        <v>57</v>
      </c>
      <c r="AI22" s="2065" t="s">
        <v>40</v>
      </c>
      <c r="AJ22" s="1400" t="s">
        <v>50</v>
      </c>
      <c r="AK22" s="1400" t="s">
        <v>681</v>
      </c>
      <c r="AL22" s="1401" t="s">
        <v>51</v>
      </c>
      <c r="AM22" s="1402" t="s">
        <v>49</v>
      </c>
      <c r="AN22" s="1399" t="s">
        <v>642</v>
      </c>
      <c r="AO22" s="1399" t="s">
        <v>57</v>
      </c>
      <c r="AP22" s="2065" t="s">
        <v>40</v>
      </c>
      <c r="AQ22" s="1400" t="s">
        <v>50</v>
      </c>
      <c r="AR22" s="1400" t="s">
        <v>681</v>
      </c>
      <c r="AS22" s="1403" t="s">
        <v>51</v>
      </c>
      <c r="AT22" s="1404" t="s">
        <v>50</v>
      </c>
      <c r="AU22" s="1400" t="s">
        <v>681</v>
      </c>
      <c r="AV22" s="1401" t="s">
        <v>51</v>
      </c>
    </row>
    <row r="23" spans="1:49" ht="11.9" customHeight="1">
      <c r="B23" s="2115">
        <v>6</v>
      </c>
      <c r="C23" s="2098" t="s">
        <v>332</v>
      </c>
      <c r="D23" s="2099"/>
      <c r="E23" s="2100"/>
      <c r="F23" s="1610">
        <v>24</v>
      </c>
      <c r="G23" s="1097">
        <f>IF(($S13+$S15)*$U23=0,0,(G13+G15)/($S13+$S15)*'8. T5 KASSABUDGET'!$U23)</f>
        <v>0</v>
      </c>
      <c r="H23" s="1097">
        <f>IF(($S13+$S15)*$U23=0,0,(H13+H15)/($S13+$S15)*'8. T5 KASSABUDGET'!$U23)</f>
        <v>0</v>
      </c>
      <c r="I23" s="1097">
        <f>IF(($S13+$S15)*$U23=0,0,(I13+I15)/($S13+$S15)*'8. T5 KASSABUDGET'!$U23)</f>
        <v>0</v>
      </c>
      <c r="J23" s="1097">
        <f>IF(($S13+$S15)*$U23=0,0,(J13+J15)/($S13+$S15)*'8. T5 KASSABUDGET'!$U23)</f>
        <v>0</v>
      </c>
      <c r="K23" s="1097">
        <f>IF(($S13+$S15)*$U23=0,0,(K13+K15)/($S13+$S15)*'8. T5 KASSABUDGET'!$U23)</f>
        <v>0</v>
      </c>
      <c r="L23" s="1097">
        <f>IF(($S13+$S15)*$U23=0,0,(L13+L15)/($S13+$S15)*'8. T5 KASSABUDGET'!$U23)</f>
        <v>0</v>
      </c>
      <c r="M23" s="1097">
        <f>IF(($S13+$S15)*$U23=0,0,(M13+M15)/($S13+$S15)*'8. T5 KASSABUDGET'!$U23)</f>
        <v>0</v>
      </c>
      <c r="N23" s="1097">
        <f>IF(($S13+$S15)*$U23=0,0,(N13+N15)/($S13+$S15)*'8. T5 KASSABUDGET'!$U23)</f>
        <v>0</v>
      </c>
      <c r="O23" s="1097">
        <f>IF(($S13+$S15)*$U23=0,0,(O13+O15)/($S13+$S15)*'8. T5 KASSABUDGET'!$U23)</f>
        <v>0</v>
      </c>
      <c r="P23" s="1097">
        <f>IF(($S13+$S15)*$U23=0,0,(P13+P15)/($S13+$S15)*'8. T5 KASSABUDGET'!$U23)</f>
        <v>0</v>
      </c>
      <c r="Q23" s="1097">
        <f>IF(($S13+$S15)*$U23=0,0,(Q13+Q15)/($S13+$S15)*'8. T5 KASSABUDGET'!$U23)</f>
        <v>0</v>
      </c>
      <c r="R23" s="1097">
        <f>IF(($S13+$S15)*$U23=0,0,(R13+R15)/($S13+$S15)*'8. T5 KASSABUDGET'!$U23)</f>
        <v>0</v>
      </c>
      <c r="S23" s="1092">
        <f>SUM(G23:R23)</f>
        <v>0</v>
      </c>
      <c r="T23" s="1373">
        <f>U23-S23</f>
        <v>0</v>
      </c>
      <c r="U23" s="1762">
        <f>-IF(H$6=1,-'7. T2 RESULTATB.'!G15-'7. T2 RESULTATB.'!G15*'8. T5 KASSABUDGET'!F23/100-('1. T1 INVESTERINGSP.'!D40/(100+'1. T1 INVESTERINGSP.'!D41)*100),-'7. T2 RESULTATB.'!I15-'7. T2 RESULTATB.'!I15*'8. T5 KASSABUDGET'!F23/100)</f>
        <v>0</v>
      </c>
      <c r="V23" s="53"/>
      <c r="W23" s="1405"/>
      <c r="X23" s="1406"/>
      <c r="Y23" s="1407" t="s">
        <v>52</v>
      </c>
      <c r="Z23" s="1408" t="s">
        <v>53</v>
      </c>
      <c r="AA23" s="1408" t="s">
        <v>58</v>
      </c>
      <c r="AB23" s="2066"/>
      <c r="AC23" s="1409" t="s">
        <v>54</v>
      </c>
      <c r="AD23" s="1409" t="s">
        <v>682</v>
      </c>
      <c r="AE23" s="1410" t="s">
        <v>52</v>
      </c>
      <c r="AF23" s="1407" t="s">
        <v>52</v>
      </c>
      <c r="AG23" s="1408" t="s">
        <v>53</v>
      </c>
      <c r="AH23" s="1408" t="s">
        <v>58</v>
      </c>
      <c r="AI23" s="2066"/>
      <c r="AJ23" s="1409" t="s">
        <v>54</v>
      </c>
      <c r="AK23" s="1409" t="s">
        <v>682</v>
      </c>
      <c r="AL23" s="1410" t="s">
        <v>52</v>
      </c>
      <c r="AM23" s="1411" t="s">
        <v>52</v>
      </c>
      <c r="AN23" s="1408" t="s">
        <v>53</v>
      </c>
      <c r="AO23" s="1408" t="s">
        <v>58</v>
      </c>
      <c r="AP23" s="2066"/>
      <c r="AQ23" s="1409" t="s">
        <v>54</v>
      </c>
      <c r="AR23" s="1409" t="s">
        <v>682</v>
      </c>
      <c r="AS23" s="1412" t="s">
        <v>52</v>
      </c>
      <c r="AT23" s="1413" t="s">
        <v>54</v>
      </c>
      <c r="AU23" s="1409" t="s">
        <v>682</v>
      </c>
      <c r="AV23" s="1410" t="s">
        <v>52</v>
      </c>
      <c r="AW23" s="75"/>
    </row>
    <row r="24" spans="1:49" ht="12.65" customHeight="1">
      <c r="A24" s="53"/>
      <c r="B24" s="2116"/>
      <c r="C24" s="1823" t="s">
        <v>719</v>
      </c>
      <c r="D24" s="1824"/>
      <c r="E24" s="1793">
        <f>'5. T4 FINANSIERINGSB.'!G55</f>
        <v>14</v>
      </c>
      <c r="F24" s="1821"/>
      <c r="G24" s="1794">
        <f>'AT Kassa'!Q8</f>
        <v>0</v>
      </c>
      <c r="H24" s="1794">
        <f>'AT Kassa'!R8</f>
        <v>0</v>
      </c>
      <c r="I24" s="1794">
        <f>'AT Kassa'!S8</f>
        <v>0</v>
      </c>
      <c r="J24" s="1795"/>
      <c r="K24" s="1795"/>
      <c r="L24" s="1795"/>
      <c r="M24" s="1795"/>
      <c r="N24" s="1795"/>
      <c r="O24" s="1795"/>
      <c r="P24" s="1795"/>
      <c r="Q24" s="1795"/>
      <c r="R24" s="1795"/>
      <c r="S24" s="1796">
        <f>SUM(G24:R24)</f>
        <v>0</v>
      </c>
      <c r="T24" s="1819"/>
      <c r="U24" s="1797"/>
      <c r="V24" s="53"/>
      <c r="W24" s="53"/>
      <c r="X24" s="457"/>
      <c r="Y24" s="457"/>
      <c r="Z24" s="456"/>
      <c r="AA24" s="456"/>
      <c r="AB24" s="456"/>
      <c r="AC24" s="456"/>
      <c r="AD24" s="75"/>
      <c r="AE24" s="75"/>
      <c r="AF24" s="75"/>
      <c r="AG24" s="456"/>
      <c r="AH24" s="456"/>
      <c r="AI24" s="456"/>
      <c r="AJ24" s="1820"/>
      <c r="AK24" s="75"/>
      <c r="AL24" s="75"/>
      <c r="AM24" s="75"/>
      <c r="AN24" s="456"/>
      <c r="AO24" s="456"/>
      <c r="AP24" s="456"/>
      <c r="AQ24" s="1820"/>
      <c r="AR24" s="75"/>
      <c r="AS24" s="75"/>
      <c r="AT24" s="75"/>
      <c r="AU24" s="75"/>
      <c r="AV24" s="75"/>
      <c r="AW24" s="75"/>
    </row>
    <row r="25" spans="1:49" ht="11.9" customHeight="1">
      <c r="B25" s="642">
        <f>B23+1</f>
        <v>7</v>
      </c>
      <c r="C25" s="2072" t="s">
        <v>715</v>
      </c>
      <c r="D25" s="2075"/>
      <c r="E25" s="2076"/>
      <c r="F25" s="648">
        <v>0</v>
      </c>
      <c r="G25" s="1098"/>
      <c r="H25" s="1098"/>
      <c r="I25" s="1098">
        <v>0</v>
      </c>
      <c r="J25" s="1098">
        <v>0</v>
      </c>
      <c r="K25" s="1098"/>
      <c r="L25" s="1098"/>
      <c r="M25" s="1098">
        <v>0</v>
      </c>
      <c r="N25" s="1098">
        <v>0</v>
      </c>
      <c r="O25" s="1098"/>
      <c r="P25" s="1098"/>
      <c r="Q25" s="1098"/>
      <c r="R25" s="1098"/>
      <c r="S25" s="1375">
        <f>SUM(G25:R25)</f>
        <v>0</v>
      </c>
      <c r="U25" s="1624"/>
      <c r="V25" s="53"/>
      <c r="W25" s="1408"/>
      <c r="X25" s="1807"/>
      <c r="Y25" s="2079" t="s">
        <v>0</v>
      </c>
      <c r="Z25" s="2068"/>
      <c r="AA25" s="1808"/>
      <c r="AB25" s="1809"/>
      <c r="AC25" s="1810">
        <v>1.1599999999999999E-2</v>
      </c>
      <c r="AD25" s="1811">
        <v>0</v>
      </c>
      <c r="AE25" s="1812"/>
      <c r="AF25" s="2079" t="s">
        <v>0</v>
      </c>
      <c r="AG25" s="2068"/>
      <c r="AH25" s="1808">
        <v>0</v>
      </c>
      <c r="AI25" s="1808"/>
      <c r="AJ25" s="1813">
        <f>AC25</f>
        <v>1.1599999999999999E-2</v>
      </c>
      <c r="AK25" s="1814">
        <v>7.9399999999999998E-2</v>
      </c>
      <c r="AL25" s="1812"/>
      <c r="AM25" s="2067" t="s">
        <v>0</v>
      </c>
      <c r="AN25" s="2068"/>
      <c r="AO25" s="1808" t="s">
        <v>0</v>
      </c>
      <c r="AP25" s="1808"/>
      <c r="AQ25" s="1813">
        <f>AC25</f>
        <v>1.1599999999999999E-2</v>
      </c>
      <c r="AR25" s="1813">
        <f>AK25</f>
        <v>7.9399999999999998E-2</v>
      </c>
      <c r="AS25" s="1815"/>
      <c r="AT25" s="1816"/>
      <c r="AU25" s="1817">
        <f>AR25</f>
        <v>7.9399999999999998E-2</v>
      </c>
      <c r="AV25" s="1818"/>
    </row>
    <row r="26" spans="1:49" ht="11.9" customHeight="1">
      <c r="B26" s="642">
        <f t="shared" ref="B26:B44" si="5">B25+1</f>
        <v>8</v>
      </c>
      <c r="C26" s="649" t="s">
        <v>333</v>
      </c>
      <c r="D26" s="635"/>
      <c r="E26" s="636"/>
      <c r="F26" s="648">
        <v>24</v>
      </c>
      <c r="G26" s="1098">
        <f t="shared" ref="G26:R26" si="6">$U26/12</f>
        <v>0</v>
      </c>
      <c r="H26" s="1098">
        <f t="shared" si="6"/>
        <v>0</v>
      </c>
      <c r="I26" s="1098">
        <f t="shared" si="6"/>
        <v>0</v>
      </c>
      <c r="J26" s="1098">
        <f t="shared" si="6"/>
        <v>0</v>
      </c>
      <c r="K26" s="1098">
        <f t="shared" si="6"/>
        <v>0</v>
      </c>
      <c r="L26" s="1098">
        <f t="shared" si="6"/>
        <v>0</v>
      </c>
      <c r="M26" s="1098">
        <f t="shared" si="6"/>
        <v>0</v>
      </c>
      <c r="N26" s="1098">
        <f t="shared" si="6"/>
        <v>0</v>
      </c>
      <c r="O26" s="1098">
        <f t="shared" si="6"/>
        <v>0</v>
      </c>
      <c r="P26" s="1098">
        <f t="shared" si="6"/>
        <v>0</v>
      </c>
      <c r="Q26" s="1098">
        <f t="shared" si="6"/>
        <v>0</v>
      </c>
      <c r="R26" s="1098">
        <f t="shared" si="6"/>
        <v>0</v>
      </c>
      <c r="S26" s="1375">
        <f>SUM(G26:R26)</f>
        <v>0</v>
      </c>
      <c r="T26" s="1373">
        <f>U26-S26</f>
        <v>0</v>
      </c>
      <c r="U26" s="1762">
        <f>-IF(H$6=1,'7. T2 RESULTATB.'!G16+'7. T2 RESULTATB.'!G16*'8. T5 KASSABUDGET'!F26/100,'7. T2 RESULTATB.'!I16+'7. T2 RESULTATB.'!I16*'8. T5 KASSABUDGET'!F26/100)</f>
        <v>0</v>
      </c>
      <c r="V26" s="53"/>
      <c r="W26" s="2081" t="s">
        <v>643</v>
      </c>
      <c r="X26" s="2082"/>
      <c r="Y26" s="1174">
        <f>'3. E1 KOSTNADER'!D12</f>
        <v>0</v>
      </c>
      <c r="Z26" s="1414">
        <f>'3. E1 KOSTNADER'!D14*'3. E1 KOSTNADER'!D15</f>
        <v>0</v>
      </c>
      <c r="AA26" s="1414">
        <f>Z26+Y26</f>
        <v>0</v>
      </c>
      <c r="AB26" s="1415">
        <f>'3. E1 KOSTNADER'!D16</f>
        <v>0.3</v>
      </c>
      <c r="AC26" s="1416">
        <f>(AB26+AC$25)*AA26</f>
        <v>0</v>
      </c>
      <c r="AD26" s="1416">
        <v>0</v>
      </c>
      <c r="AE26" s="1417">
        <f>Y26-AA26*AB26</f>
        <v>0</v>
      </c>
      <c r="AF26" s="1174">
        <f>'3. E1 KOSTNADER'!D17</f>
        <v>0</v>
      </c>
      <c r="AG26" s="1414">
        <f>'3. E1 KOSTNADER'!D22</f>
        <v>0</v>
      </c>
      <c r="AH26" s="1414">
        <f>AG26+AF26</f>
        <v>0</v>
      </c>
      <c r="AI26" s="1415">
        <f>'3. E1 KOSTNADER'!D23</f>
        <v>0.25</v>
      </c>
      <c r="AJ26" s="1416">
        <f>(AI26+AJ$25)*AH26</f>
        <v>0</v>
      </c>
      <c r="AK26" s="1418">
        <f>AH26*AK$25</f>
        <v>0</v>
      </c>
      <c r="AL26" s="1417">
        <f>AF26-AH26*AI26-AK26</f>
        <v>0</v>
      </c>
      <c r="AM26" s="1419">
        <f>'3. E1 KOSTNADER'!D24</f>
        <v>0</v>
      </c>
      <c r="AN26" s="1414">
        <f>'3. E1 KOSTNADER'!D28</f>
        <v>0</v>
      </c>
      <c r="AO26" s="1414">
        <f>AN26+AM26</f>
        <v>0</v>
      </c>
      <c r="AP26" s="1415">
        <f>'3. E1 KOSTNADER'!D29</f>
        <v>0.27</v>
      </c>
      <c r="AQ26" s="1416">
        <f>(AP26+AQ$25)*AO26</f>
        <v>0</v>
      </c>
      <c r="AR26" s="1418">
        <f>AR$25*AO26</f>
        <v>0</v>
      </c>
      <c r="AS26" s="1420">
        <f>AM26-AO26*AP26-AR26</f>
        <v>0</v>
      </c>
      <c r="AT26" s="1421">
        <f>AQ26+AJ26+AC26</f>
        <v>0</v>
      </c>
      <c r="AU26" s="1422">
        <f>AR26+AK26+AD26</f>
        <v>0</v>
      </c>
      <c r="AV26" s="1423">
        <f>AS26+AL26+AE26</f>
        <v>0</v>
      </c>
    </row>
    <row r="27" spans="1:49" ht="11.9" customHeight="1">
      <c r="B27" s="642">
        <f t="shared" si="5"/>
        <v>9</v>
      </c>
      <c r="C27" s="2072" t="s">
        <v>522</v>
      </c>
      <c r="D27" s="2075"/>
      <c r="E27" s="2076"/>
      <c r="F27" s="648">
        <v>24</v>
      </c>
      <c r="G27" s="1098">
        <v>0</v>
      </c>
      <c r="H27" s="1098">
        <v>0</v>
      </c>
      <c r="I27" s="1098">
        <v>0</v>
      </c>
      <c r="J27" s="1098">
        <v>0</v>
      </c>
      <c r="K27" s="1098">
        <v>0</v>
      </c>
      <c r="L27" s="1098">
        <v>0</v>
      </c>
      <c r="M27" s="1098">
        <v>0</v>
      </c>
      <c r="N27" s="1098">
        <v>0</v>
      </c>
      <c r="O27" s="1098">
        <v>0</v>
      </c>
      <c r="P27" s="1098">
        <v>0</v>
      </c>
      <c r="Q27" s="1098">
        <v>0</v>
      </c>
      <c r="R27" s="1098"/>
      <c r="S27" s="1375">
        <f>SUM(G27:R27)</f>
        <v>0</v>
      </c>
      <c r="U27" s="1763"/>
      <c r="V27" s="53"/>
      <c r="W27" s="2081" t="s">
        <v>644</v>
      </c>
      <c r="X27" s="2082"/>
      <c r="Y27" s="1174">
        <f>'3. E1 KOSTNADER'!F12</f>
        <v>0</v>
      </c>
      <c r="Z27" s="1414">
        <f>'3. E1 KOSTNADER'!F14*'3. E1 KOSTNADER'!F15</f>
        <v>0</v>
      </c>
      <c r="AA27" s="1414">
        <f>Z27+Y27</f>
        <v>0</v>
      </c>
      <c r="AB27" s="1415">
        <f>'3. E1 KOSTNADER'!F16</f>
        <v>0.3</v>
      </c>
      <c r="AC27" s="1726">
        <f>(AB27+AC$25)*AA27</f>
        <v>0</v>
      </c>
      <c r="AD27" s="1418">
        <f t="shared" ref="AD27" si="7">AD$25*$AA27</f>
        <v>0</v>
      </c>
      <c r="AE27" s="1417">
        <f>Y27-AA27*AB27</f>
        <v>0</v>
      </c>
      <c r="AF27" s="1174">
        <f>'3. E1 KOSTNADER'!F17</f>
        <v>0</v>
      </c>
      <c r="AG27" s="1414">
        <f>'3. E1 KOSTNADER'!F22</f>
        <v>0</v>
      </c>
      <c r="AH27" s="1414">
        <f>AG27+AF27</f>
        <v>0</v>
      </c>
      <c r="AI27" s="1415">
        <f>'3. E1 KOSTNADER'!F23</f>
        <v>0.25</v>
      </c>
      <c r="AJ27" s="1726">
        <f>(AI27+AJ$25)*AH27</f>
        <v>0</v>
      </c>
      <c r="AK27" s="1418">
        <f>AH27*AK$25</f>
        <v>0</v>
      </c>
      <c r="AL27" s="1417">
        <f>AF27-AH27*AI27-AK27</f>
        <v>0</v>
      </c>
      <c r="AM27" s="1419">
        <f>'3. E1 KOSTNADER'!F24</f>
        <v>0</v>
      </c>
      <c r="AN27" s="1414">
        <f>'3. E1 KOSTNADER'!F28</f>
        <v>0</v>
      </c>
      <c r="AO27" s="1414">
        <f>AN27+AM27</f>
        <v>0</v>
      </c>
      <c r="AP27" s="1415">
        <f>'3. E1 KOSTNADER'!F29</f>
        <v>0.27</v>
      </c>
      <c r="AQ27" s="1726">
        <f>(AP27+AQ$25)*AO27</f>
        <v>0</v>
      </c>
      <c r="AR27" s="1418">
        <f>AO27*AR$25</f>
        <v>0</v>
      </c>
      <c r="AS27" s="1420">
        <f>AM27-AO27*AP27-AR27</f>
        <v>0</v>
      </c>
      <c r="AT27" s="1421">
        <f t="shared" ref="AT27:AU27" si="8">AQ27+AJ27+AC27</f>
        <v>0</v>
      </c>
      <c r="AU27" s="1422">
        <f t="shared" si="8"/>
        <v>0</v>
      </c>
      <c r="AV27" s="1423">
        <f>AS27+AL27+AE27</f>
        <v>0</v>
      </c>
    </row>
    <row r="28" spans="1:49" ht="11.9" customHeight="1">
      <c r="B28" s="642">
        <f t="shared" si="5"/>
        <v>10</v>
      </c>
      <c r="C28" s="2092" t="s">
        <v>529</v>
      </c>
      <c r="D28" s="2093"/>
      <c r="E28" s="2094"/>
      <c r="F28" s="648">
        <v>24</v>
      </c>
      <c r="G28" s="1098">
        <f t="shared" ref="G28:R29" si="9">$U28/12</f>
        <v>0</v>
      </c>
      <c r="H28" s="1098">
        <f t="shared" si="9"/>
        <v>0</v>
      </c>
      <c r="I28" s="1098">
        <f t="shared" si="9"/>
        <v>0</v>
      </c>
      <c r="J28" s="1098">
        <f t="shared" si="9"/>
        <v>0</v>
      </c>
      <c r="K28" s="1098">
        <f t="shared" si="9"/>
        <v>0</v>
      </c>
      <c r="L28" s="1098">
        <f t="shared" si="9"/>
        <v>0</v>
      </c>
      <c r="M28" s="1098">
        <f t="shared" si="9"/>
        <v>0</v>
      </c>
      <c r="N28" s="1098">
        <f t="shared" si="9"/>
        <v>0</v>
      </c>
      <c r="O28" s="1098">
        <f t="shared" si="9"/>
        <v>0</v>
      </c>
      <c r="P28" s="1098">
        <f t="shared" si="9"/>
        <v>0</v>
      </c>
      <c r="Q28" s="1098">
        <f t="shared" si="9"/>
        <v>0</v>
      </c>
      <c r="R28" s="1098">
        <f t="shared" si="9"/>
        <v>0</v>
      </c>
      <c r="S28" s="1375">
        <f t="shared" ref="S28:S38" si="10">SUM(G28:R28)</f>
        <v>0</v>
      </c>
      <c r="T28" s="1373">
        <f>U28-S28</f>
        <v>0</v>
      </c>
      <c r="U28" s="1762">
        <f>IF(H6=1,'3. E1 KOSTNADER'!D53+'3. E1 KOSTNADER'!D53*F28/100,'3. E1 KOSTNADER'!F53+'3. E1 KOSTNADER'!F53*'8. T5 KASSABUDGET'!F28/100)</f>
        <v>0</v>
      </c>
      <c r="V28" s="53"/>
      <c r="W28" s="53"/>
      <c r="X28" s="53"/>
      <c r="Y28" s="53"/>
      <c r="Z28" s="1388"/>
      <c r="AA28" s="179"/>
      <c r="AB28" s="1389"/>
      <c r="AC28" s="1390"/>
      <c r="AD28" s="155"/>
      <c r="AE28" s="1389"/>
      <c r="AF28" s="1391"/>
      <c r="AG28" s="155"/>
      <c r="AH28" s="319"/>
      <c r="AI28" s="319"/>
      <c r="AJ28" s="319"/>
      <c r="AK28" s="319"/>
      <c r="AL28" s="319"/>
      <c r="AM28" s="319"/>
      <c r="AN28" s="319"/>
      <c r="AO28" s="319"/>
      <c r="AP28" s="319"/>
    </row>
    <row r="29" spans="1:49" ht="11.9" customHeight="1">
      <c r="B29" s="642">
        <f t="shared" si="5"/>
        <v>11</v>
      </c>
      <c r="C29" s="2072" t="s">
        <v>506</v>
      </c>
      <c r="D29" s="2075"/>
      <c r="E29" s="2076"/>
      <c r="F29" s="648">
        <v>24</v>
      </c>
      <c r="G29" s="1098">
        <f t="shared" si="9"/>
        <v>0</v>
      </c>
      <c r="H29" s="1098">
        <f t="shared" si="9"/>
        <v>0</v>
      </c>
      <c r="I29" s="1098">
        <f t="shared" si="9"/>
        <v>0</v>
      </c>
      <c r="J29" s="1098">
        <f t="shared" si="9"/>
        <v>0</v>
      </c>
      <c r="K29" s="1098">
        <f t="shared" si="9"/>
        <v>0</v>
      </c>
      <c r="L29" s="1098">
        <f t="shared" si="9"/>
        <v>0</v>
      </c>
      <c r="M29" s="1098">
        <f t="shared" si="9"/>
        <v>0</v>
      </c>
      <c r="N29" s="1098">
        <f t="shared" si="9"/>
        <v>0</v>
      </c>
      <c r="O29" s="1098">
        <f t="shared" si="9"/>
        <v>0</v>
      </c>
      <c r="P29" s="1098">
        <f t="shared" si="9"/>
        <v>0</v>
      </c>
      <c r="Q29" s="1098">
        <f t="shared" si="9"/>
        <v>0</v>
      </c>
      <c r="R29" s="1098">
        <f t="shared" si="9"/>
        <v>0</v>
      </c>
      <c r="S29" s="1375">
        <f>SUM(G29:R29)</f>
        <v>0</v>
      </c>
      <c r="T29" s="1373">
        <f>U29-S29</f>
        <v>0</v>
      </c>
      <c r="U29" s="1762">
        <f>IF(H6=1,'3. E1 KOSTNADER'!D65+'3. E1 KOSTNADER'!D65*'8. T5 KASSABUDGET'!F29/100+'3. E1 KOSTNADER'!D78+'3. E1 KOSTNADER'!D78*'8. T5 KASSABUDGET'!F29/100,'3. E1 KOSTNADER'!F65+'3. E1 KOSTNADER'!F65*'8. T5 KASSABUDGET'!F29/100+'3. E1 KOSTNADER'!F78+'3. E1 KOSTNADER'!F78*'8. T5 KASSABUDGET'!F29/100)</f>
        <v>0</v>
      </c>
      <c r="V29" s="53"/>
      <c r="W29" s="53"/>
      <c r="X29" s="53"/>
      <c r="Y29" s="53"/>
      <c r="Z29" s="1388"/>
      <c r="AA29" s="179"/>
      <c r="AB29" s="1389"/>
      <c r="AC29" s="1390"/>
      <c r="AD29" s="155"/>
      <c r="AE29" s="1389"/>
      <c r="AF29" s="1391"/>
      <c r="AG29" s="155"/>
      <c r="AH29" s="319"/>
      <c r="AI29" s="319"/>
      <c r="AJ29" s="319"/>
      <c r="AK29" s="319"/>
      <c r="AL29" s="319"/>
      <c r="AM29" s="319"/>
      <c r="AN29" s="319"/>
      <c r="AO29" s="319"/>
      <c r="AP29" s="319"/>
    </row>
    <row r="30" spans="1:49" ht="11.9" customHeight="1">
      <c r="B30" s="642">
        <f t="shared" si="5"/>
        <v>12</v>
      </c>
      <c r="C30" s="2072" t="s">
        <v>334</v>
      </c>
      <c r="D30" s="2075"/>
      <c r="E30" s="2076"/>
      <c r="F30" s="648">
        <v>24</v>
      </c>
      <c r="G30" s="1098">
        <f t="shared" ref="G30:R30" si="11">$U30/12</f>
        <v>0</v>
      </c>
      <c r="H30" s="1098">
        <f t="shared" si="11"/>
        <v>0</v>
      </c>
      <c r="I30" s="1098">
        <f t="shared" si="11"/>
        <v>0</v>
      </c>
      <c r="J30" s="1098">
        <f t="shared" si="11"/>
        <v>0</v>
      </c>
      <c r="K30" s="1098">
        <f t="shared" si="11"/>
        <v>0</v>
      </c>
      <c r="L30" s="1098">
        <f t="shared" si="11"/>
        <v>0</v>
      </c>
      <c r="M30" s="1098">
        <f t="shared" si="11"/>
        <v>0</v>
      </c>
      <c r="N30" s="1098">
        <f t="shared" si="11"/>
        <v>0</v>
      </c>
      <c r="O30" s="1098">
        <f t="shared" si="11"/>
        <v>0</v>
      </c>
      <c r="P30" s="1098">
        <f t="shared" si="11"/>
        <v>0</v>
      </c>
      <c r="Q30" s="1098">
        <f t="shared" si="11"/>
        <v>0</v>
      </c>
      <c r="R30" s="1098">
        <f t="shared" si="11"/>
        <v>0</v>
      </c>
      <c r="S30" s="1375">
        <f t="shared" si="10"/>
        <v>0</v>
      </c>
      <c r="T30" s="1373">
        <f>U30-S30</f>
        <v>0</v>
      </c>
      <c r="U30" s="1764">
        <f>IF(H6=1,'AT2 Lainat, sotum., alv'!D61+'AT2 Lainat, sotum., alv'!D61*F30/100,'AT2 Lainat, sotum., alv'!F61+'AT2 Lainat, sotum., alv'!F61*'8. T5 KASSABUDGET'!F30/100)</f>
        <v>0</v>
      </c>
      <c r="V30" s="53"/>
      <c r="W30" s="53"/>
      <c r="X30" s="53"/>
      <c r="Y30" s="53"/>
      <c r="Z30" s="1388"/>
      <c r="AA30" s="179"/>
      <c r="AB30" s="1389"/>
      <c r="AC30" s="1390"/>
      <c r="AD30" s="155"/>
      <c r="AE30" s="1389"/>
      <c r="AF30" s="1391"/>
      <c r="AG30" s="155"/>
      <c r="AH30" s="319"/>
      <c r="AI30" s="319"/>
      <c r="AJ30" s="319"/>
      <c r="AK30" s="319"/>
      <c r="AL30" s="319"/>
      <c r="AM30" s="319"/>
      <c r="AN30" s="319"/>
      <c r="AO30" s="319"/>
      <c r="AP30" s="319"/>
    </row>
    <row r="31" spans="1:49" ht="11.9" customHeight="1">
      <c r="B31" s="642">
        <f t="shared" si="5"/>
        <v>13</v>
      </c>
      <c r="C31" s="2072" t="s">
        <v>619</v>
      </c>
      <c r="D31" s="2075"/>
      <c r="E31" s="2076"/>
      <c r="F31" s="650"/>
      <c r="G31" s="1093">
        <f>IF(H6=1,0,'6. T3 BALANS'!H87/2)</f>
        <v>0</v>
      </c>
      <c r="H31" s="1093">
        <f>G31</f>
        <v>0</v>
      </c>
      <c r="I31" s="1093">
        <f>'Avustus, alv'!L27</f>
        <v>0</v>
      </c>
      <c r="J31" s="1093">
        <f>'Avustus, alv'!M27</f>
        <v>0</v>
      </c>
      <c r="K31" s="1093">
        <f>'Avustus, alv'!N27</f>
        <v>0</v>
      </c>
      <c r="L31" s="1093">
        <f>'Avustus, alv'!O27</f>
        <v>0</v>
      </c>
      <c r="M31" s="1093">
        <f>'Avustus, alv'!P27</f>
        <v>0</v>
      </c>
      <c r="N31" s="1093">
        <f>'Avustus, alv'!Q27</f>
        <v>0</v>
      </c>
      <c r="O31" s="1093">
        <f>'Avustus, alv'!R27</f>
        <v>0</v>
      </c>
      <c r="P31" s="1093">
        <f>'Avustus, alv'!S27</f>
        <v>0</v>
      </c>
      <c r="Q31" s="1093">
        <f>'Avustus, alv'!T27</f>
        <v>0</v>
      </c>
      <c r="R31" s="1093">
        <f>'Avustus, alv'!U27</f>
        <v>0</v>
      </c>
      <c r="S31" s="1375">
        <f t="shared" si="10"/>
        <v>0</v>
      </c>
      <c r="U31" s="1765"/>
      <c r="V31" s="53"/>
      <c r="W31" s="53"/>
      <c r="X31" s="53"/>
      <c r="Y31" s="53"/>
      <c r="Z31" s="1388"/>
      <c r="AA31" s="179"/>
      <c r="AB31" s="1389"/>
      <c r="AC31" s="1390"/>
      <c r="AD31" s="155"/>
      <c r="AE31" s="1389"/>
      <c r="AF31" s="1391"/>
      <c r="AG31" s="155"/>
      <c r="AH31" s="319"/>
      <c r="AI31" s="319"/>
      <c r="AJ31" s="319"/>
      <c r="AK31" s="319"/>
      <c r="AL31" s="319"/>
      <c r="AM31" s="319"/>
      <c r="AN31" s="319"/>
      <c r="AO31" s="319"/>
      <c r="AP31" s="319"/>
    </row>
    <row r="32" spans="1:49" ht="11.9" customHeight="1">
      <c r="B32" s="642">
        <f t="shared" si="5"/>
        <v>14</v>
      </c>
      <c r="C32" s="2072" t="s">
        <v>335</v>
      </c>
      <c r="D32" s="2073"/>
      <c r="E32" s="2074"/>
      <c r="F32" s="651"/>
      <c r="G32" s="1093">
        <f>IF(H6=1,$AV26/12,AV27/12)</f>
        <v>0</v>
      </c>
      <c r="H32" s="1093">
        <f>G32</f>
        <v>0</v>
      </c>
      <c r="I32" s="1093">
        <f t="shared" ref="I32:R32" si="12">H32</f>
        <v>0</v>
      </c>
      <c r="J32" s="1093">
        <f t="shared" si="12"/>
        <v>0</v>
      </c>
      <c r="K32" s="1093">
        <f t="shared" si="12"/>
        <v>0</v>
      </c>
      <c r="L32" s="1093">
        <f t="shared" si="12"/>
        <v>0</v>
      </c>
      <c r="M32" s="1093">
        <f t="shared" si="12"/>
        <v>0</v>
      </c>
      <c r="N32" s="1093">
        <f t="shared" si="12"/>
        <v>0</v>
      </c>
      <c r="O32" s="1093">
        <f t="shared" si="12"/>
        <v>0</v>
      </c>
      <c r="P32" s="1093">
        <f t="shared" si="12"/>
        <v>0</v>
      </c>
      <c r="Q32" s="1093">
        <f t="shared" si="12"/>
        <v>0</v>
      </c>
      <c r="R32" s="1093">
        <f t="shared" si="12"/>
        <v>0</v>
      </c>
      <c r="S32" s="1375">
        <f>SUM(G32:R32)</f>
        <v>0</v>
      </c>
      <c r="U32" s="1760"/>
      <c r="V32" s="53"/>
      <c r="W32" s="53"/>
      <c r="X32" s="53"/>
      <c r="Y32" s="53"/>
      <c r="Z32" s="1388"/>
      <c r="AA32" s="179"/>
      <c r="AB32" s="1389"/>
      <c r="AC32" s="1390"/>
      <c r="AD32" s="155"/>
      <c r="AE32" s="1389"/>
      <c r="AF32" s="1391"/>
      <c r="AG32" s="155"/>
      <c r="AH32" s="319"/>
      <c r="AI32" s="319"/>
      <c r="AJ32" s="319"/>
      <c r="AK32" s="319"/>
      <c r="AL32" s="319"/>
      <c r="AM32" s="319"/>
      <c r="AN32" s="319"/>
      <c r="AO32" s="319"/>
      <c r="AP32" s="319"/>
    </row>
    <row r="33" spans="2:42" ht="11.9" customHeight="1">
      <c r="B33" s="642">
        <f t="shared" si="5"/>
        <v>15</v>
      </c>
      <c r="C33" s="2072" t="s">
        <v>498</v>
      </c>
      <c r="D33" s="2075"/>
      <c r="E33" s="2076"/>
      <c r="F33" s="646"/>
      <c r="G33" s="1093">
        <f>IF(H6=2,'6. T3 BALANS'!H84+'6. T3 BALANS'!H86,0)</f>
        <v>0</v>
      </c>
      <c r="H33" s="1093">
        <f>IF(H6=1,AT26/12,AT27/12)</f>
        <v>0</v>
      </c>
      <c r="I33" s="1093">
        <f>H33</f>
        <v>0</v>
      </c>
      <c r="J33" s="1093">
        <f t="shared" ref="J33:R33" si="13">I33</f>
        <v>0</v>
      </c>
      <c r="K33" s="1093">
        <f t="shared" si="13"/>
        <v>0</v>
      </c>
      <c r="L33" s="1093">
        <f t="shared" si="13"/>
        <v>0</v>
      </c>
      <c r="M33" s="1093">
        <f t="shared" si="13"/>
        <v>0</v>
      </c>
      <c r="N33" s="1093">
        <f t="shared" si="13"/>
        <v>0</v>
      </c>
      <c r="O33" s="1093">
        <f t="shared" si="13"/>
        <v>0</v>
      </c>
      <c r="P33" s="1093">
        <f t="shared" si="13"/>
        <v>0</v>
      </c>
      <c r="Q33" s="1093">
        <f t="shared" si="13"/>
        <v>0</v>
      </c>
      <c r="R33" s="1093">
        <f t="shared" si="13"/>
        <v>0</v>
      </c>
      <c r="S33" s="1375">
        <f t="shared" si="10"/>
        <v>0</v>
      </c>
      <c r="U33" s="1760"/>
      <c r="V33" s="53"/>
      <c r="W33" s="53"/>
      <c r="X33" s="53"/>
      <c r="Y33" s="53"/>
      <c r="Z33" s="1388"/>
      <c r="AA33" s="179"/>
      <c r="AB33" s="1389"/>
      <c r="AC33" s="1390"/>
      <c r="AD33" s="155"/>
      <c r="AE33" s="1389"/>
      <c r="AF33" s="1391"/>
      <c r="AG33" s="155"/>
      <c r="AH33" s="319"/>
      <c r="AI33" s="319"/>
      <c r="AJ33" s="319"/>
      <c r="AK33" s="319"/>
      <c r="AL33" s="319"/>
      <c r="AM33" s="319"/>
      <c r="AN33" s="319"/>
      <c r="AO33" s="319"/>
      <c r="AP33" s="319"/>
    </row>
    <row r="34" spans="2:42" ht="11.9" customHeight="1">
      <c r="B34" s="642">
        <f t="shared" si="5"/>
        <v>16</v>
      </c>
      <c r="C34" s="634" t="s">
        <v>336</v>
      </c>
      <c r="D34" s="635"/>
      <c r="E34" s="636"/>
      <c r="F34" s="652">
        <v>20.399999999999999</v>
      </c>
      <c r="G34" s="1093">
        <f>IF(H6=1,$F$34%*'3. E1 KOSTNADER'!D35/12,($F$34%*'3. E1 KOSTNADER'!F35/12))</f>
        <v>0</v>
      </c>
      <c r="H34" s="1424">
        <f>G34</f>
        <v>0</v>
      </c>
      <c r="I34" s="1093">
        <f t="shared" ref="I34:R35" si="14">H34</f>
        <v>0</v>
      </c>
      <c r="J34" s="1093">
        <f t="shared" si="14"/>
        <v>0</v>
      </c>
      <c r="K34" s="1093">
        <f t="shared" si="14"/>
        <v>0</v>
      </c>
      <c r="L34" s="1093">
        <f t="shared" si="14"/>
        <v>0</v>
      </c>
      <c r="M34" s="1093">
        <f t="shared" si="14"/>
        <v>0</v>
      </c>
      <c r="N34" s="1093">
        <f t="shared" si="14"/>
        <v>0</v>
      </c>
      <c r="O34" s="1093">
        <f t="shared" si="14"/>
        <v>0</v>
      </c>
      <c r="P34" s="1093">
        <f t="shared" si="14"/>
        <v>0</v>
      </c>
      <c r="Q34" s="1093">
        <f t="shared" si="14"/>
        <v>0</v>
      </c>
      <c r="R34" s="1093">
        <f t="shared" si="14"/>
        <v>0</v>
      </c>
      <c r="S34" s="1375">
        <f t="shared" si="10"/>
        <v>0</v>
      </c>
      <c r="U34" s="1760"/>
      <c r="V34" s="53"/>
      <c r="W34" s="53"/>
      <c r="X34" s="53"/>
      <c r="Y34" s="53"/>
      <c r="Z34" s="1388"/>
      <c r="AA34" s="179"/>
      <c r="AB34" s="1389"/>
      <c r="AC34" s="1390"/>
      <c r="AD34" s="155"/>
      <c r="AE34" s="1389"/>
      <c r="AF34" s="1391"/>
      <c r="AG34" s="155"/>
      <c r="AH34" s="319"/>
      <c r="AI34" s="319"/>
      <c r="AJ34" s="319"/>
      <c r="AK34" s="319"/>
      <c r="AL34" s="319"/>
      <c r="AM34" s="319"/>
      <c r="AN34" s="319"/>
      <c r="AO34" s="319"/>
      <c r="AP34" s="319"/>
    </row>
    <row r="35" spans="2:42" ht="11.9" customHeight="1">
      <c r="B35" s="642">
        <f t="shared" si="5"/>
        <v>17</v>
      </c>
      <c r="C35" s="2101" t="s">
        <v>528</v>
      </c>
      <c r="D35" s="2102"/>
      <c r="E35" s="2103"/>
      <c r="F35" s="641">
        <v>26.5</v>
      </c>
      <c r="G35" s="1424">
        <f>$F35/100*IF(H6=1,(AH26/12+AO26/12),AH27/12+AO27/12)</f>
        <v>0</v>
      </c>
      <c r="H35" s="1424">
        <f>G35</f>
        <v>0</v>
      </c>
      <c r="I35" s="1424">
        <f t="shared" si="14"/>
        <v>0</v>
      </c>
      <c r="J35" s="1424">
        <f t="shared" si="14"/>
        <v>0</v>
      </c>
      <c r="K35" s="1424">
        <f t="shared" si="14"/>
        <v>0</v>
      </c>
      <c r="L35" s="1424">
        <f t="shared" si="14"/>
        <v>0</v>
      </c>
      <c r="M35" s="1424">
        <f t="shared" si="14"/>
        <v>0</v>
      </c>
      <c r="N35" s="1424">
        <f t="shared" si="14"/>
        <v>0</v>
      </c>
      <c r="O35" s="1424">
        <f t="shared" si="14"/>
        <v>0</v>
      </c>
      <c r="P35" s="1424">
        <f t="shared" si="14"/>
        <v>0</v>
      </c>
      <c r="Q35" s="1424">
        <f t="shared" si="14"/>
        <v>0</v>
      </c>
      <c r="R35" s="1424">
        <f t="shared" si="14"/>
        <v>0</v>
      </c>
      <c r="S35" s="1375">
        <f t="shared" si="10"/>
        <v>0</v>
      </c>
      <c r="U35" s="1766"/>
      <c r="V35" s="53"/>
      <c r="W35" s="53"/>
      <c r="X35" s="53"/>
      <c r="Y35" s="53"/>
      <c r="Z35" s="1388"/>
      <c r="AA35" s="179"/>
      <c r="AB35" s="1389"/>
      <c r="AC35" s="1390"/>
      <c r="AD35" s="155"/>
      <c r="AE35" s="1389"/>
      <c r="AF35" s="1391"/>
      <c r="AG35" s="155"/>
      <c r="AH35" s="319"/>
      <c r="AI35" s="319"/>
      <c r="AJ35" s="319"/>
      <c r="AK35" s="319"/>
      <c r="AL35" s="319"/>
      <c r="AM35" s="319"/>
      <c r="AN35" s="319"/>
      <c r="AO35" s="319"/>
      <c r="AP35" s="319"/>
    </row>
    <row r="36" spans="2:42" ht="11.9" customHeight="1">
      <c r="B36" s="642">
        <f t="shared" si="5"/>
        <v>18</v>
      </c>
      <c r="C36" s="653" t="s">
        <v>337</v>
      </c>
      <c r="D36" s="654"/>
      <c r="E36" s="655"/>
      <c r="F36" s="656"/>
      <c r="G36" s="1098">
        <f>$U36/12</f>
        <v>0</v>
      </c>
      <c r="H36" s="1098">
        <f t="shared" ref="H36:R36" si="15">$U36/12</f>
        <v>0</v>
      </c>
      <c r="I36" s="1098">
        <f t="shared" si="15"/>
        <v>0</v>
      </c>
      <c r="J36" s="1098">
        <f t="shared" si="15"/>
        <v>0</v>
      </c>
      <c r="K36" s="1098">
        <f t="shared" si="15"/>
        <v>0</v>
      </c>
      <c r="L36" s="1098">
        <f t="shared" si="15"/>
        <v>0</v>
      </c>
      <c r="M36" s="1098">
        <f t="shared" si="15"/>
        <v>0</v>
      </c>
      <c r="N36" s="1098">
        <f t="shared" si="15"/>
        <v>0</v>
      </c>
      <c r="O36" s="1098">
        <f t="shared" si="15"/>
        <v>0</v>
      </c>
      <c r="P36" s="1098">
        <f t="shared" si="15"/>
        <v>0</v>
      </c>
      <c r="Q36" s="1098">
        <f t="shared" si="15"/>
        <v>0</v>
      </c>
      <c r="R36" s="1098">
        <f t="shared" si="15"/>
        <v>0</v>
      </c>
      <c r="S36" s="1375">
        <f t="shared" si="10"/>
        <v>0</v>
      </c>
      <c r="T36" s="1373">
        <f>U36-S36</f>
        <v>0</v>
      </c>
      <c r="U36" s="1762">
        <f>IF(H6=1,'3. E1 KOSTNADER'!D43+'3. E1 KOSTNADER'!D38+'3. E1 KOSTNADER'!D42,'3. E1 KOSTNADER'!F38+'3. E1 KOSTNADER'!F43+'3. E1 KOSTNADER'!F42)</f>
        <v>0</v>
      </c>
      <c r="V36" s="53"/>
      <c r="W36" s="53"/>
      <c r="X36" s="53"/>
      <c r="Y36" s="53"/>
      <c r="Z36" s="1388"/>
      <c r="AA36" s="179"/>
      <c r="AB36" s="1389"/>
      <c r="AC36" s="1390"/>
      <c r="AD36" s="155"/>
      <c r="AE36" s="1389"/>
      <c r="AF36" s="1391"/>
      <c r="AG36" s="155"/>
      <c r="AH36" s="319"/>
      <c r="AI36" s="319"/>
      <c r="AJ36" s="319"/>
      <c r="AK36" s="319"/>
      <c r="AL36" s="319"/>
      <c r="AM36" s="319"/>
      <c r="AN36" s="319"/>
      <c r="AO36" s="319"/>
      <c r="AP36" s="319"/>
    </row>
    <row r="37" spans="2:42" ht="11.9" customHeight="1">
      <c r="B37" s="642">
        <f t="shared" si="5"/>
        <v>19</v>
      </c>
      <c r="C37" s="2092" t="s">
        <v>530</v>
      </c>
      <c r="D37" s="2093"/>
      <c r="E37" s="2094"/>
      <c r="F37" s="657"/>
      <c r="G37" s="1098">
        <f>$U37/12</f>
        <v>0</v>
      </c>
      <c r="H37" s="1098">
        <f t="shared" ref="H37:R37" si="16">$U37/12</f>
        <v>0</v>
      </c>
      <c r="I37" s="1098">
        <f t="shared" si="16"/>
        <v>0</v>
      </c>
      <c r="J37" s="1098">
        <f t="shared" si="16"/>
        <v>0</v>
      </c>
      <c r="K37" s="1098">
        <f t="shared" si="16"/>
        <v>0</v>
      </c>
      <c r="L37" s="1098">
        <f t="shared" si="16"/>
        <v>0</v>
      </c>
      <c r="M37" s="1098">
        <f t="shared" si="16"/>
        <v>0</v>
      </c>
      <c r="N37" s="1098">
        <f t="shared" si="16"/>
        <v>0</v>
      </c>
      <c r="O37" s="1098">
        <f t="shared" si="16"/>
        <v>0</v>
      </c>
      <c r="P37" s="1098">
        <f t="shared" si="16"/>
        <v>0</v>
      </c>
      <c r="Q37" s="1098">
        <f t="shared" si="16"/>
        <v>0</v>
      </c>
      <c r="R37" s="1098">
        <f t="shared" si="16"/>
        <v>0</v>
      </c>
      <c r="S37" s="1375">
        <f t="shared" si="10"/>
        <v>0</v>
      </c>
      <c r="T37" s="1373">
        <f>U37-S37</f>
        <v>0</v>
      </c>
      <c r="U37" s="1762">
        <f>IF(H6=1,'3. E1 KOSTNADER'!D130,'3. E1 KOSTNADER'!F130)</f>
        <v>0</v>
      </c>
      <c r="V37" s="53"/>
      <c r="W37" s="53"/>
      <c r="X37" s="53"/>
      <c r="Y37" s="53"/>
      <c r="Z37" s="1388"/>
      <c r="AA37" s="179"/>
      <c r="AB37" s="1389"/>
      <c r="AC37" s="1390"/>
      <c r="AD37" s="155"/>
      <c r="AE37" s="1389"/>
      <c r="AF37" s="1391"/>
      <c r="AG37" s="155"/>
      <c r="AH37" s="319"/>
      <c r="AI37" s="319"/>
      <c r="AJ37" s="319"/>
      <c r="AK37" s="319"/>
      <c r="AL37" s="319"/>
      <c r="AM37" s="319"/>
      <c r="AN37" s="319"/>
      <c r="AO37" s="319"/>
      <c r="AP37" s="319"/>
    </row>
    <row r="38" spans="2:42" ht="11.9" customHeight="1">
      <c r="B38" s="642">
        <f t="shared" si="5"/>
        <v>20</v>
      </c>
      <c r="C38" s="2072" t="s">
        <v>338</v>
      </c>
      <c r="D38" s="2075"/>
      <c r="E38" s="2076"/>
      <c r="F38" s="646"/>
      <c r="G38" s="1098">
        <f>$U38/12</f>
        <v>0</v>
      </c>
      <c r="H38" s="1098">
        <f t="shared" ref="H38:R40" si="17">$U38/12</f>
        <v>0</v>
      </c>
      <c r="I38" s="1098">
        <f t="shared" si="17"/>
        <v>0</v>
      </c>
      <c r="J38" s="1098">
        <f t="shared" si="17"/>
        <v>0</v>
      </c>
      <c r="K38" s="1098">
        <f t="shared" si="17"/>
        <v>0</v>
      </c>
      <c r="L38" s="1098">
        <f t="shared" si="17"/>
        <v>0</v>
      </c>
      <c r="M38" s="1098">
        <f t="shared" si="17"/>
        <v>0</v>
      </c>
      <c r="N38" s="1098">
        <f t="shared" si="17"/>
        <v>0</v>
      </c>
      <c r="O38" s="1098">
        <f t="shared" si="17"/>
        <v>0</v>
      </c>
      <c r="P38" s="1098">
        <f t="shared" si="17"/>
        <v>0</v>
      </c>
      <c r="Q38" s="1098">
        <f t="shared" si="17"/>
        <v>0</v>
      </c>
      <c r="R38" s="1098">
        <f t="shared" si="17"/>
        <v>0</v>
      </c>
      <c r="S38" s="1375">
        <f t="shared" si="10"/>
        <v>0</v>
      </c>
      <c r="T38" s="1373">
        <f>U38-S38</f>
        <v>0</v>
      </c>
      <c r="U38" s="1762">
        <f>IF(H6=1,'AT2 Lainat, sotum., alv'!D60,'AT2 Lainat, sotum., alv'!F60)</f>
        <v>0</v>
      </c>
      <c r="V38" s="53"/>
      <c r="W38" s="53"/>
      <c r="X38" s="53"/>
      <c r="Y38" s="53"/>
      <c r="Z38" s="1392"/>
      <c r="AA38" s="179"/>
      <c r="AB38" s="1393"/>
      <c r="AC38" s="1393"/>
      <c r="AD38" s="155"/>
      <c r="AE38" s="1393"/>
      <c r="AF38" s="1393"/>
      <c r="AG38" s="155"/>
      <c r="AH38" s="319"/>
      <c r="AI38" s="319"/>
      <c r="AJ38" s="319"/>
      <c r="AK38" s="319"/>
      <c r="AL38" s="319"/>
      <c r="AM38" s="319"/>
      <c r="AN38" s="319"/>
      <c r="AO38" s="319"/>
      <c r="AP38" s="319"/>
    </row>
    <row r="39" spans="2:42" ht="11.9" customHeight="1">
      <c r="B39" s="642">
        <f t="shared" si="5"/>
        <v>21</v>
      </c>
      <c r="C39" s="2072" t="s">
        <v>339</v>
      </c>
      <c r="D39" s="2075"/>
      <c r="E39" s="2076"/>
      <c r="F39" s="646"/>
      <c r="G39" s="1098">
        <f>$U39/12</f>
        <v>0</v>
      </c>
      <c r="H39" s="1098">
        <f t="shared" si="17"/>
        <v>0</v>
      </c>
      <c r="I39" s="1098">
        <f t="shared" si="17"/>
        <v>0</v>
      </c>
      <c r="J39" s="1098">
        <f t="shared" si="17"/>
        <v>0</v>
      </c>
      <c r="K39" s="1098">
        <f t="shared" si="17"/>
        <v>0</v>
      </c>
      <c r="L39" s="1098">
        <f t="shared" si="17"/>
        <v>0</v>
      </c>
      <c r="M39" s="1098">
        <f t="shared" si="17"/>
        <v>0</v>
      </c>
      <c r="N39" s="1098">
        <f t="shared" si="17"/>
        <v>0</v>
      </c>
      <c r="O39" s="1098">
        <f t="shared" si="17"/>
        <v>0</v>
      </c>
      <c r="P39" s="1098">
        <f t="shared" si="17"/>
        <v>0</v>
      </c>
      <c r="Q39" s="1098">
        <f t="shared" si="17"/>
        <v>0</v>
      </c>
      <c r="R39" s="1098">
        <f t="shared" si="17"/>
        <v>0</v>
      </c>
      <c r="S39" s="1375">
        <f t="shared" ref="S39:S45" si="18">SUM(G39:R39)</f>
        <v>0</v>
      </c>
      <c r="T39" s="1373">
        <f>U39-S39</f>
        <v>0</v>
      </c>
      <c r="U39" s="1762">
        <f>IF(H6=1,'2. T7 LÅN'!H47,'2. T7 LÅN'!K47)</f>
        <v>0</v>
      </c>
      <c r="V39" s="53"/>
      <c r="W39" s="53"/>
      <c r="X39" s="53"/>
      <c r="Y39" s="53"/>
      <c r="AH39" s="319"/>
      <c r="AI39" s="319"/>
      <c r="AJ39" s="319"/>
      <c r="AK39" s="319"/>
      <c r="AL39" s="319"/>
      <c r="AM39" s="319"/>
      <c r="AN39" s="319"/>
      <c r="AO39" s="319"/>
      <c r="AP39" s="319"/>
    </row>
    <row r="40" spans="2:42" ht="11.9" customHeight="1">
      <c r="B40" s="642">
        <f t="shared" si="5"/>
        <v>22</v>
      </c>
      <c r="C40" s="2072" t="s">
        <v>340</v>
      </c>
      <c r="D40" s="2073"/>
      <c r="E40" s="2074"/>
      <c r="F40" s="658"/>
      <c r="G40" s="1098">
        <f>$U40/12</f>
        <v>0</v>
      </c>
      <c r="H40" s="1098">
        <f t="shared" si="17"/>
        <v>0</v>
      </c>
      <c r="I40" s="1098">
        <f t="shared" si="17"/>
        <v>0</v>
      </c>
      <c r="J40" s="1098">
        <f t="shared" si="17"/>
        <v>0</v>
      </c>
      <c r="K40" s="1098">
        <f t="shared" si="17"/>
        <v>0</v>
      </c>
      <c r="L40" s="1098">
        <f t="shared" si="17"/>
        <v>0</v>
      </c>
      <c r="M40" s="1098">
        <f t="shared" si="17"/>
        <v>0</v>
      </c>
      <c r="N40" s="1098">
        <f t="shared" si="17"/>
        <v>0</v>
      </c>
      <c r="O40" s="1098">
        <f t="shared" si="17"/>
        <v>0</v>
      </c>
      <c r="P40" s="1098">
        <f t="shared" si="17"/>
        <v>0</v>
      </c>
      <c r="Q40" s="1098">
        <f t="shared" si="17"/>
        <v>0</v>
      </c>
      <c r="R40" s="1098">
        <f t="shared" si="17"/>
        <v>0</v>
      </c>
      <c r="S40" s="1375">
        <f t="shared" si="18"/>
        <v>0</v>
      </c>
      <c r="T40" s="1373">
        <f>U40-S40</f>
        <v>0</v>
      </c>
      <c r="U40" s="1762">
        <f>-IF(H6=1,'7. T2 RESULTATB.'!G27,'7. T2 RESULTATB.'!I27)</f>
        <v>0</v>
      </c>
      <c r="V40" s="53"/>
      <c r="W40" s="53"/>
      <c r="X40" s="53"/>
      <c r="Y40" s="53"/>
      <c r="Z40" s="2083"/>
      <c r="AA40" s="2084"/>
      <c r="AB40" s="2078"/>
      <c r="AC40" s="2078"/>
      <c r="AD40" s="2078"/>
      <c r="AE40" s="2078"/>
      <c r="AF40" s="2078"/>
      <c r="AG40" s="2078"/>
      <c r="AH40" s="319"/>
      <c r="AI40" s="319"/>
      <c r="AJ40" s="319"/>
      <c r="AK40" s="319"/>
      <c r="AL40" s="319"/>
      <c r="AM40" s="319"/>
      <c r="AN40" s="319"/>
      <c r="AO40" s="319"/>
      <c r="AP40" s="319"/>
    </row>
    <row r="41" spans="2:42" ht="11.9" customHeight="1">
      <c r="B41" s="642">
        <f t="shared" si="5"/>
        <v>23</v>
      </c>
      <c r="C41" s="677" t="s">
        <v>341</v>
      </c>
      <c r="D41" s="678"/>
      <c r="E41" s="668"/>
      <c r="F41" s="658"/>
      <c r="G41" s="1098">
        <v>0</v>
      </c>
      <c r="H41" s="1098"/>
      <c r="I41" s="1098"/>
      <c r="J41" s="1098"/>
      <c r="K41" s="1098"/>
      <c r="L41" s="1098"/>
      <c r="M41" s="1098"/>
      <c r="N41" s="1098"/>
      <c r="O41" s="1098"/>
      <c r="P41" s="1098"/>
      <c r="Q41" s="1098"/>
      <c r="R41" s="1098"/>
      <c r="S41" s="1375">
        <f t="shared" si="18"/>
        <v>0</v>
      </c>
      <c r="U41" s="1767"/>
      <c r="V41" s="53"/>
      <c r="W41" s="53"/>
      <c r="X41" s="53"/>
      <c r="Y41" s="53"/>
      <c r="Z41" s="2083"/>
      <c r="AA41" s="2084"/>
      <c r="AB41" s="2078"/>
      <c r="AC41" s="2078"/>
      <c r="AD41" s="2078"/>
      <c r="AE41" s="2078"/>
      <c r="AF41" s="2078"/>
      <c r="AG41" s="2078"/>
      <c r="AH41" s="319"/>
      <c r="AI41" s="319"/>
      <c r="AJ41" s="319"/>
      <c r="AK41" s="319"/>
      <c r="AL41" s="319"/>
      <c r="AM41" s="319"/>
      <c r="AN41" s="319"/>
      <c r="AO41" s="319"/>
      <c r="AP41" s="319"/>
    </row>
    <row r="42" spans="2:42" ht="11.9" customHeight="1">
      <c r="B42" s="642">
        <f t="shared" si="5"/>
        <v>24</v>
      </c>
      <c r="C42" s="2072" t="s">
        <v>572</v>
      </c>
      <c r="D42" s="2073"/>
      <c r="E42" s="2074"/>
      <c r="F42" s="658"/>
      <c r="G42" s="1098">
        <f>$U42/12</f>
        <v>0</v>
      </c>
      <c r="H42" s="1098">
        <f t="shared" ref="H42:Q42" si="19">$U42/12</f>
        <v>0</v>
      </c>
      <c r="I42" s="1098">
        <f t="shared" si="19"/>
        <v>0</v>
      </c>
      <c r="J42" s="1098">
        <f t="shared" si="19"/>
        <v>0</v>
      </c>
      <c r="K42" s="1098">
        <f t="shared" si="19"/>
        <v>0</v>
      </c>
      <c r="L42" s="1098">
        <f t="shared" si="19"/>
        <v>0</v>
      </c>
      <c r="M42" s="1098">
        <f t="shared" si="19"/>
        <v>0</v>
      </c>
      <c r="N42" s="1098">
        <f t="shared" si="19"/>
        <v>0</v>
      </c>
      <c r="O42" s="1098">
        <f t="shared" si="19"/>
        <v>0</v>
      </c>
      <c r="P42" s="1098">
        <f t="shared" si="19"/>
        <v>0</v>
      </c>
      <c r="Q42" s="1098">
        <f t="shared" si="19"/>
        <v>0</v>
      </c>
      <c r="R42" s="1098">
        <f>$U42/12</f>
        <v>0</v>
      </c>
      <c r="S42" s="1375">
        <f t="shared" si="18"/>
        <v>0</v>
      </c>
      <c r="T42" s="1373">
        <f>U42-S42</f>
        <v>0</v>
      </c>
      <c r="U42" s="1762">
        <f>IF(H6=1,'3. E1 KOSTNADER'!D128,'3. E1 KOSTNADER'!F128)</f>
        <v>0</v>
      </c>
      <c r="V42" s="53"/>
      <c r="W42" s="53"/>
      <c r="X42" s="53"/>
      <c r="Y42" s="53"/>
      <c r="Z42" s="2084"/>
      <c r="AA42" s="2084"/>
      <c r="AB42" s="2078"/>
      <c r="AC42" s="2078"/>
      <c r="AD42" s="2078"/>
      <c r="AE42" s="2078"/>
      <c r="AF42" s="2078"/>
      <c r="AG42" s="2078"/>
      <c r="AH42" s="319"/>
      <c r="AI42" s="319"/>
      <c r="AJ42" s="319"/>
      <c r="AK42" s="319"/>
      <c r="AL42" s="319"/>
      <c r="AM42" s="319"/>
      <c r="AN42" s="319"/>
      <c r="AO42" s="319"/>
      <c r="AP42" s="319"/>
    </row>
    <row r="43" spans="2:42" ht="11.9" customHeight="1">
      <c r="B43" s="642">
        <f t="shared" si="5"/>
        <v>25</v>
      </c>
      <c r="C43" s="2125" t="s">
        <v>703</v>
      </c>
      <c r="D43" s="2126"/>
      <c r="E43" s="2127"/>
      <c r="F43" s="658"/>
      <c r="G43" s="1098">
        <v>0</v>
      </c>
      <c r="H43" s="1098">
        <v>0</v>
      </c>
      <c r="I43" s="1098">
        <v>0</v>
      </c>
      <c r="J43" s="1098">
        <v>0</v>
      </c>
      <c r="K43" s="1098">
        <v>0</v>
      </c>
      <c r="L43" s="1098">
        <v>0</v>
      </c>
      <c r="M43" s="1098">
        <v>0</v>
      </c>
      <c r="N43" s="1098">
        <v>0</v>
      </c>
      <c r="O43" s="1098">
        <v>0</v>
      </c>
      <c r="P43" s="1098">
        <v>0</v>
      </c>
      <c r="Q43" s="1098">
        <v>0</v>
      </c>
      <c r="R43" s="1098">
        <v>0</v>
      </c>
      <c r="S43" s="1375">
        <f t="shared" si="18"/>
        <v>0</v>
      </c>
      <c r="U43" s="1760"/>
      <c r="V43" s="53"/>
      <c r="W43" s="53"/>
      <c r="X43" s="53"/>
      <c r="Y43" s="53"/>
      <c r="Z43" s="2084"/>
      <c r="AA43" s="2084"/>
      <c r="AB43" s="2078"/>
      <c r="AC43" s="2078"/>
      <c r="AD43" s="2078"/>
      <c r="AE43" s="2078"/>
      <c r="AF43" s="2078"/>
      <c r="AG43" s="2078"/>
      <c r="AH43" s="319"/>
      <c r="AI43" s="319"/>
      <c r="AJ43" s="319"/>
      <c r="AK43" s="319"/>
      <c r="AL43" s="319"/>
      <c r="AM43" s="319"/>
      <c r="AN43" s="319"/>
      <c r="AO43" s="319"/>
      <c r="AP43" s="319"/>
    </row>
    <row r="44" spans="2:42" ht="11.9" customHeight="1" thickBot="1">
      <c r="B44" s="1618">
        <f t="shared" si="5"/>
        <v>26</v>
      </c>
      <c r="C44" s="2104"/>
      <c r="D44" s="2105"/>
      <c r="E44" s="2106"/>
      <c r="F44" s="658"/>
      <c r="G44" s="1619">
        <v>0</v>
      </c>
      <c r="H44" s="1619"/>
      <c r="I44" s="1619"/>
      <c r="J44" s="1619"/>
      <c r="K44" s="1619"/>
      <c r="L44" s="1619"/>
      <c r="M44" s="1619"/>
      <c r="N44" s="1619"/>
      <c r="O44" s="1619"/>
      <c r="P44" s="1619"/>
      <c r="Q44" s="1619"/>
      <c r="R44" s="1619">
        <v>0</v>
      </c>
      <c r="S44" s="1617">
        <f t="shared" si="18"/>
        <v>0</v>
      </c>
      <c r="U44" s="6"/>
      <c r="V44" s="53"/>
      <c r="W44" s="53"/>
      <c r="X44" s="53"/>
      <c r="Y44" s="53"/>
      <c r="Z44" s="178"/>
      <c r="AA44" s="178"/>
      <c r="AB44" s="357"/>
      <c r="AC44" s="357"/>
      <c r="AD44" s="178"/>
      <c r="AE44" s="178"/>
      <c r="AF44" s="178"/>
      <c r="AG44" s="178"/>
      <c r="AH44" s="178"/>
      <c r="AI44" s="178"/>
      <c r="AJ44" s="178"/>
      <c r="AK44" s="178"/>
      <c r="AL44" s="178"/>
      <c r="AM44" s="178"/>
      <c r="AN44" s="178"/>
      <c r="AO44" s="178"/>
      <c r="AP44" s="178"/>
    </row>
    <row r="45" spans="2:42" ht="14.4" customHeight="1" thickTop="1" thickBot="1">
      <c r="B45" s="1743"/>
      <c r="C45" s="2095" t="s">
        <v>342</v>
      </c>
      <c r="D45" s="2096"/>
      <c r="E45" s="2097"/>
      <c r="F45" s="1744"/>
      <c r="G45" s="1745">
        <f t="shared" ref="G45:R45" si="20">SUM(G23:G44)</f>
        <v>0</v>
      </c>
      <c r="H45" s="1745">
        <f t="shared" si="20"/>
        <v>0</v>
      </c>
      <c r="I45" s="1745">
        <f t="shared" si="20"/>
        <v>0</v>
      </c>
      <c r="J45" s="1745">
        <f t="shared" si="20"/>
        <v>0</v>
      </c>
      <c r="K45" s="1745">
        <f t="shared" si="20"/>
        <v>0</v>
      </c>
      <c r="L45" s="1745">
        <f t="shared" si="20"/>
        <v>0</v>
      </c>
      <c r="M45" s="1745">
        <f t="shared" si="20"/>
        <v>0</v>
      </c>
      <c r="N45" s="1745">
        <f t="shared" si="20"/>
        <v>0</v>
      </c>
      <c r="O45" s="1745">
        <f t="shared" si="20"/>
        <v>0</v>
      </c>
      <c r="P45" s="1745">
        <f t="shared" si="20"/>
        <v>0</v>
      </c>
      <c r="Q45" s="1745">
        <f t="shared" si="20"/>
        <v>0</v>
      </c>
      <c r="R45" s="1745">
        <f t="shared" si="20"/>
        <v>0</v>
      </c>
      <c r="S45" s="1746">
        <f t="shared" si="18"/>
        <v>0</v>
      </c>
      <c r="U45" s="2062" t="s">
        <v>699</v>
      </c>
      <c r="V45" s="53"/>
      <c r="W45" s="53"/>
      <c r="X45" s="53"/>
      <c r="Y45" s="53"/>
    </row>
    <row r="46" spans="2:42" ht="4.4000000000000004" customHeight="1" thickTop="1" thickBot="1">
      <c r="B46" s="1620"/>
      <c r="C46" s="1621"/>
      <c r="D46" s="170"/>
      <c r="E46" s="170"/>
      <c r="F46" s="1622"/>
      <c r="G46" s="1623"/>
      <c r="H46" s="1623"/>
      <c r="I46" s="1623"/>
      <c r="J46" s="1623"/>
      <c r="K46" s="1623"/>
      <c r="L46" s="1623"/>
      <c r="M46" s="1623"/>
      <c r="N46" s="1623"/>
      <c r="O46" s="1623"/>
      <c r="P46" s="1623"/>
      <c r="Q46" s="1623"/>
      <c r="R46" s="1623"/>
      <c r="S46" s="1624"/>
      <c r="U46" s="2062"/>
      <c r="V46" s="53"/>
      <c r="W46" s="53"/>
      <c r="X46" s="53"/>
      <c r="Y46" s="53"/>
    </row>
    <row r="47" spans="2:42" ht="14.15" customHeight="1" thickBot="1">
      <c r="B47" s="2086" t="s">
        <v>343</v>
      </c>
      <c r="C47" s="2087"/>
      <c r="D47" s="2087"/>
      <c r="E47" s="2088"/>
      <c r="F47" s="1513">
        <v>0</v>
      </c>
      <c r="G47" s="1514" t="str">
        <f t="shared" ref="G47:R47" si="21">G22</f>
        <v>jan</v>
      </c>
      <c r="H47" s="1514" t="str">
        <f t="shared" si="21"/>
        <v>feb</v>
      </c>
      <c r="I47" s="1514" t="str">
        <f t="shared" si="21"/>
        <v>mars</v>
      </c>
      <c r="J47" s="1514" t="str">
        <f t="shared" si="21"/>
        <v>april</v>
      </c>
      <c r="K47" s="1514" t="str">
        <f t="shared" si="21"/>
        <v>maj</v>
      </c>
      <c r="L47" s="1514" t="str">
        <f t="shared" si="21"/>
        <v>juni</v>
      </c>
      <c r="M47" s="1514" t="str">
        <f t="shared" si="21"/>
        <v>juli</v>
      </c>
      <c r="N47" s="1514" t="str">
        <f t="shared" si="21"/>
        <v>aug</v>
      </c>
      <c r="O47" s="1514" t="str">
        <f t="shared" si="21"/>
        <v>sep</v>
      </c>
      <c r="P47" s="1514" t="str">
        <f t="shared" si="21"/>
        <v>okt</v>
      </c>
      <c r="Q47" s="1514" t="str">
        <f t="shared" si="21"/>
        <v>nov</v>
      </c>
      <c r="R47" s="1514" t="str">
        <f t="shared" si="21"/>
        <v>dec</v>
      </c>
      <c r="S47" s="1512" t="str">
        <f>S10</f>
        <v>SLGT</v>
      </c>
      <c r="T47" s="1611" t="s">
        <v>618</v>
      </c>
      <c r="U47" s="2063"/>
      <c r="V47" s="53"/>
      <c r="W47" s="53"/>
      <c r="X47" s="53"/>
      <c r="Y47" s="53"/>
    </row>
    <row r="48" spans="2:42" ht="11.9" customHeight="1">
      <c r="B48" s="659">
        <v>27</v>
      </c>
      <c r="C48" s="2072" t="s">
        <v>344</v>
      </c>
      <c r="D48" s="2075"/>
      <c r="E48" s="2076"/>
      <c r="F48" s="646"/>
      <c r="G48" s="1098">
        <f>$U48/12</f>
        <v>0</v>
      </c>
      <c r="H48" s="1098">
        <f t="shared" ref="H48:R48" si="22">$U48/12</f>
        <v>0</v>
      </c>
      <c r="I48" s="1098">
        <f t="shared" si="22"/>
        <v>0</v>
      </c>
      <c r="J48" s="1098">
        <f t="shared" si="22"/>
        <v>0</v>
      </c>
      <c r="K48" s="1098">
        <f t="shared" si="22"/>
        <v>0</v>
      </c>
      <c r="L48" s="1098">
        <f t="shared" si="22"/>
        <v>0</v>
      </c>
      <c r="M48" s="1098">
        <f t="shared" si="22"/>
        <v>0</v>
      </c>
      <c r="N48" s="1098">
        <f t="shared" si="22"/>
        <v>0</v>
      </c>
      <c r="O48" s="1098">
        <f t="shared" si="22"/>
        <v>0</v>
      </c>
      <c r="P48" s="1098">
        <f t="shared" si="22"/>
        <v>0</v>
      </c>
      <c r="Q48" s="1098">
        <f t="shared" si="22"/>
        <v>0</v>
      </c>
      <c r="R48" s="1098">
        <f t="shared" si="22"/>
        <v>0</v>
      </c>
      <c r="S48" s="1375">
        <f t="shared" ref="S48:S53" si="23">SUM(G48:R48)</f>
        <v>0</v>
      </c>
      <c r="T48" s="1373">
        <f>U48-S48</f>
        <v>0</v>
      </c>
      <c r="U48" s="1762">
        <f>IF(H6=1,'2. T7 LÅN'!G37+'2. T7 LÅN'!H37,'2. T7 LÅN'!J37+'2. T7 LÅN'!K37)</f>
        <v>0</v>
      </c>
      <c r="V48" s="53"/>
      <c r="W48" s="53"/>
      <c r="X48" s="53"/>
      <c r="Y48" s="53"/>
      <c r="Z48" s="53"/>
      <c r="AA48" s="53"/>
      <c r="AB48" s="53"/>
      <c r="AC48" s="53"/>
      <c r="AD48" s="53"/>
      <c r="AE48" s="53"/>
      <c r="AF48" s="53"/>
      <c r="AG48" s="53"/>
      <c r="AH48" s="53"/>
      <c r="AI48" s="53"/>
      <c r="AJ48" s="53"/>
      <c r="AK48" s="53"/>
      <c r="AL48" s="53"/>
      <c r="AM48" s="53"/>
      <c r="AN48" s="53"/>
      <c r="AO48" s="53"/>
      <c r="AP48" s="53"/>
    </row>
    <row r="49" spans="2:42" ht="11.9" customHeight="1">
      <c r="B49" s="659">
        <f>B48+1</f>
        <v>28</v>
      </c>
      <c r="C49" s="2098" t="s">
        <v>345</v>
      </c>
      <c r="D49" s="2099"/>
      <c r="E49" s="2100"/>
      <c r="F49" s="650"/>
      <c r="G49" s="1099">
        <f>U49</f>
        <v>0</v>
      </c>
      <c r="H49" s="1099"/>
      <c r="I49" s="1099"/>
      <c r="J49" s="1099">
        <v>0</v>
      </c>
      <c r="K49" s="1099">
        <v>0</v>
      </c>
      <c r="L49" s="1099"/>
      <c r="M49" s="1099"/>
      <c r="N49" s="1099"/>
      <c r="O49" s="1099"/>
      <c r="P49" s="1099">
        <v>0</v>
      </c>
      <c r="Q49" s="1099"/>
      <c r="R49" s="1099">
        <v>0</v>
      </c>
      <c r="S49" s="1092">
        <f t="shared" si="23"/>
        <v>0</v>
      </c>
      <c r="T49" s="1373">
        <f>U49-S49</f>
        <v>0</v>
      </c>
      <c r="U49" s="1762">
        <f>IF(H6=1,'2. T7 LÅN'!F47,'2. T7 LÅN'!I47)</f>
        <v>0</v>
      </c>
      <c r="V49" s="53"/>
      <c r="W49" s="53"/>
      <c r="X49" s="53"/>
      <c r="Y49" s="53"/>
      <c r="Z49" s="53"/>
      <c r="AA49" s="53"/>
      <c r="AB49" s="53"/>
      <c r="AC49" s="53"/>
      <c r="AD49" s="53"/>
      <c r="AE49" s="53"/>
      <c r="AF49" s="53"/>
      <c r="AG49" s="53"/>
      <c r="AH49" s="53"/>
      <c r="AI49" s="53"/>
      <c r="AJ49" s="53"/>
      <c r="AK49" s="53"/>
      <c r="AL49" s="53"/>
      <c r="AM49" s="53"/>
      <c r="AN49" s="53"/>
      <c r="AO49" s="53"/>
      <c r="AP49" s="53"/>
    </row>
    <row r="50" spans="2:42" ht="11.9" customHeight="1">
      <c r="B50" s="659">
        <f>B49+1</f>
        <v>29</v>
      </c>
      <c r="C50" s="2072" t="s">
        <v>563</v>
      </c>
      <c r="D50" s="2075"/>
      <c r="E50" s="2076"/>
      <c r="F50" s="646"/>
      <c r="G50" s="1098">
        <f>$U50/12</f>
        <v>0</v>
      </c>
      <c r="H50" s="1098">
        <f t="shared" ref="H50:Q50" si="24">$U50/12</f>
        <v>0</v>
      </c>
      <c r="I50" s="1098">
        <f t="shared" si="24"/>
        <v>0</v>
      </c>
      <c r="J50" s="1098">
        <f t="shared" si="24"/>
        <v>0</v>
      </c>
      <c r="K50" s="1098">
        <f t="shared" si="24"/>
        <v>0</v>
      </c>
      <c r="L50" s="1098">
        <f t="shared" si="24"/>
        <v>0</v>
      </c>
      <c r="M50" s="1098">
        <f t="shared" si="24"/>
        <v>0</v>
      </c>
      <c r="N50" s="1098">
        <f t="shared" si="24"/>
        <v>0</v>
      </c>
      <c r="O50" s="1098">
        <f t="shared" si="24"/>
        <v>0</v>
      </c>
      <c r="P50" s="1098">
        <f t="shared" si="24"/>
        <v>0</v>
      </c>
      <c r="Q50" s="1098">
        <f t="shared" si="24"/>
        <v>0</v>
      </c>
      <c r="R50" s="1098">
        <f>$U50/12</f>
        <v>0</v>
      </c>
      <c r="S50" s="1375">
        <f t="shared" si="23"/>
        <v>0</v>
      </c>
      <c r="T50" s="1373">
        <f>U50-S50</f>
        <v>0</v>
      </c>
      <c r="U50" s="1762">
        <f>IF(H6=1,'2. T7 LÅN'!G32,'2. T7 LÅN'!J32)</f>
        <v>0</v>
      </c>
      <c r="V50" s="53"/>
      <c r="W50" s="53"/>
      <c r="X50" s="53"/>
      <c r="Y50" s="53"/>
      <c r="Z50" s="53"/>
      <c r="AA50" s="53"/>
      <c r="AB50" s="53"/>
      <c r="AC50" s="53"/>
      <c r="AD50" s="53"/>
      <c r="AE50" s="53"/>
      <c r="AF50" s="53"/>
      <c r="AG50" s="53"/>
      <c r="AH50" s="53"/>
      <c r="AI50" s="53"/>
      <c r="AJ50" s="53"/>
      <c r="AK50" s="53"/>
      <c r="AL50" s="53"/>
      <c r="AM50" s="53"/>
      <c r="AN50" s="53"/>
      <c r="AO50" s="53"/>
      <c r="AP50" s="53"/>
    </row>
    <row r="51" spans="2:42" ht="11.9" customHeight="1">
      <c r="B51" s="659">
        <f>B50+1</f>
        <v>30</v>
      </c>
      <c r="C51" s="2072" t="s">
        <v>346</v>
      </c>
      <c r="D51" s="2075"/>
      <c r="E51" s="2076"/>
      <c r="F51" s="646"/>
      <c r="G51" s="1098"/>
      <c r="H51" s="1098"/>
      <c r="I51" s="1098"/>
      <c r="J51" s="1098"/>
      <c r="K51" s="1098"/>
      <c r="L51" s="1098"/>
      <c r="M51" s="1098"/>
      <c r="N51" s="1098"/>
      <c r="O51" s="1098"/>
      <c r="P51" s="1098"/>
      <c r="Q51" s="1098"/>
      <c r="R51" s="1098"/>
      <c r="S51" s="1375">
        <f t="shared" si="23"/>
        <v>0</v>
      </c>
      <c r="U51" s="1768"/>
    </row>
    <row r="52" spans="2:42" ht="11.9" customHeight="1">
      <c r="B52" s="659">
        <f>B51+1</f>
        <v>31</v>
      </c>
      <c r="C52" s="2072" t="s">
        <v>611</v>
      </c>
      <c r="D52" s="2073"/>
      <c r="E52" s="2074"/>
      <c r="F52" s="646"/>
      <c r="G52" s="1098">
        <f>U52</f>
        <v>0</v>
      </c>
      <c r="H52" s="1098"/>
      <c r="I52" s="1098"/>
      <c r="J52" s="1098"/>
      <c r="K52" s="1098"/>
      <c r="L52" s="1098"/>
      <c r="M52" s="1098"/>
      <c r="N52" s="1098"/>
      <c r="O52" s="1098"/>
      <c r="P52" s="1098"/>
      <c r="Q52" s="1098"/>
      <c r="R52" s="1098"/>
      <c r="S52" s="1375">
        <f t="shared" si="23"/>
        <v>0</v>
      </c>
      <c r="T52" s="1373">
        <f>U52-S52</f>
        <v>0</v>
      </c>
      <c r="U52" s="1762">
        <f>IF(H$6=1,0,'1. T1 INVESTERINGSP.'!E48+'1. T1 INVESTERINGSP.'!E49)</f>
        <v>0</v>
      </c>
    </row>
    <row r="53" spans="2:42" ht="11.9" customHeight="1" thickBot="1">
      <c r="B53" s="647">
        <f>B52+1</f>
        <v>32</v>
      </c>
      <c r="C53" s="2089" t="s">
        <v>612</v>
      </c>
      <c r="D53" s="2090"/>
      <c r="E53" s="2091"/>
      <c r="F53" s="658"/>
      <c r="G53" s="1619">
        <f>U53</f>
        <v>0</v>
      </c>
      <c r="H53" s="1619"/>
      <c r="I53" s="1619"/>
      <c r="J53" s="1619"/>
      <c r="K53" s="1619"/>
      <c r="L53" s="1619">
        <v>0</v>
      </c>
      <c r="M53" s="1619"/>
      <c r="N53" s="1619"/>
      <c r="O53" s="1619"/>
      <c r="P53" s="1619"/>
      <c r="Q53" s="1619"/>
      <c r="R53" s="1619"/>
      <c r="S53" s="1617">
        <f t="shared" si="23"/>
        <v>0</v>
      </c>
      <c r="T53" s="1373">
        <f>U53-S53</f>
        <v>0</v>
      </c>
      <c r="U53" s="1762">
        <f>IF(H$6=1,0,'1. T1 INVESTERINGSP.'!E51+'1. T1 INVESTERINGSP.'!E52)</f>
        <v>0</v>
      </c>
    </row>
    <row r="54" spans="2:42" ht="13.3" thickTop="1" thickBot="1">
      <c r="B54" s="1747"/>
      <c r="C54" s="2085" t="s">
        <v>347</v>
      </c>
      <c r="D54" s="2085"/>
      <c r="E54" s="2085"/>
      <c r="F54" s="1747"/>
      <c r="G54" s="1748">
        <f>-G48+G49-G50-G51+G52+G53</f>
        <v>0</v>
      </c>
      <c r="H54" s="1748">
        <f t="shared" ref="H54:R54" si="25">-H48+H49-H50-H51+H52+H53</f>
        <v>0</v>
      </c>
      <c r="I54" s="1748">
        <f t="shared" si="25"/>
        <v>0</v>
      </c>
      <c r="J54" s="1748">
        <f t="shared" si="25"/>
        <v>0</v>
      </c>
      <c r="K54" s="1748">
        <f t="shared" si="25"/>
        <v>0</v>
      </c>
      <c r="L54" s="1748">
        <f t="shared" si="25"/>
        <v>0</v>
      </c>
      <c r="M54" s="1748">
        <f t="shared" si="25"/>
        <v>0</v>
      </c>
      <c r="N54" s="1748">
        <f t="shared" si="25"/>
        <v>0</v>
      </c>
      <c r="O54" s="1748">
        <f t="shared" si="25"/>
        <v>0</v>
      </c>
      <c r="P54" s="1748">
        <f t="shared" si="25"/>
        <v>0</v>
      </c>
      <c r="Q54" s="1748">
        <f t="shared" si="25"/>
        <v>0</v>
      </c>
      <c r="R54" s="1748">
        <f t="shared" si="25"/>
        <v>0</v>
      </c>
      <c r="S54" s="1749">
        <f>-S48+S49-S50-S51+S52+S53</f>
        <v>0</v>
      </c>
      <c r="U54" s="137"/>
    </row>
    <row r="55" spans="2:42" ht="4.4000000000000004" customHeight="1" thickTop="1">
      <c r="B55" s="660"/>
      <c r="C55" s="660"/>
      <c r="D55" s="660"/>
      <c r="E55" s="660"/>
      <c r="F55" s="661"/>
      <c r="G55" s="1100"/>
      <c r="H55" s="1100"/>
      <c r="I55" s="1100"/>
      <c r="J55" s="1100"/>
      <c r="K55" s="1100"/>
      <c r="L55" s="1100"/>
      <c r="M55" s="1100"/>
      <c r="N55" s="1100"/>
      <c r="O55" s="1100"/>
      <c r="P55" s="1100"/>
      <c r="Q55" s="1100"/>
      <c r="R55" s="1100"/>
      <c r="S55" s="1101"/>
      <c r="U55" s="137"/>
    </row>
    <row r="56" spans="2:42" ht="12.9" thickBot="1">
      <c r="B56" s="1632">
        <v>33</v>
      </c>
      <c r="C56" s="2121" t="s">
        <v>608</v>
      </c>
      <c r="D56" s="2121"/>
      <c r="E56" s="2121"/>
      <c r="F56" s="2122"/>
      <c r="G56" s="1102">
        <f t="shared" ref="G56:R56" si="26">G20-G45+G54</f>
        <v>0</v>
      </c>
      <c r="H56" s="1102">
        <f t="shared" si="26"/>
        <v>0</v>
      </c>
      <c r="I56" s="1102">
        <f t="shared" si="26"/>
        <v>0</v>
      </c>
      <c r="J56" s="1102">
        <f t="shared" si="26"/>
        <v>0</v>
      </c>
      <c r="K56" s="1102">
        <f t="shared" si="26"/>
        <v>0</v>
      </c>
      <c r="L56" s="1102">
        <f t="shared" si="26"/>
        <v>0</v>
      </c>
      <c r="M56" s="1102">
        <f t="shared" si="26"/>
        <v>0</v>
      </c>
      <c r="N56" s="1102">
        <f t="shared" si="26"/>
        <v>0</v>
      </c>
      <c r="O56" s="1102">
        <f t="shared" si="26"/>
        <v>0</v>
      </c>
      <c r="P56" s="1102">
        <f t="shared" si="26"/>
        <v>0</v>
      </c>
      <c r="Q56" s="1102">
        <f t="shared" si="26"/>
        <v>0</v>
      </c>
      <c r="R56" s="1755">
        <f t="shared" si="26"/>
        <v>0</v>
      </c>
      <c r="S56" s="1102">
        <f>SUM(G56:R56)</f>
        <v>0</v>
      </c>
      <c r="U56" s="137"/>
    </row>
    <row r="57" spans="2:42" ht="12.9" thickBot="1">
      <c r="B57" s="1631">
        <v>34</v>
      </c>
      <c r="C57" s="2129" t="s">
        <v>609</v>
      </c>
      <c r="D57" s="2129"/>
      <c r="E57" s="2129"/>
      <c r="F57" s="2130"/>
      <c r="G57" s="1102">
        <f t="shared" ref="G57:R57" si="27">G11+G56+G12</f>
        <v>0</v>
      </c>
      <c r="H57" s="1102">
        <f t="shared" si="27"/>
        <v>0</v>
      </c>
      <c r="I57" s="1102">
        <f t="shared" si="27"/>
        <v>0</v>
      </c>
      <c r="J57" s="1102">
        <f t="shared" si="27"/>
        <v>0</v>
      </c>
      <c r="K57" s="1102">
        <f t="shared" si="27"/>
        <v>0</v>
      </c>
      <c r="L57" s="1102">
        <f t="shared" si="27"/>
        <v>0</v>
      </c>
      <c r="M57" s="1102">
        <f t="shared" si="27"/>
        <v>0</v>
      </c>
      <c r="N57" s="1102">
        <f t="shared" si="27"/>
        <v>0</v>
      </c>
      <c r="O57" s="1102">
        <f t="shared" si="27"/>
        <v>0</v>
      </c>
      <c r="P57" s="1102">
        <f t="shared" si="27"/>
        <v>0</v>
      </c>
      <c r="Q57" s="1754">
        <f t="shared" si="27"/>
        <v>0</v>
      </c>
      <c r="R57" s="1756">
        <f t="shared" si="27"/>
        <v>0</v>
      </c>
      <c r="S57" s="1103"/>
    </row>
    <row r="58" spans="2:42" ht="6.9" customHeight="1">
      <c r="B58" s="162"/>
      <c r="C58" s="162"/>
      <c r="D58" s="52"/>
      <c r="E58" s="52"/>
      <c r="F58" s="89"/>
      <c r="G58" s="55"/>
      <c r="H58" s="55"/>
      <c r="I58" s="55"/>
      <c r="J58" s="55"/>
      <c r="K58" s="55"/>
      <c r="L58" s="55"/>
      <c r="M58" s="55"/>
      <c r="N58" s="55"/>
      <c r="O58" s="55"/>
      <c r="P58" s="55"/>
      <c r="Q58" s="163"/>
      <c r="R58" s="162"/>
      <c r="S58" s="111">
        <v>0</v>
      </c>
    </row>
    <row r="59" spans="2:42">
      <c r="B59" s="52" t="str">
        <f>STARTSIDAN!$G$7</f>
        <v>Tjänsten erbjuds av: Dynamo Närpes och Kristinestads näringslivscentral</v>
      </c>
      <c r="C59" s="52"/>
      <c r="D59" s="52"/>
      <c r="E59" s="52"/>
      <c r="F59" s="89"/>
      <c r="S59" s="161" t="str">
        <f>STARTSIDAN!$G$26</f>
        <v xml:space="preserve">FT6 Det nya företagets resultatplan </v>
      </c>
      <c r="AP59" s="161" t="str">
        <f>S59</f>
        <v xml:space="preserve">FT6 Det nya företagets resultatplan </v>
      </c>
    </row>
    <row r="60" spans="2:42" ht="15" customHeight="1">
      <c r="B60" s="52"/>
      <c r="C60" s="52"/>
      <c r="D60" s="52"/>
      <c r="E60" s="52"/>
      <c r="F60" s="89"/>
      <c r="P60" s="2118"/>
      <c r="Q60" s="2118"/>
      <c r="R60" s="2118"/>
      <c r="S60" s="2118"/>
      <c r="U60" s="52"/>
      <c r="AP60" s="427">
        <f>P60</f>
        <v>0</v>
      </c>
    </row>
    <row r="61" spans="2:42">
      <c r="B61" s="52"/>
      <c r="C61" s="52"/>
      <c r="D61" s="52"/>
      <c r="E61" s="52"/>
      <c r="F61" s="89"/>
    </row>
    <row r="62" spans="2:42" ht="15.45">
      <c r="D62" s="2120" t="s">
        <v>319</v>
      </c>
      <c r="E62" s="2120"/>
      <c r="F62" s="2120"/>
      <c r="I62" s="361" t="str">
        <f>E6</f>
        <v>PROGNOSÅR</v>
      </c>
      <c r="J62" s="73">
        <f>H6</f>
        <v>1</v>
      </c>
      <c r="N62" s="25" t="str">
        <f>O6</f>
        <v>1/202X - 12/202Y</v>
      </c>
    </row>
    <row r="63" spans="2:42" ht="5.25" customHeight="1">
      <c r="D63" s="91"/>
      <c r="E63" s="91"/>
      <c r="F63" s="91"/>
      <c r="H63" s="25"/>
      <c r="N63" s="25"/>
    </row>
    <row r="64" spans="2:42">
      <c r="D64" s="115" t="str">
        <f>B7</f>
        <v>Företag</v>
      </c>
    </row>
    <row r="65" spans="1:17" ht="12.75" customHeight="1">
      <c r="D65" s="173">
        <f>B8</f>
        <v>0</v>
      </c>
      <c r="E65" s="174"/>
      <c r="F65" s="175"/>
      <c r="G65" s="172"/>
      <c r="J65" s="25"/>
      <c r="K65" s="25"/>
      <c r="L65" s="25"/>
      <c r="M65" s="25"/>
      <c r="O65" s="25"/>
      <c r="P65" s="25"/>
      <c r="Q65" s="172"/>
    </row>
    <row r="66" spans="1:17" ht="4.5" customHeight="1"/>
    <row r="71" spans="1:17">
      <c r="A71" s="53"/>
    </row>
    <row r="81" spans="3:18">
      <c r="R81" s="41"/>
    </row>
    <row r="96" spans="3:18">
      <c r="C96" s="2119"/>
      <c r="D96" s="2119"/>
      <c r="E96" s="2119"/>
      <c r="F96" s="1627" t="str">
        <f t="shared" ref="F96:Q96" si="28">G10</f>
        <v>jan</v>
      </c>
      <c r="G96" s="1627" t="str">
        <f t="shared" si="28"/>
        <v>feb</v>
      </c>
      <c r="H96" s="1627" t="str">
        <f t="shared" si="28"/>
        <v>mars</v>
      </c>
      <c r="I96" s="1627" t="str">
        <f t="shared" si="28"/>
        <v>april</v>
      </c>
      <c r="J96" s="1627" t="str">
        <f t="shared" si="28"/>
        <v>maj</v>
      </c>
      <c r="K96" s="1627" t="str">
        <f t="shared" si="28"/>
        <v>juni</v>
      </c>
      <c r="L96" s="1627" t="str">
        <f t="shared" si="28"/>
        <v>juli</v>
      </c>
      <c r="M96" s="1627" t="str">
        <f t="shared" si="28"/>
        <v>aug</v>
      </c>
      <c r="N96" s="1627" t="str">
        <f t="shared" si="28"/>
        <v>sep</v>
      </c>
      <c r="O96" s="1627" t="str">
        <f t="shared" si="28"/>
        <v>okt</v>
      </c>
      <c r="P96" s="1627" t="str">
        <f t="shared" si="28"/>
        <v>nov</v>
      </c>
      <c r="Q96" s="1627" t="str">
        <f t="shared" si="28"/>
        <v>dec</v>
      </c>
      <c r="R96" s="1628" t="s">
        <v>324</v>
      </c>
    </row>
    <row r="97" spans="2:19">
      <c r="C97" s="1365" t="s">
        <v>348</v>
      </c>
      <c r="D97" s="1366"/>
      <c r="E97" s="1629"/>
      <c r="F97" s="1625">
        <f t="shared" ref="F97:Q97" si="29">G56</f>
        <v>0</v>
      </c>
      <c r="G97" s="1625">
        <f t="shared" si="29"/>
        <v>0</v>
      </c>
      <c r="H97" s="1625">
        <f t="shared" si="29"/>
        <v>0</v>
      </c>
      <c r="I97" s="1625">
        <f t="shared" si="29"/>
        <v>0</v>
      </c>
      <c r="J97" s="1625">
        <f t="shared" si="29"/>
        <v>0</v>
      </c>
      <c r="K97" s="1625">
        <f t="shared" si="29"/>
        <v>0</v>
      </c>
      <c r="L97" s="1625">
        <f t="shared" si="29"/>
        <v>0</v>
      </c>
      <c r="M97" s="1625">
        <f t="shared" si="29"/>
        <v>0</v>
      </c>
      <c r="N97" s="1625">
        <f t="shared" si="29"/>
        <v>0</v>
      </c>
      <c r="O97" s="1625">
        <f t="shared" si="29"/>
        <v>0</v>
      </c>
      <c r="P97" s="1625">
        <f t="shared" si="29"/>
        <v>0</v>
      </c>
      <c r="Q97" s="1625">
        <f t="shared" si="29"/>
        <v>0</v>
      </c>
      <c r="R97" s="1626">
        <f>SUM(F97:Q97)</f>
        <v>0</v>
      </c>
    </row>
    <row r="98" spans="2:19">
      <c r="C98" s="1367" t="s">
        <v>349</v>
      </c>
      <c r="D98" s="1368"/>
      <c r="E98" s="1630"/>
      <c r="F98" s="740">
        <f t="shared" ref="F98:Q98" si="30">G57</f>
        <v>0</v>
      </c>
      <c r="G98" s="740">
        <f t="shared" si="30"/>
        <v>0</v>
      </c>
      <c r="H98" s="740">
        <f t="shared" si="30"/>
        <v>0</v>
      </c>
      <c r="I98" s="740">
        <f t="shared" si="30"/>
        <v>0</v>
      </c>
      <c r="J98" s="740">
        <f t="shared" si="30"/>
        <v>0</v>
      </c>
      <c r="K98" s="740">
        <f t="shared" si="30"/>
        <v>0</v>
      </c>
      <c r="L98" s="740">
        <f t="shared" si="30"/>
        <v>0</v>
      </c>
      <c r="M98" s="740">
        <f t="shared" si="30"/>
        <v>0</v>
      </c>
      <c r="N98" s="740">
        <f t="shared" si="30"/>
        <v>0</v>
      </c>
      <c r="O98" s="740">
        <f t="shared" si="30"/>
        <v>0</v>
      </c>
      <c r="P98" s="740">
        <f t="shared" si="30"/>
        <v>0</v>
      </c>
      <c r="Q98" s="740">
        <f t="shared" si="30"/>
        <v>0</v>
      </c>
      <c r="R98" s="741"/>
    </row>
    <row r="99" spans="2:19">
      <c r="C99" s="149"/>
      <c r="D99" s="149"/>
      <c r="E99" s="149"/>
      <c r="F99" s="149"/>
      <c r="G99" s="263"/>
      <c r="H99" s="263"/>
      <c r="I99" s="263"/>
      <c r="J99" s="263"/>
      <c r="K99" s="263"/>
      <c r="L99" s="263"/>
      <c r="M99" s="263"/>
      <c r="N99" s="263"/>
      <c r="O99" s="263"/>
      <c r="P99" s="263"/>
      <c r="Q99" s="263"/>
      <c r="R99" s="263"/>
      <c r="S99" s="349"/>
    </row>
    <row r="100" spans="2:19">
      <c r="C100" s="162"/>
      <c r="E100" s="164"/>
      <c r="F100" s="165"/>
      <c r="G100" s="55"/>
      <c r="H100" s="55"/>
      <c r="I100" s="55"/>
      <c r="J100" s="113"/>
      <c r="K100" s="55"/>
      <c r="L100" s="55"/>
      <c r="M100" s="55"/>
      <c r="N100" s="55"/>
      <c r="O100" s="55"/>
      <c r="P100" s="55"/>
      <c r="Q100" s="163"/>
      <c r="S100" s="161"/>
    </row>
    <row r="101" spans="2:19">
      <c r="B101" s="162" t="str">
        <f>'1. T1 INVESTERINGSP.'!B66</f>
        <v>Tjänsten erbjuds av: Dynamo Närpes och Kristinestads näringslivscentral</v>
      </c>
      <c r="C101" s="20"/>
      <c r="E101" s="112"/>
      <c r="F101" s="134"/>
      <c r="G101" s="110"/>
      <c r="H101" s="110"/>
      <c r="I101" s="110"/>
      <c r="J101" s="114"/>
      <c r="K101" s="110"/>
      <c r="L101" s="110"/>
      <c r="M101" s="110"/>
      <c r="N101" s="110"/>
      <c r="O101" s="110"/>
      <c r="P101" s="110"/>
      <c r="Q101" s="110"/>
      <c r="S101" s="161" t="str">
        <f>STARTSIDAN!G26</f>
        <v xml:space="preserve">FT6 Det nya företagets resultatplan </v>
      </c>
    </row>
    <row r="104" spans="2:19">
      <c r="D104" s="369" t="s">
        <v>350</v>
      </c>
    </row>
    <row r="105" spans="2:19">
      <c r="D105" s="52" t="s">
        <v>351</v>
      </c>
    </row>
    <row r="106" spans="2:19">
      <c r="D106" s="52" t="s">
        <v>352</v>
      </c>
    </row>
    <row r="195" spans="27:216">
      <c r="AA195">
        <v>0</v>
      </c>
      <c r="AB195">
        <v>10</v>
      </c>
      <c r="AC195">
        <v>1.11111111111111E+118</v>
      </c>
      <c r="AD195">
        <v>1</v>
      </c>
      <c r="AE195">
        <v>1</v>
      </c>
      <c r="AF195">
        <v>1</v>
      </c>
      <c r="AG195">
        <v>1</v>
      </c>
      <c r="AH195">
        <v>1</v>
      </c>
      <c r="AI195">
        <v>1</v>
      </c>
      <c r="AO195">
        <v>1</v>
      </c>
      <c r="AP195">
        <v>1</v>
      </c>
      <c r="AQ195">
        <v>1</v>
      </c>
      <c r="AR195">
        <v>1</v>
      </c>
      <c r="AS195">
        <v>1</v>
      </c>
      <c r="AT195">
        <v>1</v>
      </c>
      <c r="AU195">
        <v>1</v>
      </c>
      <c r="AV195">
        <v>1</v>
      </c>
      <c r="AW195">
        <v>1</v>
      </c>
      <c r="AX195">
        <v>1</v>
      </c>
      <c r="AY195">
        <v>1</v>
      </c>
      <c r="AZ195">
        <v>1</v>
      </c>
      <c r="BA195">
        <v>1</v>
      </c>
      <c r="BB195">
        <v>1</v>
      </c>
      <c r="BC195">
        <v>1</v>
      </c>
      <c r="BD195">
        <v>1</v>
      </c>
      <c r="BE195">
        <v>1</v>
      </c>
      <c r="BF195">
        <v>1</v>
      </c>
      <c r="BG195">
        <v>1</v>
      </c>
      <c r="BH195">
        <v>1</v>
      </c>
      <c r="BI195">
        <v>1</v>
      </c>
      <c r="BJ195">
        <v>1</v>
      </c>
      <c r="BK195">
        <v>1</v>
      </c>
      <c r="BL195">
        <v>1</v>
      </c>
      <c r="BM195">
        <v>1</v>
      </c>
      <c r="BN195">
        <v>1</v>
      </c>
      <c r="BO195">
        <v>1</v>
      </c>
      <c r="BP195">
        <v>1</v>
      </c>
      <c r="BQ195">
        <v>1</v>
      </c>
      <c r="BR195">
        <v>1</v>
      </c>
      <c r="BS195">
        <v>1</v>
      </c>
      <c r="BT195">
        <v>1</v>
      </c>
      <c r="BU195">
        <v>1</v>
      </c>
      <c r="BV195">
        <v>1</v>
      </c>
      <c r="BW195">
        <v>1</v>
      </c>
      <c r="BX195">
        <v>1</v>
      </c>
      <c r="BY195">
        <v>1</v>
      </c>
      <c r="BZ195">
        <v>1</v>
      </c>
      <c r="CA195">
        <v>1</v>
      </c>
      <c r="CB195">
        <v>1</v>
      </c>
      <c r="CC195">
        <v>1</v>
      </c>
      <c r="CD195">
        <v>1</v>
      </c>
      <c r="CE195">
        <v>1</v>
      </c>
      <c r="CF195">
        <v>1</v>
      </c>
      <c r="CG195">
        <v>1</v>
      </c>
      <c r="CH195">
        <v>1</v>
      </c>
      <c r="CI195">
        <v>1</v>
      </c>
      <c r="CJ195">
        <v>1</v>
      </c>
      <c r="CK195">
        <v>1</v>
      </c>
      <c r="CL195">
        <v>1</v>
      </c>
      <c r="CM195">
        <v>1</v>
      </c>
      <c r="CN195">
        <v>1</v>
      </c>
      <c r="CO195">
        <v>1</v>
      </c>
      <c r="CP195">
        <v>1</v>
      </c>
      <c r="CQ195">
        <v>1</v>
      </c>
      <c r="CR195">
        <v>1</v>
      </c>
      <c r="CS195">
        <v>1</v>
      </c>
      <c r="CT195">
        <v>1</v>
      </c>
      <c r="CU195">
        <v>1</v>
      </c>
      <c r="CV195">
        <v>1</v>
      </c>
      <c r="CW195">
        <v>1</v>
      </c>
      <c r="CX195">
        <v>1</v>
      </c>
      <c r="CY195">
        <v>1</v>
      </c>
      <c r="CZ195">
        <v>1</v>
      </c>
      <c r="DA195">
        <v>1</v>
      </c>
      <c r="DB195">
        <v>1</v>
      </c>
      <c r="DC195">
        <v>1</v>
      </c>
      <c r="DD195">
        <v>1</v>
      </c>
      <c r="DE195">
        <v>1</v>
      </c>
      <c r="DF195">
        <v>1</v>
      </c>
      <c r="DG195">
        <v>1</v>
      </c>
      <c r="DH195">
        <v>1</v>
      </c>
      <c r="DI195">
        <v>1</v>
      </c>
      <c r="DJ195">
        <v>1</v>
      </c>
      <c r="DK195">
        <v>1</v>
      </c>
      <c r="DL195">
        <v>1</v>
      </c>
      <c r="DM195">
        <v>1</v>
      </c>
      <c r="DN195">
        <v>1</v>
      </c>
      <c r="DO195">
        <v>1</v>
      </c>
      <c r="DP195">
        <v>1</v>
      </c>
      <c r="DQ195">
        <v>1</v>
      </c>
      <c r="DR195">
        <v>1</v>
      </c>
      <c r="DS195">
        <v>1</v>
      </c>
      <c r="DT195">
        <v>1</v>
      </c>
      <c r="DU195">
        <v>1</v>
      </c>
      <c r="DV195">
        <v>1</v>
      </c>
      <c r="DW195">
        <v>1</v>
      </c>
      <c r="DX195">
        <v>1</v>
      </c>
      <c r="DY195">
        <v>1</v>
      </c>
      <c r="DZ195">
        <v>1</v>
      </c>
      <c r="EA195">
        <v>1</v>
      </c>
      <c r="EB195">
        <v>1</v>
      </c>
      <c r="EC195">
        <v>1</v>
      </c>
      <c r="ED195">
        <v>1</v>
      </c>
      <c r="EE195">
        <v>1</v>
      </c>
      <c r="EF195">
        <v>1</v>
      </c>
      <c r="EG195">
        <v>1</v>
      </c>
      <c r="EH195">
        <v>1</v>
      </c>
      <c r="EI195">
        <v>1</v>
      </c>
      <c r="EJ195">
        <v>1</v>
      </c>
      <c r="EK195">
        <v>1</v>
      </c>
      <c r="EL195">
        <v>1</v>
      </c>
      <c r="EM195">
        <v>1</v>
      </c>
      <c r="EN195">
        <v>1</v>
      </c>
      <c r="EO195">
        <v>1</v>
      </c>
      <c r="EP195">
        <v>1</v>
      </c>
      <c r="EQ195">
        <v>1</v>
      </c>
      <c r="ER195">
        <v>1</v>
      </c>
      <c r="ES195">
        <v>1</v>
      </c>
      <c r="ET195">
        <v>1</v>
      </c>
      <c r="EU195">
        <v>1</v>
      </c>
      <c r="EV195">
        <v>1</v>
      </c>
      <c r="EW195">
        <v>1</v>
      </c>
      <c r="EX195">
        <v>1</v>
      </c>
      <c r="EY195">
        <v>1</v>
      </c>
      <c r="EZ195">
        <v>1</v>
      </c>
      <c r="FA195">
        <v>1</v>
      </c>
      <c r="FB195">
        <v>1</v>
      </c>
      <c r="FC195">
        <v>1</v>
      </c>
      <c r="FD195">
        <v>1</v>
      </c>
      <c r="FE195">
        <v>1</v>
      </c>
      <c r="FF195">
        <v>1</v>
      </c>
      <c r="FG195">
        <v>1</v>
      </c>
      <c r="FH195">
        <v>1</v>
      </c>
      <c r="FI195">
        <v>1</v>
      </c>
      <c r="FJ195">
        <v>1</v>
      </c>
      <c r="FK195">
        <v>1</v>
      </c>
      <c r="FL195">
        <v>1</v>
      </c>
      <c r="FM195">
        <v>1</v>
      </c>
      <c r="FN195">
        <v>1</v>
      </c>
      <c r="FO195">
        <v>1</v>
      </c>
      <c r="FP195">
        <v>1</v>
      </c>
      <c r="FQ195">
        <v>1</v>
      </c>
      <c r="FR195">
        <v>1</v>
      </c>
      <c r="FS195">
        <v>1</v>
      </c>
      <c r="FT195">
        <v>1</v>
      </c>
      <c r="FU195">
        <v>1</v>
      </c>
      <c r="FV195">
        <v>1</v>
      </c>
      <c r="FW195">
        <v>1</v>
      </c>
      <c r="FX195">
        <v>1</v>
      </c>
      <c r="FY195">
        <v>1</v>
      </c>
      <c r="FZ195">
        <v>1</v>
      </c>
      <c r="GA195">
        <v>1</v>
      </c>
      <c r="GB195">
        <v>1</v>
      </c>
      <c r="GC195">
        <v>1</v>
      </c>
      <c r="GD195">
        <v>1</v>
      </c>
      <c r="GE195">
        <v>1</v>
      </c>
      <c r="GF195">
        <v>1</v>
      </c>
      <c r="GG195">
        <v>1</v>
      </c>
      <c r="GH195">
        <v>1</v>
      </c>
      <c r="GI195">
        <v>1</v>
      </c>
      <c r="GJ195">
        <v>1</v>
      </c>
      <c r="GK195">
        <v>1</v>
      </c>
      <c r="GL195">
        <v>1</v>
      </c>
      <c r="GM195">
        <v>1</v>
      </c>
      <c r="GN195">
        <v>1</v>
      </c>
      <c r="GO195">
        <v>1</v>
      </c>
      <c r="GP195">
        <v>1</v>
      </c>
      <c r="GQ195">
        <v>1</v>
      </c>
      <c r="GR195">
        <v>1</v>
      </c>
      <c r="GS195">
        <v>1</v>
      </c>
      <c r="GT195">
        <v>1</v>
      </c>
      <c r="GU195">
        <v>1</v>
      </c>
      <c r="GV195">
        <v>1</v>
      </c>
      <c r="GW195">
        <v>1</v>
      </c>
      <c r="GX195">
        <v>1</v>
      </c>
      <c r="GY195">
        <v>1</v>
      </c>
      <c r="GZ195">
        <v>1</v>
      </c>
      <c r="HA195">
        <v>1</v>
      </c>
      <c r="HB195">
        <v>1</v>
      </c>
      <c r="HC195">
        <v>1</v>
      </c>
      <c r="HD195">
        <v>1</v>
      </c>
      <c r="HE195">
        <v>1</v>
      </c>
      <c r="HF195">
        <v>1</v>
      </c>
      <c r="HG195">
        <v>1</v>
      </c>
      <c r="HH195">
        <v>1</v>
      </c>
    </row>
  </sheetData>
  <sheetProtection algorithmName="SHA-512" hashValue="lhvRwvGxAte6dTNNHahk0exVR0gJriJf6bMsNJrxP0xzTb3FY+ZCkdqhWGP6VT7fIetLMuWE/CZ/WuMYG3RO+g==" saltValue="EzUAdyfKsWGv6LuWfH2Nag==" spinCount="100000" sheet="1" objects="1" scenarios="1" selectLockedCells="1"/>
  <mergeCells count="70">
    <mergeCell ref="B4:D4"/>
    <mergeCell ref="P60:S60"/>
    <mergeCell ref="C96:E96"/>
    <mergeCell ref="D62:F62"/>
    <mergeCell ref="C56:F56"/>
    <mergeCell ref="O6:Q6"/>
    <mergeCell ref="O8:Q8"/>
    <mergeCell ref="C23:E23"/>
    <mergeCell ref="C18:E18"/>
    <mergeCell ref="E6:G6"/>
    <mergeCell ref="D16:F16"/>
    <mergeCell ref="C57:F57"/>
    <mergeCell ref="C51:E51"/>
    <mergeCell ref="C52:E52"/>
    <mergeCell ref="C43:E43"/>
    <mergeCell ref="C40:E40"/>
    <mergeCell ref="U8:Z8"/>
    <mergeCell ref="C35:E35"/>
    <mergeCell ref="C44:E44"/>
    <mergeCell ref="C39:E39"/>
    <mergeCell ref="C42:E42"/>
    <mergeCell ref="C11:F11"/>
    <mergeCell ref="C13:D13"/>
    <mergeCell ref="D14:F14"/>
    <mergeCell ref="C15:E15"/>
    <mergeCell ref="C33:E33"/>
    <mergeCell ref="B10:E10"/>
    <mergeCell ref="B22:E22"/>
    <mergeCell ref="B11:B12"/>
    <mergeCell ref="C25:E25"/>
    <mergeCell ref="C28:E28"/>
    <mergeCell ref="B23:B24"/>
    <mergeCell ref="C54:E54"/>
    <mergeCell ref="C48:E48"/>
    <mergeCell ref="B47:E47"/>
    <mergeCell ref="C53:E53"/>
    <mergeCell ref="C37:E37"/>
    <mergeCell ref="C38:E38"/>
    <mergeCell ref="C50:E50"/>
    <mergeCell ref="C45:E45"/>
    <mergeCell ref="C49:E49"/>
    <mergeCell ref="AH10:AJ11"/>
    <mergeCell ref="AB40:AB43"/>
    <mergeCell ref="AC40:AC43"/>
    <mergeCell ref="AG40:AG43"/>
    <mergeCell ref="AD40:AD43"/>
    <mergeCell ref="AE40:AE43"/>
    <mergeCell ref="AF40:AF43"/>
    <mergeCell ref="W20:AE20"/>
    <mergeCell ref="AF20:AL20"/>
    <mergeCell ref="Y25:Z25"/>
    <mergeCell ref="AF25:AG25"/>
    <mergeCell ref="Z10:AB11"/>
    <mergeCell ref="W26:X26"/>
    <mergeCell ref="W27:X27"/>
    <mergeCell ref="Z40:AA43"/>
    <mergeCell ref="C20:F20"/>
    <mergeCell ref="AM20:AS20"/>
    <mergeCell ref="U45:U47"/>
    <mergeCell ref="AT20:AV20"/>
    <mergeCell ref="AB22:AB23"/>
    <mergeCell ref="AI22:AI23"/>
    <mergeCell ref="AP22:AP23"/>
    <mergeCell ref="AM25:AN25"/>
    <mergeCell ref="U17:U22"/>
    <mergeCell ref="C32:E32"/>
    <mergeCell ref="C27:E27"/>
    <mergeCell ref="C31:E31"/>
    <mergeCell ref="C29:E29"/>
    <mergeCell ref="C30:E30"/>
  </mergeCells>
  <phoneticPr fontId="6" type="noConversion"/>
  <printOptions horizontalCentered="1"/>
  <pageMargins left="0.23622047244094491" right="0.23622047244094491" top="0.39370078740157483" bottom="0.74803149606299213" header="0.31496062992125984" footer="0.31496062992125984"/>
  <pageSetup paperSize="9" scale="78" orientation="landscape" verticalDpi="4" r:id="rId1"/>
  <rowBreaks count="1" manualBreakCount="1">
    <brk id="60" min="1" max="18" man="1"/>
  </rowBreaks>
  <colBreaks count="1" manualBreakCount="1">
    <brk id="19" min="5" max="99"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14</vt:i4>
      </vt:variant>
      <vt:variant>
        <vt:lpstr>Nimetyt alueet</vt:lpstr>
      </vt:variant>
      <vt:variant>
        <vt:i4>16</vt:i4>
      </vt:variant>
    </vt:vector>
  </HeadingPairs>
  <TitlesOfParts>
    <vt:vector size="30" baseType="lpstr">
      <vt:lpstr>STARTSIDAN</vt:lpstr>
      <vt:lpstr>1. T1 INVESTERINGSP.</vt:lpstr>
      <vt:lpstr>2. T7 LÅN</vt:lpstr>
      <vt:lpstr>3. E1 KOSTNADER</vt:lpstr>
      <vt:lpstr>4. E2 OMSÄTTNING</vt:lpstr>
      <vt:lpstr>5. T4 FINANSIERINGSB.</vt:lpstr>
      <vt:lpstr>6. T3 BALANS</vt:lpstr>
      <vt:lpstr>7. T2 RESULTATB.</vt:lpstr>
      <vt:lpstr>8. T5 KASSABUDGET</vt:lpstr>
      <vt:lpstr>AT Kassa</vt:lpstr>
      <vt:lpstr>Avustus, alv</vt:lpstr>
      <vt:lpstr>AT2 Lainat, sotum., alv</vt:lpstr>
      <vt:lpstr>UTSKRIVNING</vt:lpstr>
      <vt:lpstr>Kaaviot</vt:lpstr>
      <vt:lpstr>_3_2012</vt:lpstr>
      <vt:lpstr>'3. E1 KOSTNADER'!Teksti37</vt:lpstr>
      <vt:lpstr>'3. E1 KOSTNADER'!Teksti38</vt:lpstr>
      <vt:lpstr>'3. E1 KOSTNADER'!Teksti39</vt:lpstr>
      <vt:lpstr>'1. T1 INVESTERINGSP.'!Tulostusalue</vt:lpstr>
      <vt:lpstr>'2. T7 LÅN'!Tulostusalue</vt:lpstr>
      <vt:lpstr>'3. E1 KOSTNADER'!Tulostusalue</vt:lpstr>
      <vt:lpstr>'4. E2 OMSÄTTNING'!Tulostusalue</vt:lpstr>
      <vt:lpstr>'5. T4 FINANSIERINGSB.'!Tulostusalue</vt:lpstr>
      <vt:lpstr>'6. T3 BALANS'!Tulostusalue</vt:lpstr>
      <vt:lpstr>'7. T2 RESULTATB.'!Tulostusalue</vt:lpstr>
      <vt:lpstr>'8. T5 KASSABUDGET'!Tulostusalue</vt:lpstr>
      <vt:lpstr>STARTSIDAN!Tulostusalue</vt:lpstr>
      <vt:lpstr>UTSKRIVNING!Tulostusalue</vt:lpstr>
      <vt:lpstr>'3. E1 KOSTNADER'!Tulostusotsikot</vt:lpstr>
      <vt:lpstr>'6. T3 BALANS'!Tulostusotsikot</vt:lpstr>
    </vt:vector>
  </TitlesOfParts>
  <Company>Företagstolken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FT6 Det nya företagets resultatplan</dc:title>
  <dc:creator>Företagstolken</dc:creator>
  <cp:lastModifiedBy>Yritystulkki</cp:lastModifiedBy>
  <cp:lastPrinted>2024-03-12T10:58:39Z</cp:lastPrinted>
  <dcterms:created xsi:type="dcterms:W3CDTF">2006-08-01T10:09:48Z</dcterms:created>
  <dcterms:modified xsi:type="dcterms:W3CDTF">2024-03-12T10:59:44Z</dcterms:modified>
</cp:coreProperties>
</file>